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86139\Desktop\青科\"/>
    </mc:Choice>
  </mc:AlternateContent>
  <xr:revisionPtr revIDLastSave="0" documentId="13_ncr:1_{4D117F26-D93C-4698-894E-224161A66534}" xr6:coauthVersionLast="45" xr6:coauthVersionMax="45" xr10:uidLastSave="{00000000-0000-0000-0000-000000000000}"/>
  <bookViews>
    <workbookView xWindow="0" yWindow="0" windowWidth="19200" windowHeight="10200" tabRatio="601" xr2:uid="{00000000-000D-0000-FFFF-FFFF00000000}"/>
  </bookViews>
  <sheets>
    <sheet name="6月工资表" sheetId="22" r:id="rId1"/>
    <sheet name="6月工资条" sheetId="23" r:id="rId2"/>
    <sheet name="5月工资表" sheetId="19" r:id="rId3"/>
    <sheet name="5月工资条" sheetId="21" r:id="rId4"/>
    <sheet name="4月工资表" sheetId="17" r:id="rId5"/>
    <sheet name="4月工资条" sheetId="18" r:id="rId6"/>
    <sheet name="3月工资表" sheetId="12" r:id="rId7"/>
    <sheet name="3月工资条" sheetId="13" r:id="rId8"/>
    <sheet name="1月工资表" sheetId="1" r:id="rId9"/>
    <sheet name="1月工资条" sheetId="8" r:id="rId10"/>
    <sheet name="2月工资表" sheetId="11" r:id="rId11"/>
    <sheet name="2月工资条" sheetId="10" r:id="rId12"/>
    <sheet name="1-6月基数信息" sheetId="2" r:id="rId13"/>
    <sheet name="7-12月基数信息-待修改" sheetId="4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5" i="22" l="1"/>
  <c r="BF8" i="22" l="1"/>
  <c r="BE6" i="22"/>
  <c r="BE7" i="22"/>
  <c r="BE8" i="22"/>
  <c r="BE9" i="22"/>
  <c r="BE10" i="22"/>
  <c r="BE11" i="22"/>
  <c r="BE12" i="22"/>
  <c r="BE13" i="22"/>
  <c r="BE14" i="22"/>
  <c r="BE15" i="22"/>
  <c r="BE5" i="22"/>
  <c r="BA7" i="22"/>
  <c r="BA8" i="22"/>
  <c r="BA9" i="22"/>
  <c r="BA10" i="22"/>
  <c r="BA11" i="22"/>
  <c r="BA12" i="22"/>
  <c r="BA13" i="22"/>
  <c r="BA14" i="22"/>
  <c r="BA15" i="22"/>
  <c r="BA6" i="22"/>
  <c r="AY10" i="22"/>
  <c r="AY11" i="22"/>
  <c r="AY12" i="22"/>
  <c r="AY13" i="22"/>
  <c r="AY14" i="22"/>
  <c r="AY6" i="22"/>
  <c r="AY7" i="22"/>
  <c r="AY8" i="22"/>
  <c r="AY9" i="22"/>
  <c r="AY5" i="22"/>
  <c r="AX10" i="22"/>
  <c r="AX11" i="22"/>
  <c r="AX12" i="22"/>
  <c r="AX13" i="22"/>
  <c r="AX14" i="22"/>
  <c r="AX7" i="22"/>
  <c r="AX8" i="22"/>
  <c r="AX9" i="22"/>
  <c r="AX6" i="22"/>
  <c r="AW6" i="22"/>
  <c r="AW7" i="22"/>
  <c r="AW8" i="22"/>
  <c r="AW9" i="22"/>
  <c r="AW10" i="22"/>
  <c r="AW11" i="22"/>
  <c r="AW12" i="22"/>
  <c r="AW13" i="22"/>
  <c r="AW14" i="22"/>
  <c r="AW15" i="22"/>
  <c r="AW5" i="22"/>
  <c r="AV6" i="22"/>
  <c r="AV7" i="22"/>
  <c r="AV8" i="22"/>
  <c r="AV9" i="22"/>
  <c r="AV10" i="22"/>
  <c r="AV11" i="22"/>
  <c r="AV12" i="22"/>
  <c r="AV13" i="22"/>
  <c r="AV14" i="22"/>
  <c r="AV15" i="22"/>
  <c r="AV5" i="22"/>
  <c r="AU6" i="22"/>
  <c r="AU7" i="22"/>
  <c r="AU8" i="22"/>
  <c r="AU9" i="22"/>
  <c r="AU10" i="22"/>
  <c r="AU11" i="22"/>
  <c r="AU12" i="22"/>
  <c r="AU14" i="22"/>
  <c r="AU15" i="22"/>
  <c r="AU5" i="22"/>
  <c r="BI16" i="22" l="1"/>
  <c r="M16" i="22"/>
  <c r="L16" i="22"/>
  <c r="K16" i="22"/>
  <c r="J16" i="22"/>
  <c r="I16" i="22"/>
  <c r="H16" i="22"/>
  <c r="G16" i="22"/>
  <c r="BB15" i="22"/>
  <c r="AZ15" i="22"/>
  <c r="AY15" i="22"/>
  <c r="AX15" i="22"/>
  <c r="AH15" i="22"/>
  <c r="AT15" i="22" s="1"/>
  <c r="AG15" i="22"/>
  <c r="AI15" i="22" s="1"/>
  <c r="AD15" i="22"/>
  <c r="AR15" i="22" s="1"/>
  <c r="AC15" i="22"/>
  <c r="AS15" i="22" s="1"/>
  <c r="AB15" i="22"/>
  <c r="AE15" i="22" s="1"/>
  <c r="Z15" i="22"/>
  <c r="Y15" i="22"/>
  <c r="X15" i="22"/>
  <c r="W15" i="22"/>
  <c r="V15" i="22"/>
  <c r="AA15" i="22" s="1"/>
  <c r="Q15" i="22"/>
  <c r="N15" i="22"/>
  <c r="R15" i="22" s="1"/>
  <c r="T15" i="22" s="1"/>
  <c r="AP15" i="22" s="1"/>
  <c r="BB14" i="22"/>
  <c r="AZ14" i="22"/>
  <c r="AH14" i="22"/>
  <c r="AT14" i="22" s="1"/>
  <c r="AG14" i="22"/>
  <c r="AI14" i="22" s="1"/>
  <c r="AD14" i="22"/>
  <c r="AR14" i="22" s="1"/>
  <c r="AC14" i="22"/>
  <c r="AS14" i="22" s="1"/>
  <c r="AB14" i="22"/>
  <c r="AQ14" i="22" s="1"/>
  <c r="Z14" i="22"/>
  <c r="Y14" i="22"/>
  <c r="X14" i="22"/>
  <c r="W14" i="22"/>
  <c r="V14" i="22"/>
  <c r="AA14" i="22" s="1"/>
  <c r="Q14" i="22"/>
  <c r="N14" i="22"/>
  <c r="R14" i="22" s="1"/>
  <c r="T14" i="22" s="1"/>
  <c r="AP14" i="22" s="1"/>
  <c r="BB13" i="22"/>
  <c r="AZ13" i="22"/>
  <c r="AH13" i="22"/>
  <c r="AT13" i="22" s="1"/>
  <c r="AG13" i="22"/>
  <c r="AI13" i="22" s="1"/>
  <c r="AD13" i="22"/>
  <c r="AR13" i="22" s="1"/>
  <c r="AC13" i="22"/>
  <c r="AE13" i="22" s="1"/>
  <c r="AB13" i="22"/>
  <c r="AQ13" i="22" s="1"/>
  <c r="Z13" i="22"/>
  <c r="Y13" i="22"/>
  <c r="X13" i="22"/>
  <c r="W13" i="22"/>
  <c r="V13" i="22"/>
  <c r="AA13" i="22" s="1"/>
  <c r="Q13" i="22"/>
  <c r="R13" i="22" s="1"/>
  <c r="N13" i="22"/>
  <c r="BB12" i="22"/>
  <c r="AZ12" i="22"/>
  <c r="AH12" i="22"/>
  <c r="AT12" i="22" s="1"/>
  <c r="AG12" i="22"/>
  <c r="AD12" i="22"/>
  <c r="AR12" i="22" s="1"/>
  <c r="AC12" i="22"/>
  <c r="AE12" i="22" s="1"/>
  <c r="AB12" i="22"/>
  <c r="AQ12" i="22" s="1"/>
  <c r="Z12" i="22"/>
  <c r="Y12" i="22"/>
  <c r="X12" i="22"/>
  <c r="W12" i="22"/>
  <c r="V12" i="22"/>
  <c r="AA12" i="22" s="1"/>
  <c r="Q12" i="22"/>
  <c r="N12" i="22"/>
  <c r="R12" i="22" s="1"/>
  <c r="BB11" i="22"/>
  <c r="AZ11" i="22"/>
  <c r="AH11" i="22"/>
  <c r="AT11" i="22" s="1"/>
  <c r="AG11" i="22"/>
  <c r="AI11" i="22" s="1"/>
  <c r="AD11" i="22"/>
  <c r="AR11" i="22" s="1"/>
  <c r="AC11" i="22"/>
  <c r="AS11" i="22" s="1"/>
  <c r="AB11" i="22"/>
  <c r="AE11" i="22" s="1"/>
  <c r="Z11" i="22"/>
  <c r="Y11" i="22"/>
  <c r="X11" i="22"/>
  <c r="W11" i="22"/>
  <c r="V11" i="22"/>
  <c r="AA11" i="22" s="1"/>
  <c r="Q11" i="22"/>
  <c r="N11" i="22"/>
  <c r="R11" i="22" s="1"/>
  <c r="T11" i="22" s="1"/>
  <c r="AP11" i="22" s="1"/>
  <c r="BB10" i="22"/>
  <c r="AZ10" i="22"/>
  <c r="AI10" i="22"/>
  <c r="AH10" i="22"/>
  <c r="AT10" i="22" s="1"/>
  <c r="AG10" i="22"/>
  <c r="AD10" i="22"/>
  <c r="AR10" i="22" s="1"/>
  <c r="AC10" i="22"/>
  <c r="AS10" i="22" s="1"/>
  <c r="AB10" i="22"/>
  <c r="AQ10" i="22" s="1"/>
  <c r="Z10" i="22"/>
  <c r="Y10" i="22"/>
  <c r="X10" i="22"/>
  <c r="W10" i="22"/>
  <c r="V10" i="22"/>
  <c r="AA10" i="22" s="1"/>
  <c r="R10" i="22"/>
  <c r="T10" i="22" s="1"/>
  <c r="AP10" i="22" s="1"/>
  <c r="Q10" i="22"/>
  <c r="N10" i="22"/>
  <c r="BB9" i="22"/>
  <c r="AZ9" i="22"/>
  <c r="AT9" i="22"/>
  <c r="AS9" i="22"/>
  <c r="AP9" i="22"/>
  <c r="AI9" i="22"/>
  <c r="AH9" i="22"/>
  <c r="AG9" i="22"/>
  <c r="AD9" i="22"/>
  <c r="AR9" i="22" s="1"/>
  <c r="AC9" i="22"/>
  <c r="AE9" i="22" s="1"/>
  <c r="AB9" i="22"/>
  <c r="AQ9" i="22" s="1"/>
  <c r="Z9" i="22"/>
  <c r="Y9" i="22"/>
  <c r="X9" i="22"/>
  <c r="W9" i="22"/>
  <c r="V9" i="22"/>
  <c r="AA9" i="22" s="1"/>
  <c r="Q9" i="22"/>
  <c r="N9" i="22"/>
  <c r="R9" i="22" s="1"/>
  <c r="BB8" i="22"/>
  <c r="AZ8" i="22"/>
  <c r="AT8" i="22"/>
  <c r="AP8" i="22"/>
  <c r="AH8" i="22"/>
  <c r="AI8" i="22" s="1"/>
  <c r="AG8" i="22"/>
  <c r="AE8" i="22"/>
  <c r="AD8" i="22"/>
  <c r="AR8" i="22" s="1"/>
  <c r="AC8" i="22"/>
  <c r="AS8" i="22" s="1"/>
  <c r="AB8" i="22"/>
  <c r="AQ8" i="22" s="1"/>
  <c r="Z8" i="22"/>
  <c r="Y8" i="22"/>
  <c r="X8" i="22"/>
  <c r="W8" i="22"/>
  <c r="AA8" i="22" s="1"/>
  <c r="V8" i="22"/>
  <c r="T8" i="22"/>
  <c r="N8" i="22"/>
  <c r="BB7" i="22"/>
  <c r="AZ7" i="22"/>
  <c r="AT7" i="22"/>
  <c r="AP7" i="22"/>
  <c r="AH7" i="22"/>
  <c r="AI7" i="22" s="1"/>
  <c r="AG7" i="22"/>
  <c r="AE7" i="22"/>
  <c r="AD7" i="22"/>
  <c r="AR7" i="22" s="1"/>
  <c r="AC7" i="22"/>
  <c r="AS7" i="22" s="1"/>
  <c r="AB7" i="22"/>
  <c r="AQ7" i="22" s="1"/>
  <c r="Z7" i="22"/>
  <c r="Y7" i="22"/>
  <c r="X7" i="22"/>
  <c r="W7" i="22"/>
  <c r="AA7" i="22" s="1"/>
  <c r="V7" i="22"/>
  <c r="Q7" i="22"/>
  <c r="N7" i="22"/>
  <c r="R7" i="22" s="1"/>
  <c r="BB6" i="22"/>
  <c r="AZ6" i="22"/>
  <c r="AT6" i="22"/>
  <c r="AS6" i="22"/>
  <c r="AR6" i="22"/>
  <c r="AQ6" i="22"/>
  <c r="AP6" i="22"/>
  <c r="AI6" i="22"/>
  <c r="AE6" i="22"/>
  <c r="AA6" i="22"/>
  <c r="Q6" i="22"/>
  <c r="N6" i="22"/>
  <c r="BE16" i="22"/>
  <c r="BB5" i="22"/>
  <c r="BB16" i="22" s="1"/>
  <c r="BA5" i="22"/>
  <c r="BA16" i="22" s="1"/>
  <c r="AZ5" i="22"/>
  <c r="AZ16" i="22" s="1"/>
  <c r="AY16" i="22"/>
  <c r="AX16" i="22"/>
  <c r="AV16" i="22"/>
  <c r="AT5" i="22"/>
  <c r="AT16" i="22" s="1"/>
  <c r="AP5" i="22"/>
  <c r="AH5" i="22"/>
  <c r="AH16" i="22" s="1"/>
  <c r="AG5" i="22"/>
  <c r="AG16" i="22" s="1"/>
  <c r="AE5" i="22"/>
  <c r="AD5" i="22"/>
  <c r="AR5" i="22" s="1"/>
  <c r="AR16" i="22" s="1"/>
  <c r="AC5" i="22"/>
  <c r="AC16" i="22" s="1"/>
  <c r="AB5" i="22"/>
  <c r="AB16" i="22" s="1"/>
  <c r="Z5" i="22"/>
  <c r="Z16" i="22" s="1"/>
  <c r="Y5" i="22"/>
  <c r="Y16" i="22" s="1"/>
  <c r="X5" i="22"/>
  <c r="X16" i="22" s="1"/>
  <c r="W5" i="22"/>
  <c r="W16" i="22" s="1"/>
  <c r="V5" i="22"/>
  <c r="V16" i="22" s="1"/>
  <c r="T5" i="22"/>
  <c r="N5" i="22"/>
  <c r="N16" i="22" s="1"/>
  <c r="AA3" i="22"/>
  <c r="Q16" i="22" l="1"/>
  <c r="BC8" i="22"/>
  <c r="BD8" i="22" s="1"/>
  <c r="BC7" i="22"/>
  <c r="BD7" i="22" s="1"/>
  <c r="BF7" i="22" s="1"/>
  <c r="BC9" i="22"/>
  <c r="BD9" i="22" s="1"/>
  <c r="BF9" i="22" s="1"/>
  <c r="BC10" i="22"/>
  <c r="BD10" i="22" s="1"/>
  <c r="BF10" i="22" s="1"/>
  <c r="BC14" i="22"/>
  <c r="BD14" i="22" s="1"/>
  <c r="BF14" i="22" s="1"/>
  <c r="BG14" i="22" s="1"/>
  <c r="BC6" i="22"/>
  <c r="BD6" i="22" s="1"/>
  <c r="BF6" i="22" s="1"/>
  <c r="AI5" i="22"/>
  <c r="AS5" i="22"/>
  <c r="R6" i="22"/>
  <c r="AE10" i="22"/>
  <c r="AE16" i="22" s="1"/>
  <c r="AQ11" i="22"/>
  <c r="T12" i="22"/>
  <c r="AP12" i="22" s="1"/>
  <c r="AS13" i="22"/>
  <c r="AE14" i="22"/>
  <c r="AQ15" i="22"/>
  <c r="AD16" i="22"/>
  <c r="AA5" i="22"/>
  <c r="AA16" i="22" s="1"/>
  <c r="AI12" i="22"/>
  <c r="AS12" i="22"/>
  <c r="AQ5" i="22"/>
  <c r="T13" i="22"/>
  <c r="AP13" i="22" s="1"/>
  <c r="AU13" i="22" s="1"/>
  <c r="W13" i="19"/>
  <c r="M16" i="19"/>
  <c r="L16" i="19"/>
  <c r="H16" i="19"/>
  <c r="G16" i="19"/>
  <c r="BC13" i="22" l="1"/>
  <c r="BD13" i="22" s="1"/>
  <c r="BF13" i="22" s="1"/>
  <c r="BG13" i="22" s="1"/>
  <c r="AP16" i="22"/>
  <c r="BC12" i="22"/>
  <c r="BD12" i="22" s="1"/>
  <c r="BF12" i="22" s="1"/>
  <c r="AS16" i="22"/>
  <c r="BC11" i="22"/>
  <c r="BD11" i="22" s="1"/>
  <c r="BF11" i="22" s="1"/>
  <c r="BG11" i="22" s="1"/>
  <c r="AI16" i="22"/>
  <c r="T16" i="22"/>
  <c r="BC15" i="22"/>
  <c r="BD15" i="22" s="1"/>
  <c r="BF15" i="22" s="1"/>
  <c r="BG15" i="22" s="1"/>
  <c r="AQ16" i="22"/>
  <c r="R16" i="22"/>
  <c r="BG10" i="22"/>
  <c r="AH17" i="17"/>
  <c r="AT17" i="17" s="1"/>
  <c r="AG17" i="17"/>
  <c r="AD17" i="17"/>
  <c r="AR17" i="17" s="1"/>
  <c r="AC17" i="17"/>
  <c r="AS17" i="17" s="1"/>
  <c r="AB17" i="17"/>
  <c r="AQ17" i="17" s="1"/>
  <c r="Z17" i="17"/>
  <c r="Y17" i="17"/>
  <c r="X17" i="17"/>
  <c r="W17" i="17"/>
  <c r="V17" i="17"/>
  <c r="Q17" i="17"/>
  <c r="N17" i="17"/>
  <c r="R17" i="17" s="1"/>
  <c r="T17" i="17" s="1"/>
  <c r="AP17" i="17" s="1"/>
  <c r="AR15" i="19"/>
  <c r="AH15" i="19"/>
  <c r="AT15" i="19" s="1"/>
  <c r="AG15" i="19"/>
  <c r="AD15" i="19"/>
  <c r="AC15" i="19"/>
  <c r="AS15" i="19" s="1"/>
  <c r="AB15" i="19"/>
  <c r="AQ15" i="19" s="1"/>
  <c r="Z15" i="19"/>
  <c r="Y15" i="19"/>
  <c r="X15" i="19"/>
  <c r="W15" i="19"/>
  <c r="V15" i="19"/>
  <c r="Q15" i="19"/>
  <c r="N15" i="19"/>
  <c r="R15" i="19" s="1"/>
  <c r="T15" i="19" s="1"/>
  <c r="AP15" i="19" s="1"/>
  <c r="BI16" i="19"/>
  <c r="K16" i="19"/>
  <c r="J16" i="19"/>
  <c r="I16" i="19"/>
  <c r="AH14" i="19"/>
  <c r="AT14" i="19" s="1"/>
  <c r="AG14" i="19"/>
  <c r="AI14" i="19" s="1"/>
  <c r="AD14" i="19"/>
  <c r="AR14" i="19" s="1"/>
  <c r="AC14" i="19"/>
  <c r="AS14" i="19" s="1"/>
  <c r="AB14" i="19"/>
  <c r="AQ14" i="19" s="1"/>
  <c r="Z14" i="19"/>
  <c r="Y14" i="19"/>
  <c r="X14" i="19"/>
  <c r="W14" i="19"/>
  <c r="V14" i="19"/>
  <c r="Q14" i="19"/>
  <c r="N14" i="19"/>
  <c r="AH13" i="19"/>
  <c r="AT13" i="19" s="1"/>
  <c r="AG13" i="19"/>
  <c r="AD13" i="19"/>
  <c r="AR13" i="19" s="1"/>
  <c r="AC13" i="19"/>
  <c r="AS13" i="19" s="1"/>
  <c r="AB13" i="19"/>
  <c r="AQ13" i="19" s="1"/>
  <c r="Z13" i="19"/>
  <c r="Y13" i="19"/>
  <c r="X13" i="19"/>
  <c r="V13" i="19"/>
  <c r="Q13" i="19"/>
  <c r="N13" i="19"/>
  <c r="AH12" i="19"/>
  <c r="AT12" i="19" s="1"/>
  <c r="AG12" i="19"/>
  <c r="AD12" i="19"/>
  <c r="AR12" i="19" s="1"/>
  <c r="AC12" i="19"/>
  <c r="AS12" i="19" s="1"/>
  <c r="AB12" i="19"/>
  <c r="Z12" i="19"/>
  <c r="Y12" i="19"/>
  <c r="X12" i="19"/>
  <c r="W12" i="19"/>
  <c r="V12" i="19"/>
  <c r="Q12" i="19"/>
  <c r="N12" i="19"/>
  <c r="AH11" i="19"/>
  <c r="AG11" i="19"/>
  <c r="AD11" i="19"/>
  <c r="AR11" i="19" s="1"/>
  <c r="AC11" i="19"/>
  <c r="AS11" i="19" s="1"/>
  <c r="AB11" i="19"/>
  <c r="AQ11" i="19" s="1"/>
  <c r="Z11" i="19"/>
  <c r="Y11" i="19"/>
  <c r="X11" i="19"/>
  <c r="W11" i="19"/>
  <c r="V11" i="19"/>
  <c r="Q11" i="19"/>
  <c r="N11" i="19"/>
  <c r="AI10" i="19"/>
  <c r="AH10" i="19"/>
  <c r="AT10" i="19" s="1"/>
  <c r="AG10" i="19"/>
  <c r="AD10" i="19"/>
  <c r="AR10" i="19" s="1"/>
  <c r="AC10" i="19"/>
  <c r="AS10" i="19" s="1"/>
  <c r="AB10" i="19"/>
  <c r="AQ10" i="19" s="1"/>
  <c r="Z10" i="19"/>
  <c r="Y10" i="19"/>
  <c r="X10" i="19"/>
  <c r="W10" i="19"/>
  <c r="V10" i="19"/>
  <c r="Q10" i="19"/>
  <c r="N10" i="19"/>
  <c r="AP9" i="19"/>
  <c r="AH9" i="19"/>
  <c r="AT9" i="19" s="1"/>
  <c r="AG9" i="19"/>
  <c r="AI9" i="19" s="1"/>
  <c r="AD9" i="19"/>
  <c r="AR9" i="19" s="1"/>
  <c r="AC9" i="19"/>
  <c r="AS9" i="19" s="1"/>
  <c r="AB9" i="19"/>
  <c r="AQ9" i="19" s="1"/>
  <c r="Z9" i="19"/>
  <c r="Y9" i="19"/>
  <c r="X9" i="19"/>
  <c r="W9" i="19"/>
  <c r="V9" i="19"/>
  <c r="Q9" i="19"/>
  <c r="N9" i="19"/>
  <c r="AH8" i="19"/>
  <c r="AT8" i="19" s="1"/>
  <c r="AG8" i="19"/>
  <c r="AD8" i="19"/>
  <c r="AR8" i="19" s="1"/>
  <c r="AC8" i="19"/>
  <c r="AS8" i="19" s="1"/>
  <c r="AB8" i="19"/>
  <c r="AQ8" i="19" s="1"/>
  <c r="Z8" i="19"/>
  <c r="Y8" i="19"/>
  <c r="X8" i="19"/>
  <c r="W8" i="19"/>
  <c r="V8" i="19"/>
  <c r="AA8" i="19" s="1"/>
  <c r="N8" i="19"/>
  <c r="T8" i="19" s="1"/>
  <c r="AP8" i="19" s="1"/>
  <c r="AP7" i="19"/>
  <c r="AH7" i="19"/>
  <c r="AT7" i="19" s="1"/>
  <c r="AG7" i="19"/>
  <c r="AD7" i="19"/>
  <c r="AR7" i="19" s="1"/>
  <c r="AC7" i="19"/>
  <c r="AS7" i="19" s="1"/>
  <c r="AB7" i="19"/>
  <c r="AQ7" i="19" s="1"/>
  <c r="Z7" i="19"/>
  <c r="Y7" i="19"/>
  <c r="X7" i="19"/>
  <c r="W7" i="19"/>
  <c r="V7" i="19"/>
  <c r="Q7" i="19"/>
  <c r="N7" i="19"/>
  <c r="AT6" i="19"/>
  <c r="AP6" i="19"/>
  <c r="AI6" i="19"/>
  <c r="AR6" i="19"/>
  <c r="AS6" i="19"/>
  <c r="AQ6" i="19"/>
  <c r="Q6" i="19"/>
  <c r="N6" i="19"/>
  <c r="AH5" i="19"/>
  <c r="AG5" i="19"/>
  <c r="AI5" i="19" s="1"/>
  <c r="AD5" i="19"/>
  <c r="AR5" i="19" s="1"/>
  <c r="AC5" i="19"/>
  <c r="AS5" i="19" s="1"/>
  <c r="AB5" i="19"/>
  <c r="Z5" i="19"/>
  <c r="Z16" i="19" s="1"/>
  <c r="Y5" i="19"/>
  <c r="X5" i="19"/>
  <c r="W5" i="19"/>
  <c r="V5" i="19"/>
  <c r="V16" i="19" s="1"/>
  <c r="N5" i="19"/>
  <c r="AA3" i="19"/>
  <c r="AU16" i="22" l="1"/>
  <c r="BF16" i="22"/>
  <c r="BG12" i="22"/>
  <c r="BG16" i="22" s="1"/>
  <c r="AW16" i="22"/>
  <c r="BC5" i="22"/>
  <c r="AA15" i="19"/>
  <c r="AA12" i="19"/>
  <c r="AI12" i="19"/>
  <c r="AA17" i="17"/>
  <c r="AI17" i="17"/>
  <c r="X16" i="19"/>
  <c r="AA6" i="19"/>
  <c r="AE17" i="17"/>
  <c r="AI15" i="19"/>
  <c r="AE15" i="19"/>
  <c r="AR16" i="19"/>
  <c r="W16" i="19"/>
  <c r="AB16" i="19"/>
  <c r="AH16" i="19"/>
  <c r="AA7" i="19"/>
  <c r="R9" i="19"/>
  <c r="AA10" i="19"/>
  <c r="AA11" i="19"/>
  <c r="AE12" i="19"/>
  <c r="R13" i="19"/>
  <c r="T13" i="19" s="1"/>
  <c r="AP13" i="19" s="1"/>
  <c r="R6" i="19"/>
  <c r="AI11" i="19"/>
  <c r="Y16" i="19"/>
  <c r="AD16" i="19"/>
  <c r="Q16" i="19"/>
  <c r="AA9" i="19"/>
  <c r="AE9" i="19"/>
  <c r="R10" i="19"/>
  <c r="T10" i="19" s="1"/>
  <c r="AP10" i="19" s="1"/>
  <c r="AI13" i="19"/>
  <c r="N16" i="19"/>
  <c r="R7" i="19"/>
  <c r="AA13" i="19"/>
  <c r="AA16" i="19" s="1"/>
  <c r="AA14" i="19"/>
  <c r="T5" i="19"/>
  <c r="AP5" i="19" s="1"/>
  <c r="AA5" i="19"/>
  <c r="AE5" i="19"/>
  <c r="AT5" i="19"/>
  <c r="AE11" i="19"/>
  <c r="AT11" i="19"/>
  <c r="R12" i="19"/>
  <c r="T12" i="19" s="1"/>
  <c r="AP12" i="19" s="1"/>
  <c r="AQ12" i="19"/>
  <c r="AE14" i="19"/>
  <c r="AQ5" i="19"/>
  <c r="AE6" i="19"/>
  <c r="AI7" i="19"/>
  <c r="AI8" i="19"/>
  <c r="AE10" i="19"/>
  <c r="R11" i="19"/>
  <c r="AE13" i="19"/>
  <c r="R14" i="19"/>
  <c r="T14" i="19" s="1"/>
  <c r="AP14" i="19" s="1"/>
  <c r="AG16" i="19"/>
  <c r="AE7" i="19"/>
  <c r="AE8" i="19"/>
  <c r="AS16" i="19"/>
  <c r="AC16" i="19"/>
  <c r="BH20" i="17"/>
  <c r="G18" i="17"/>
  <c r="AI10" i="17"/>
  <c r="BD5" i="22" l="1"/>
  <c r="BC16" i="22"/>
  <c r="AT16" i="19"/>
  <c r="AI16" i="19"/>
  <c r="R16" i="19"/>
  <c r="T11" i="19"/>
  <c r="AQ16" i="19"/>
  <c r="AE16" i="19"/>
  <c r="AI6" i="17"/>
  <c r="AI11" i="17"/>
  <c r="AI14" i="17"/>
  <c r="AI15" i="17"/>
  <c r="AH6" i="17"/>
  <c r="AH7" i="17"/>
  <c r="AH8" i="17"/>
  <c r="AH9" i="17"/>
  <c r="AH10" i="17"/>
  <c r="AH11" i="17"/>
  <c r="AH12" i="17"/>
  <c r="AH13" i="17"/>
  <c r="AH14" i="17"/>
  <c r="AH15" i="17"/>
  <c r="AH16" i="17"/>
  <c r="AG6" i="17"/>
  <c r="AG7" i="17"/>
  <c r="AI7" i="17" s="1"/>
  <c r="AG8" i="17"/>
  <c r="AI8" i="17" s="1"/>
  <c r="AG9" i="17"/>
  <c r="AI9" i="17" s="1"/>
  <c r="AG10" i="17"/>
  <c r="AG11" i="17"/>
  <c r="AG12" i="17"/>
  <c r="AI12" i="17" s="1"/>
  <c r="AG13" i="17"/>
  <c r="AI13" i="17" s="1"/>
  <c r="AG14" i="17"/>
  <c r="AG15" i="17"/>
  <c r="AG16" i="17"/>
  <c r="AI16" i="17" s="1"/>
  <c r="AE6" i="17"/>
  <c r="AE9" i="17"/>
  <c r="AE10" i="17"/>
  <c r="AE13" i="17"/>
  <c r="AE14" i="17"/>
  <c r="AD6" i="17"/>
  <c r="AD7" i="17"/>
  <c r="AD8" i="17"/>
  <c r="AD9" i="17"/>
  <c r="AD10" i="17"/>
  <c r="AD11" i="17"/>
  <c r="AD12" i="17"/>
  <c r="AD13" i="17"/>
  <c r="AD14" i="17"/>
  <c r="AD15" i="17"/>
  <c r="AD16" i="17"/>
  <c r="AC6" i="17"/>
  <c r="AC7" i="17"/>
  <c r="AC8" i="17"/>
  <c r="AC9" i="17"/>
  <c r="AC10" i="17"/>
  <c r="AC11" i="17"/>
  <c r="AC12" i="17"/>
  <c r="AC13" i="17"/>
  <c r="AC14" i="17"/>
  <c r="AC15" i="17"/>
  <c r="AC16" i="17"/>
  <c r="AC5" i="17"/>
  <c r="AB6" i="17"/>
  <c r="AB7" i="17"/>
  <c r="AE7" i="17" s="1"/>
  <c r="AB8" i="17"/>
  <c r="AE8" i="17" s="1"/>
  <c r="AB9" i="17"/>
  <c r="AB10" i="17"/>
  <c r="AB11" i="17"/>
  <c r="AE11" i="17" s="1"/>
  <c r="AB12" i="17"/>
  <c r="AE12" i="17" s="1"/>
  <c r="AB13" i="17"/>
  <c r="AB14" i="17"/>
  <c r="AB15" i="17"/>
  <c r="AE15" i="17" s="1"/>
  <c r="AB16" i="17"/>
  <c r="AE16" i="17" s="1"/>
  <c r="Y6" i="17"/>
  <c r="Y7" i="17"/>
  <c r="Y8" i="17"/>
  <c r="Y9" i="17"/>
  <c r="Y10" i="17"/>
  <c r="Y11" i="17"/>
  <c r="Y12" i="17"/>
  <c r="Y13" i="17"/>
  <c r="Y14" i="17"/>
  <c r="Y15" i="17"/>
  <c r="Y16" i="17"/>
  <c r="X6" i="17"/>
  <c r="X7" i="17"/>
  <c r="X8" i="17"/>
  <c r="X9" i="17"/>
  <c r="X10" i="17"/>
  <c r="X11" i="17"/>
  <c r="X12" i="17"/>
  <c r="X13" i="17"/>
  <c r="X14" i="17"/>
  <c r="X15" i="17"/>
  <c r="X16" i="17"/>
  <c r="Z6" i="17"/>
  <c r="Z7" i="17"/>
  <c r="Z8" i="17"/>
  <c r="Z9" i="17"/>
  <c r="Z10" i="17"/>
  <c r="Z11" i="17"/>
  <c r="Z12" i="17"/>
  <c r="Z13" i="17"/>
  <c r="Z14" i="17"/>
  <c r="Z15" i="17"/>
  <c r="Z16" i="17"/>
  <c r="V6" i="17"/>
  <c r="AA6" i="17" s="1"/>
  <c r="V7" i="17"/>
  <c r="AA7" i="17" s="1"/>
  <c r="V8" i="17"/>
  <c r="AA8" i="17" s="1"/>
  <c r="V9" i="17"/>
  <c r="AA9" i="17" s="1"/>
  <c r="V10" i="17"/>
  <c r="AA10" i="17" s="1"/>
  <c r="V11" i="17"/>
  <c r="AA11" i="17" s="1"/>
  <c r="V12" i="17"/>
  <c r="AA12" i="17" s="1"/>
  <c r="V13" i="17"/>
  <c r="AA13" i="17" s="1"/>
  <c r="V14" i="17"/>
  <c r="AA14" i="17" s="1"/>
  <c r="V15" i="17"/>
  <c r="AA15" i="17" s="1"/>
  <c r="V16" i="17"/>
  <c r="AA16" i="17" s="1"/>
  <c r="W10" i="17"/>
  <c r="W11" i="17"/>
  <c r="W12" i="17"/>
  <c r="W13" i="17"/>
  <c r="W14" i="17"/>
  <c r="W15" i="17"/>
  <c r="W16" i="17"/>
  <c r="Z5" i="17"/>
  <c r="Y5" i="17"/>
  <c r="Y20" i="17" s="1"/>
  <c r="X5" i="17"/>
  <c r="W5" i="17"/>
  <c r="V5" i="17"/>
  <c r="AD5" i="17"/>
  <c r="AB5" i="17"/>
  <c r="W9" i="17"/>
  <c r="W8" i="17"/>
  <c r="W7" i="17"/>
  <c r="W6" i="17"/>
  <c r="BD16" i="22" l="1"/>
  <c r="BF5" i="22"/>
  <c r="Z20" i="17"/>
  <c r="W20" i="17"/>
  <c r="AA5" i="17"/>
  <c r="AA20" i="17" s="1"/>
  <c r="V20" i="17"/>
  <c r="X20" i="17"/>
  <c r="AP11" i="19"/>
  <c r="T16" i="19"/>
  <c r="AE5" i="17"/>
  <c r="L7" i="18"/>
  <c r="L10" i="18"/>
  <c r="L13" i="18"/>
  <c r="L16" i="18"/>
  <c r="L19" i="18"/>
  <c r="L22" i="18"/>
  <c r="L25" i="18"/>
  <c r="L28" i="18"/>
  <c r="L31" i="18"/>
  <c r="L34" i="18"/>
  <c r="L37" i="18"/>
  <c r="L40" i="18"/>
  <c r="L4" i="18"/>
  <c r="M20" i="17"/>
  <c r="L20" i="17"/>
  <c r="K20" i="17"/>
  <c r="J20" i="17"/>
  <c r="I20" i="17"/>
  <c r="H20" i="17"/>
  <c r="AT16" i="17"/>
  <c r="AR16" i="17"/>
  <c r="AS16" i="17"/>
  <c r="AQ16" i="17"/>
  <c r="Q16" i="17"/>
  <c r="N16" i="17"/>
  <c r="AT15" i="17"/>
  <c r="AR15" i="17"/>
  <c r="AQ15" i="17"/>
  <c r="Q15" i="17"/>
  <c r="N15" i="17"/>
  <c r="AT14" i="17"/>
  <c r="AR14" i="17"/>
  <c r="AS14" i="17"/>
  <c r="AQ14" i="17"/>
  <c r="Q14" i="17"/>
  <c r="N14" i="17"/>
  <c r="AT13" i="17"/>
  <c r="AR13" i="17"/>
  <c r="AQ13" i="17"/>
  <c r="Q13" i="17"/>
  <c r="N13" i="17"/>
  <c r="AT12" i="17"/>
  <c r="AR12" i="17"/>
  <c r="AS12" i="17"/>
  <c r="AQ12" i="17"/>
  <c r="Q12" i="17"/>
  <c r="N12" i="17"/>
  <c r="AT11" i="17"/>
  <c r="AR11" i="17"/>
  <c r="AS11" i="17"/>
  <c r="Q11" i="17"/>
  <c r="N11" i="17"/>
  <c r="AT10" i="17"/>
  <c r="AR10" i="17"/>
  <c r="AS10" i="17"/>
  <c r="AQ10" i="17"/>
  <c r="Q10" i="17"/>
  <c r="N10" i="17"/>
  <c r="AT9" i="17"/>
  <c r="AR9" i="17"/>
  <c r="AS9" i="17"/>
  <c r="Q9" i="17"/>
  <c r="N9" i="17"/>
  <c r="AT8" i="17"/>
  <c r="AR8" i="17"/>
  <c r="AS8" i="17"/>
  <c r="AQ8" i="17"/>
  <c r="N8" i="17"/>
  <c r="T8" i="17" s="1"/>
  <c r="AP8" i="17" s="1"/>
  <c r="AT7" i="17"/>
  <c r="AR7" i="17"/>
  <c r="AS7" i="17"/>
  <c r="Q7" i="17"/>
  <c r="N7" i="17"/>
  <c r="AT6" i="17"/>
  <c r="AR6" i="17"/>
  <c r="AS6" i="17"/>
  <c r="AQ6" i="17"/>
  <c r="Q6" i="17"/>
  <c r="N6" i="17"/>
  <c r="AH5" i="17"/>
  <c r="AG5" i="17"/>
  <c r="AG20" i="17" s="1"/>
  <c r="AC20" i="17"/>
  <c r="AA3" i="17"/>
  <c r="R10" i="17" l="1"/>
  <c r="T10" i="17" s="1"/>
  <c r="AP10" i="17" s="1"/>
  <c r="R16" i="17"/>
  <c r="AP16" i="19"/>
  <c r="AD20" i="17"/>
  <c r="Q20" i="17"/>
  <c r="AB20" i="17"/>
  <c r="AH20" i="17"/>
  <c r="R12" i="17"/>
  <c r="T12" i="17" s="1"/>
  <c r="AP12" i="17" s="1"/>
  <c r="R13" i="17"/>
  <c r="T13" i="17" s="1"/>
  <c r="AP13" i="17" s="1"/>
  <c r="R15" i="17"/>
  <c r="T15" i="17" s="1"/>
  <c r="AP15" i="17" s="1"/>
  <c r="AS5" i="17"/>
  <c r="R14" i="17"/>
  <c r="T14" i="17" s="1"/>
  <c r="AP14" i="17" s="1"/>
  <c r="AI5" i="17"/>
  <c r="AI20" i="17" s="1"/>
  <c r="AQ5" i="17"/>
  <c r="AQ20" i="17" s="1"/>
  <c r="R7" i="17"/>
  <c r="AP7" i="17" s="1"/>
  <c r="AQ7" i="17"/>
  <c r="AR5" i="17"/>
  <c r="AR20" i="17" s="1"/>
  <c r="AT5" i="17"/>
  <c r="AT20" i="17" s="1"/>
  <c r="R6" i="17"/>
  <c r="R9" i="17"/>
  <c r="AP9" i="17" s="1"/>
  <c r="AQ9" i="17"/>
  <c r="R11" i="17"/>
  <c r="T11" i="17" s="1"/>
  <c r="AP11" i="17" s="1"/>
  <c r="AQ11" i="17"/>
  <c r="AS13" i="17"/>
  <c r="AS15" i="17"/>
  <c r="T16" i="17"/>
  <c r="AP16" i="17" s="1"/>
  <c r="N51" i="13"/>
  <c r="K51" i="13"/>
  <c r="N48" i="13"/>
  <c r="K48" i="13"/>
  <c r="N45" i="13"/>
  <c r="K45" i="13"/>
  <c r="N42" i="13"/>
  <c r="K42" i="13"/>
  <c r="N39" i="13"/>
  <c r="K39" i="13"/>
  <c r="N36" i="13"/>
  <c r="K36" i="13"/>
  <c r="N33" i="13"/>
  <c r="K33" i="13"/>
  <c r="N30" i="13"/>
  <c r="K30" i="13"/>
  <c r="N27" i="13"/>
  <c r="K27" i="13"/>
  <c r="N24" i="13"/>
  <c r="K24" i="13"/>
  <c r="P24" i="13" s="1"/>
  <c r="N21" i="13"/>
  <c r="K21" i="13"/>
  <c r="N18" i="13"/>
  <c r="K18" i="13"/>
  <c r="O18" i="13" s="1"/>
  <c r="N15" i="13"/>
  <c r="K15" i="13"/>
  <c r="K12" i="13"/>
  <c r="P12" i="13" s="1"/>
  <c r="N9" i="13"/>
  <c r="K9" i="13"/>
  <c r="P9" i="13" s="1"/>
  <c r="N6" i="13"/>
  <c r="K6" i="13"/>
  <c r="P6" i="13" s="1"/>
  <c r="N3" i="13"/>
  <c r="K3" i="13"/>
  <c r="BH24" i="12"/>
  <c r="M24" i="12"/>
  <c r="L24" i="12"/>
  <c r="K24" i="12"/>
  <c r="J24" i="12"/>
  <c r="I24" i="12"/>
  <c r="H24" i="12"/>
  <c r="G24" i="12"/>
  <c r="AY23" i="12"/>
  <c r="AX23" i="12"/>
  <c r="AI23" i="12"/>
  <c r="AH23" i="12"/>
  <c r="AT23" i="12" s="1"/>
  <c r="AG23" i="12"/>
  <c r="AE23" i="12"/>
  <c r="AD23" i="12"/>
  <c r="AR23" i="12" s="1"/>
  <c r="AC23" i="12"/>
  <c r="AS23" i="12" s="1"/>
  <c r="AB23" i="12"/>
  <c r="AQ23" i="12" s="1"/>
  <c r="AA23" i="12"/>
  <c r="Z23" i="12"/>
  <c r="Y23" i="12"/>
  <c r="X23" i="12"/>
  <c r="W23" i="12"/>
  <c r="V23" i="12"/>
  <c r="R23" i="12"/>
  <c r="Q23" i="12"/>
  <c r="N23" i="12"/>
  <c r="AY22" i="12"/>
  <c r="AX22" i="12"/>
  <c r="AI22" i="12"/>
  <c r="AH22" i="12"/>
  <c r="AT22" i="12" s="1"/>
  <c r="AG22" i="12"/>
  <c r="AE22" i="12"/>
  <c r="AD22" i="12"/>
  <c r="AR22" i="12" s="1"/>
  <c r="AC22" i="12"/>
  <c r="AS22" i="12" s="1"/>
  <c r="AB22" i="12"/>
  <c r="AQ22" i="12" s="1"/>
  <c r="AA22" i="12"/>
  <c r="Z22" i="12"/>
  <c r="Y22" i="12"/>
  <c r="X22" i="12"/>
  <c r="W22" i="12"/>
  <c r="V22" i="12"/>
  <c r="R22" i="12"/>
  <c r="T22" i="12" s="1"/>
  <c r="AP22" i="12" s="1"/>
  <c r="Q22" i="12"/>
  <c r="N22" i="12"/>
  <c r="AH21" i="12"/>
  <c r="AT21" i="12" s="1"/>
  <c r="AG21" i="12"/>
  <c r="AD21" i="12"/>
  <c r="AR21" i="12" s="1"/>
  <c r="AC21" i="12"/>
  <c r="AS21" i="12" s="1"/>
  <c r="AB21" i="12"/>
  <c r="AQ21" i="12" s="1"/>
  <c r="Z21" i="12"/>
  <c r="Y21" i="12"/>
  <c r="X21" i="12"/>
  <c r="W21" i="12"/>
  <c r="V21" i="12"/>
  <c r="Q21" i="12"/>
  <c r="N21" i="12"/>
  <c r="AH20" i="12"/>
  <c r="AT20" i="12" s="1"/>
  <c r="AG20" i="12"/>
  <c r="AD20" i="12"/>
  <c r="AC20" i="12"/>
  <c r="AS20" i="12" s="1"/>
  <c r="AB20" i="12"/>
  <c r="AQ20" i="12" s="1"/>
  <c r="Z20" i="12"/>
  <c r="Y20" i="12"/>
  <c r="X20" i="12"/>
  <c r="W20" i="12"/>
  <c r="V20" i="12"/>
  <c r="Q20" i="12"/>
  <c r="N20" i="12"/>
  <c r="AH19" i="12"/>
  <c r="AT19" i="12" s="1"/>
  <c r="AG19" i="12"/>
  <c r="AD19" i="12"/>
  <c r="AR19" i="12" s="1"/>
  <c r="AC19" i="12"/>
  <c r="AS19" i="12" s="1"/>
  <c r="AB19" i="12"/>
  <c r="AQ19" i="12" s="1"/>
  <c r="Z19" i="12"/>
  <c r="Y19" i="12"/>
  <c r="X19" i="12"/>
  <c r="W19" i="12"/>
  <c r="V19" i="12"/>
  <c r="Q19" i="12"/>
  <c r="N19" i="12"/>
  <c r="AH18" i="12"/>
  <c r="AG18" i="12"/>
  <c r="AD18" i="12"/>
  <c r="AR18" i="12" s="1"/>
  <c r="AC18" i="12"/>
  <c r="AS18" i="12" s="1"/>
  <c r="AB18" i="12"/>
  <c r="AQ18" i="12" s="1"/>
  <c r="Z18" i="12"/>
  <c r="Y18" i="12"/>
  <c r="X18" i="12"/>
  <c r="W18" i="12"/>
  <c r="V18" i="12"/>
  <c r="Q18" i="12"/>
  <c r="N18" i="12"/>
  <c r="AH17" i="12"/>
  <c r="AT17" i="12" s="1"/>
  <c r="AG17" i="12"/>
  <c r="AD17" i="12"/>
  <c r="AR17" i="12" s="1"/>
  <c r="AC17" i="12"/>
  <c r="AS17" i="12" s="1"/>
  <c r="AB17" i="12"/>
  <c r="AQ17" i="12" s="1"/>
  <c r="Z17" i="12"/>
  <c r="Y17" i="12"/>
  <c r="X17" i="12"/>
  <c r="W17" i="12"/>
  <c r="V17" i="12"/>
  <c r="Q17" i="12"/>
  <c r="N17" i="12"/>
  <c r="AH16" i="12"/>
  <c r="AT16" i="12" s="1"/>
  <c r="AG16" i="12"/>
  <c r="AI16" i="12" s="1"/>
  <c r="AD16" i="12"/>
  <c r="AR16" i="12" s="1"/>
  <c r="AC16" i="12"/>
  <c r="AS16" i="12" s="1"/>
  <c r="AB16" i="12"/>
  <c r="AQ16" i="12" s="1"/>
  <c r="Z16" i="12"/>
  <c r="Y16" i="12"/>
  <c r="X16" i="12"/>
  <c r="W16" i="12"/>
  <c r="V16" i="12"/>
  <c r="Q16" i="12"/>
  <c r="N16" i="12"/>
  <c r="R16" i="12" s="1"/>
  <c r="T16" i="12" s="1"/>
  <c r="AP16" i="12" s="1"/>
  <c r="AH15" i="12"/>
  <c r="AT15" i="12" s="1"/>
  <c r="AG15" i="12"/>
  <c r="AI15" i="12" s="1"/>
  <c r="AD15" i="12"/>
  <c r="AR15" i="12" s="1"/>
  <c r="AC15" i="12"/>
  <c r="AS15" i="12" s="1"/>
  <c r="AB15" i="12"/>
  <c r="Z15" i="12"/>
  <c r="Y15" i="12"/>
  <c r="X15" i="12"/>
  <c r="W15" i="12"/>
  <c r="V15" i="12"/>
  <c r="Q15" i="12"/>
  <c r="N15" i="12"/>
  <c r="R15" i="12" s="1"/>
  <c r="T15" i="12" s="1"/>
  <c r="AP15" i="12" s="1"/>
  <c r="AT14" i="12"/>
  <c r="AH14" i="12"/>
  <c r="AG14" i="12"/>
  <c r="AI14" i="12" s="1"/>
  <c r="AD14" i="12"/>
  <c r="AC14" i="12"/>
  <c r="AS14" i="12" s="1"/>
  <c r="AB14" i="12"/>
  <c r="AQ14" i="12" s="1"/>
  <c r="Z14" i="12"/>
  <c r="Y14" i="12"/>
  <c r="X14" i="12"/>
  <c r="W14" i="12"/>
  <c r="V14" i="12"/>
  <c r="Q14" i="12"/>
  <c r="N14" i="12"/>
  <c r="AH13" i="12"/>
  <c r="AG13" i="12"/>
  <c r="AD13" i="12"/>
  <c r="AR13" i="12" s="1"/>
  <c r="AC13" i="12"/>
  <c r="AS13" i="12" s="1"/>
  <c r="AB13" i="12"/>
  <c r="AQ13" i="12" s="1"/>
  <c r="Z13" i="12"/>
  <c r="Y13" i="12"/>
  <c r="X13" i="12"/>
  <c r="W13" i="12"/>
  <c r="V13" i="12"/>
  <c r="Q13" i="12"/>
  <c r="N13" i="12"/>
  <c r="AH12" i="12"/>
  <c r="AT12" i="12" s="1"/>
  <c r="AG12" i="12"/>
  <c r="AE12" i="12"/>
  <c r="AD12" i="12"/>
  <c r="AR12" i="12" s="1"/>
  <c r="AC12" i="12"/>
  <c r="AS12" i="12" s="1"/>
  <c r="AB12" i="12"/>
  <c r="AQ12" i="12" s="1"/>
  <c r="Z12" i="12"/>
  <c r="Y12" i="12"/>
  <c r="X12" i="12"/>
  <c r="W12" i="12"/>
  <c r="V12" i="12"/>
  <c r="Q12" i="12"/>
  <c r="N12" i="12"/>
  <c r="AT11" i="12"/>
  <c r="AS11" i="12"/>
  <c r="AH11" i="12"/>
  <c r="AG11" i="12"/>
  <c r="AI11" i="12" s="1"/>
  <c r="AD11" i="12"/>
  <c r="AR11" i="12" s="1"/>
  <c r="AC11" i="12"/>
  <c r="AB11" i="12"/>
  <c r="AQ11" i="12" s="1"/>
  <c r="Z11" i="12"/>
  <c r="Y11" i="12"/>
  <c r="X11" i="12"/>
  <c r="W11" i="12"/>
  <c r="V11" i="12"/>
  <c r="Q11" i="12"/>
  <c r="N11" i="12"/>
  <c r="AH10" i="12"/>
  <c r="AT10" i="12" s="1"/>
  <c r="AG10" i="12"/>
  <c r="AD10" i="12"/>
  <c r="AR10" i="12" s="1"/>
  <c r="AC10" i="12"/>
  <c r="AE10" i="12" s="1"/>
  <c r="AB10" i="12"/>
  <c r="AQ10" i="12" s="1"/>
  <c r="Z10" i="12"/>
  <c r="Y10" i="12"/>
  <c r="X10" i="12"/>
  <c r="W10" i="12"/>
  <c r="V10" i="12"/>
  <c r="Q10" i="12"/>
  <c r="N10" i="12"/>
  <c r="AH9" i="12"/>
  <c r="AT9" i="12" s="1"/>
  <c r="AG9" i="12"/>
  <c r="AI9" i="12" s="1"/>
  <c r="AD9" i="12"/>
  <c r="AR9" i="12" s="1"/>
  <c r="AC9" i="12"/>
  <c r="AS9" i="12" s="1"/>
  <c r="AB9" i="12"/>
  <c r="AQ9" i="12" s="1"/>
  <c r="Z9" i="12"/>
  <c r="Y9" i="12"/>
  <c r="X9" i="12"/>
  <c r="W9" i="12"/>
  <c r="Q9" i="12"/>
  <c r="N9" i="12"/>
  <c r="AH8" i="12"/>
  <c r="AT8" i="12" s="1"/>
  <c r="AG8" i="12"/>
  <c r="AI8" i="12" s="1"/>
  <c r="AD8" i="12"/>
  <c r="AR8" i="12" s="1"/>
  <c r="AC8" i="12"/>
  <c r="AS8" i="12" s="1"/>
  <c r="AB8" i="12"/>
  <c r="Z8" i="12"/>
  <c r="Y8" i="12"/>
  <c r="X8" i="12"/>
  <c r="W8" i="12"/>
  <c r="V8" i="12"/>
  <c r="N8" i="12"/>
  <c r="T8" i="12" s="1"/>
  <c r="AP8" i="12" s="1"/>
  <c r="AH7" i="12"/>
  <c r="AT7" i="12" s="1"/>
  <c r="AG7" i="12"/>
  <c r="AD7" i="12"/>
  <c r="AR7" i="12" s="1"/>
  <c r="AC7" i="12"/>
  <c r="AS7" i="12" s="1"/>
  <c r="AB7" i="12"/>
  <c r="AQ7" i="12" s="1"/>
  <c r="Z7" i="12"/>
  <c r="Y7" i="12"/>
  <c r="X7" i="12"/>
  <c r="W7" i="12"/>
  <c r="V7" i="12"/>
  <c r="Q7" i="12"/>
  <c r="N7" i="12"/>
  <c r="AH6" i="12"/>
  <c r="AT6" i="12" s="1"/>
  <c r="AG6" i="12"/>
  <c r="AD6" i="12"/>
  <c r="AR6" i="12" s="1"/>
  <c r="AC6" i="12"/>
  <c r="AS6" i="12" s="1"/>
  <c r="AB6" i="12"/>
  <c r="AQ6" i="12" s="1"/>
  <c r="Z6" i="12"/>
  <c r="Y6" i="12"/>
  <c r="X6" i="12"/>
  <c r="W6" i="12"/>
  <c r="V6" i="12"/>
  <c r="Q6" i="12"/>
  <c r="N6" i="12"/>
  <c r="AH5" i="12"/>
  <c r="AG5" i="12"/>
  <c r="AD5" i="12"/>
  <c r="AC5" i="12"/>
  <c r="AB5" i="12"/>
  <c r="Z5" i="12"/>
  <c r="Y5" i="12"/>
  <c r="X5" i="12"/>
  <c r="W5" i="12"/>
  <c r="V5" i="12"/>
  <c r="N5" i="12"/>
  <c r="T5" i="12" s="1"/>
  <c r="AA3" i="12"/>
  <c r="N51" i="10"/>
  <c r="K51" i="10"/>
  <c r="O51" i="10" s="1"/>
  <c r="P51" i="10" s="1"/>
  <c r="N48" i="10"/>
  <c r="K48" i="10"/>
  <c r="N45" i="10"/>
  <c r="K45" i="10"/>
  <c r="O45" i="10" s="1"/>
  <c r="P45" i="10" s="1"/>
  <c r="N42" i="10"/>
  <c r="K42" i="10"/>
  <c r="N39" i="10"/>
  <c r="K39" i="10"/>
  <c r="O39" i="10" s="1"/>
  <c r="P39" i="10" s="1"/>
  <c r="N36" i="10"/>
  <c r="K36" i="10"/>
  <c r="O36" i="10" s="1"/>
  <c r="P36" i="10" s="1"/>
  <c r="N33" i="10"/>
  <c r="O33" i="10" s="1"/>
  <c r="P33" i="10" s="1"/>
  <c r="K33" i="10"/>
  <c r="N30" i="10"/>
  <c r="K30" i="10"/>
  <c r="N27" i="10"/>
  <c r="K27" i="10"/>
  <c r="N24" i="10"/>
  <c r="K24" i="10"/>
  <c r="P24" i="10" s="1"/>
  <c r="O21" i="10"/>
  <c r="N21" i="10"/>
  <c r="K21" i="10"/>
  <c r="N18" i="10"/>
  <c r="K18" i="10"/>
  <c r="N15" i="10"/>
  <c r="K15" i="10"/>
  <c r="N12" i="10"/>
  <c r="K12" i="10"/>
  <c r="P12" i="10" s="1"/>
  <c r="N9" i="10"/>
  <c r="K9" i="10"/>
  <c r="P9" i="10" s="1"/>
  <c r="P6" i="10"/>
  <c r="N6" i="10"/>
  <c r="K6" i="10"/>
  <c r="N3" i="10"/>
  <c r="K3" i="10"/>
  <c r="M24" i="11"/>
  <c r="L24" i="11"/>
  <c r="K24" i="11"/>
  <c r="J24" i="11"/>
  <c r="I24" i="11"/>
  <c r="H24" i="11"/>
  <c r="G24" i="11"/>
  <c r="AY23" i="11"/>
  <c r="AX23" i="11"/>
  <c r="AI23" i="11"/>
  <c r="AH23" i="11"/>
  <c r="AT23" i="11" s="1"/>
  <c r="AG23" i="11"/>
  <c r="AE23" i="11"/>
  <c r="AD23" i="11"/>
  <c r="AR23" i="11" s="1"/>
  <c r="AC23" i="11"/>
  <c r="AS23" i="11" s="1"/>
  <c r="AB23" i="11"/>
  <c r="AQ23" i="11" s="1"/>
  <c r="AA23" i="11"/>
  <c r="Z23" i="11"/>
  <c r="Y23" i="11"/>
  <c r="X23" i="11"/>
  <c r="W23" i="11"/>
  <c r="V23" i="11"/>
  <c r="R23" i="11"/>
  <c r="T23" i="11" s="1"/>
  <c r="AP23" i="11" s="1"/>
  <c r="Q23" i="11"/>
  <c r="N23" i="11"/>
  <c r="AY22" i="11"/>
  <c r="AX22" i="11"/>
  <c r="AI22" i="11"/>
  <c r="AH22" i="11"/>
  <c r="AT22" i="11" s="1"/>
  <c r="AG22" i="11"/>
  <c r="AE22" i="11"/>
  <c r="AD22" i="11"/>
  <c r="AR22" i="11" s="1"/>
  <c r="AC22" i="11"/>
  <c r="AS22" i="11" s="1"/>
  <c r="AB22" i="11"/>
  <c r="AQ22" i="11" s="1"/>
  <c r="AA22" i="11"/>
  <c r="Z22" i="11"/>
  <c r="Y22" i="11"/>
  <c r="X22" i="11"/>
  <c r="W22" i="11"/>
  <c r="V22" i="11"/>
  <c r="R22" i="11"/>
  <c r="Q22" i="11"/>
  <c r="N22" i="11"/>
  <c r="AY21" i="11"/>
  <c r="AY21" i="12" s="1"/>
  <c r="AY17" i="17" s="1"/>
  <c r="AY15" i="19" s="1"/>
  <c r="AI21" i="11"/>
  <c r="AH21" i="11"/>
  <c r="AT21" i="11" s="1"/>
  <c r="AG21" i="11"/>
  <c r="AD21" i="11"/>
  <c r="AR21" i="11" s="1"/>
  <c r="AC21" i="11"/>
  <c r="AS21" i="11" s="1"/>
  <c r="AB21" i="11"/>
  <c r="AQ21" i="11" s="1"/>
  <c r="Z21" i="11"/>
  <c r="Y21" i="11"/>
  <c r="X21" i="11"/>
  <c r="W21" i="11"/>
  <c r="V21" i="11"/>
  <c r="Q21" i="11"/>
  <c r="N21" i="11"/>
  <c r="AY20" i="11"/>
  <c r="AY20" i="12" s="1"/>
  <c r="AY16" i="17" s="1"/>
  <c r="AH20" i="11"/>
  <c r="AT20" i="11" s="1"/>
  <c r="AG20" i="11"/>
  <c r="AD20" i="11"/>
  <c r="AR20" i="11" s="1"/>
  <c r="AC20" i="11"/>
  <c r="AS20" i="11" s="1"/>
  <c r="AB20" i="11"/>
  <c r="AQ20" i="11" s="1"/>
  <c r="Z20" i="11"/>
  <c r="Y20" i="11"/>
  <c r="X20" i="11"/>
  <c r="W20" i="11"/>
  <c r="V20" i="11"/>
  <c r="Q20" i="11"/>
  <c r="N20" i="11"/>
  <c r="AH19" i="11"/>
  <c r="AT19" i="11" s="1"/>
  <c r="AG19" i="11"/>
  <c r="AI19" i="11" s="1"/>
  <c r="AD19" i="11"/>
  <c r="AR19" i="11" s="1"/>
  <c r="AC19" i="11"/>
  <c r="AS19" i="11" s="1"/>
  <c r="AB19" i="11"/>
  <c r="AQ19" i="11" s="1"/>
  <c r="Z19" i="11"/>
  <c r="Y19" i="11"/>
  <c r="X19" i="11"/>
  <c r="W19" i="11"/>
  <c r="V19" i="11"/>
  <c r="Q19" i="11"/>
  <c r="N19" i="11"/>
  <c r="R19" i="11" s="1"/>
  <c r="T19" i="11" s="1"/>
  <c r="AP19" i="11" s="1"/>
  <c r="AX18" i="11"/>
  <c r="AX18" i="12" s="1"/>
  <c r="AQ18" i="11"/>
  <c r="AH18" i="11"/>
  <c r="AT18" i="11" s="1"/>
  <c r="AG18" i="11"/>
  <c r="AD18" i="11"/>
  <c r="AR18" i="11" s="1"/>
  <c r="AC18" i="11"/>
  <c r="AS18" i="11" s="1"/>
  <c r="AB18" i="11"/>
  <c r="Z18" i="11"/>
  <c r="Y18" i="11"/>
  <c r="X18" i="11"/>
  <c r="W18" i="11"/>
  <c r="V18" i="11"/>
  <c r="Q18" i="11"/>
  <c r="N18" i="11"/>
  <c r="AH17" i="11"/>
  <c r="AT17" i="11" s="1"/>
  <c r="AG17" i="11"/>
  <c r="AD17" i="11"/>
  <c r="AR17" i="11" s="1"/>
  <c r="AC17" i="11"/>
  <c r="AS17" i="11" s="1"/>
  <c r="AB17" i="11"/>
  <c r="AQ17" i="11" s="1"/>
  <c r="Z17" i="11"/>
  <c r="Y17" i="11"/>
  <c r="X17" i="11"/>
  <c r="W17" i="11"/>
  <c r="V17" i="11"/>
  <c r="Q17" i="11"/>
  <c r="N17" i="11"/>
  <c r="AH16" i="11"/>
  <c r="AT16" i="11" s="1"/>
  <c r="AG16" i="11"/>
  <c r="AD16" i="11"/>
  <c r="AR16" i="11" s="1"/>
  <c r="AC16" i="11"/>
  <c r="AS16" i="11" s="1"/>
  <c r="AB16" i="11"/>
  <c r="AQ16" i="11" s="1"/>
  <c r="Z16" i="11"/>
  <c r="Y16" i="11"/>
  <c r="X16" i="11"/>
  <c r="W16" i="11"/>
  <c r="V16" i="11"/>
  <c r="Q16" i="11"/>
  <c r="N16" i="11"/>
  <c r="AH15" i="11"/>
  <c r="AT15" i="11" s="1"/>
  <c r="AG15" i="11"/>
  <c r="AD15" i="11"/>
  <c r="AR15" i="11" s="1"/>
  <c r="AC15" i="11"/>
  <c r="AS15" i="11" s="1"/>
  <c r="AB15" i="11"/>
  <c r="Z15" i="11"/>
  <c r="Y15" i="11"/>
  <c r="X15" i="11"/>
  <c r="W15" i="11"/>
  <c r="V15" i="11"/>
  <c r="Q15" i="11"/>
  <c r="N15" i="11"/>
  <c r="AH14" i="11"/>
  <c r="AT14" i="11" s="1"/>
  <c r="AG14" i="11"/>
  <c r="AD14" i="11"/>
  <c r="AR14" i="11" s="1"/>
  <c r="AC14" i="11"/>
  <c r="AS14" i="11" s="1"/>
  <c r="AB14" i="11"/>
  <c r="AE14" i="11" s="1"/>
  <c r="Z14" i="11"/>
  <c r="Y14" i="11"/>
  <c r="X14" i="11"/>
  <c r="W14" i="11"/>
  <c r="V14" i="11"/>
  <c r="Q14" i="11"/>
  <c r="N14" i="11"/>
  <c r="AH13" i="11"/>
  <c r="AT13" i="11" s="1"/>
  <c r="AG13" i="11"/>
  <c r="AD13" i="11"/>
  <c r="AR13" i="11" s="1"/>
  <c r="AC13" i="11"/>
  <c r="AS13" i="11" s="1"/>
  <c r="AB13" i="11"/>
  <c r="AQ13" i="11" s="1"/>
  <c r="Z13" i="11"/>
  <c r="Y13" i="11"/>
  <c r="X13" i="11"/>
  <c r="W13" i="11"/>
  <c r="V13" i="11"/>
  <c r="Q13" i="11"/>
  <c r="N13" i="11"/>
  <c r="AH12" i="11"/>
  <c r="AT12" i="11" s="1"/>
  <c r="AG12" i="11"/>
  <c r="AI12" i="11" s="1"/>
  <c r="AD12" i="11"/>
  <c r="AR12" i="11" s="1"/>
  <c r="AC12" i="11"/>
  <c r="AS12" i="11" s="1"/>
  <c r="AB12" i="11"/>
  <c r="AQ12" i="11" s="1"/>
  <c r="Z12" i="11"/>
  <c r="Y12" i="11"/>
  <c r="X12" i="11"/>
  <c r="W12" i="11"/>
  <c r="V12" i="11"/>
  <c r="Q12" i="11"/>
  <c r="N12" i="11"/>
  <c r="AR11" i="11"/>
  <c r="AH11" i="11"/>
  <c r="AT11" i="11" s="1"/>
  <c r="AG11" i="11"/>
  <c r="AD11" i="11"/>
  <c r="AC11" i="11"/>
  <c r="AS11" i="11" s="1"/>
  <c r="AB11" i="11"/>
  <c r="AE11" i="11" s="1"/>
  <c r="Z11" i="11"/>
  <c r="Y11" i="11"/>
  <c r="X11" i="11"/>
  <c r="W11" i="11"/>
  <c r="AA11" i="11" s="1"/>
  <c r="V11" i="11"/>
  <c r="Q11" i="11"/>
  <c r="N11" i="11"/>
  <c r="R11" i="11" s="1"/>
  <c r="T11" i="11" s="1"/>
  <c r="AP11" i="11" s="1"/>
  <c r="AT10" i="11"/>
  <c r="AH10" i="11"/>
  <c r="AG10" i="11"/>
  <c r="AI10" i="11" s="1"/>
  <c r="AD10" i="11"/>
  <c r="AR10" i="11" s="1"/>
  <c r="AC10" i="11"/>
  <c r="AS10" i="11" s="1"/>
  <c r="AB10" i="11"/>
  <c r="Z10" i="11"/>
  <c r="Y10" i="11"/>
  <c r="X10" i="11"/>
  <c r="W10" i="11"/>
  <c r="V10" i="11"/>
  <c r="Q10" i="11"/>
  <c r="N10" i="11"/>
  <c r="AH9" i="11"/>
  <c r="AT9" i="11" s="1"/>
  <c r="AG9" i="11"/>
  <c r="AI9" i="11" s="1"/>
  <c r="AD9" i="11"/>
  <c r="AR9" i="11" s="1"/>
  <c r="AC9" i="11"/>
  <c r="AS9" i="11" s="1"/>
  <c r="AB9" i="11"/>
  <c r="AQ9" i="11" s="1"/>
  <c r="Z9" i="11"/>
  <c r="Y9" i="11"/>
  <c r="X9" i="11"/>
  <c r="W9" i="11"/>
  <c r="V9" i="11"/>
  <c r="Q9" i="11"/>
  <c r="N9" i="11"/>
  <c r="AH8" i="11"/>
  <c r="AT8" i="11" s="1"/>
  <c r="AG8" i="11"/>
  <c r="AD8" i="11"/>
  <c r="AR8" i="11" s="1"/>
  <c r="AC8" i="11"/>
  <c r="AS8" i="11" s="1"/>
  <c r="AB8" i="11"/>
  <c r="AQ8" i="11" s="1"/>
  <c r="Z8" i="11"/>
  <c r="Y8" i="11"/>
  <c r="X8" i="11"/>
  <c r="W8" i="11"/>
  <c r="V8" i="11"/>
  <c r="T8" i="11"/>
  <c r="AP8" i="11" s="1"/>
  <c r="N8" i="11"/>
  <c r="AH7" i="11"/>
  <c r="AT7" i="11" s="1"/>
  <c r="AG7" i="11"/>
  <c r="AD7" i="11"/>
  <c r="AC7" i="11"/>
  <c r="AS7" i="11" s="1"/>
  <c r="AB7" i="11"/>
  <c r="AQ7" i="11" s="1"/>
  <c r="Z7" i="11"/>
  <c r="Y7" i="11"/>
  <c r="X7" i="11"/>
  <c r="W7" i="11"/>
  <c r="V7" i="11"/>
  <c r="Q7" i="11"/>
  <c r="N7" i="11"/>
  <c r="AH6" i="11"/>
  <c r="AG6" i="11"/>
  <c r="AD6" i="11"/>
  <c r="AR6" i="11" s="1"/>
  <c r="AC6" i="11"/>
  <c r="AS6" i="11" s="1"/>
  <c r="AB6" i="11"/>
  <c r="AQ6" i="11" s="1"/>
  <c r="Z6" i="11"/>
  <c r="Y6" i="11"/>
  <c r="X6" i="11"/>
  <c r="W6" i="11"/>
  <c r="V6" i="11"/>
  <c r="Q6" i="11"/>
  <c r="N6" i="11"/>
  <c r="AR5" i="11"/>
  <c r="AH5" i="11"/>
  <c r="AT5" i="11" s="1"/>
  <c r="AG5" i="11"/>
  <c r="AD5" i="11"/>
  <c r="AC5" i="11"/>
  <c r="AS5" i="11" s="1"/>
  <c r="AB5" i="11"/>
  <c r="Z5" i="11"/>
  <c r="Y5" i="11"/>
  <c r="X5" i="11"/>
  <c r="W5" i="11"/>
  <c r="V5" i="11"/>
  <c r="N5" i="11"/>
  <c r="T5" i="11" s="1"/>
  <c r="AA3" i="11"/>
  <c r="N51" i="8"/>
  <c r="K51" i="8"/>
  <c r="N48" i="8"/>
  <c r="K48" i="8"/>
  <c r="N45" i="8"/>
  <c r="K45" i="8"/>
  <c r="N42" i="8"/>
  <c r="K42" i="8"/>
  <c r="N39" i="8"/>
  <c r="K39" i="8"/>
  <c r="N36" i="8"/>
  <c r="K36" i="8"/>
  <c r="N33" i="8"/>
  <c r="K33" i="8"/>
  <c r="N30" i="8"/>
  <c r="O30" i="8" s="1"/>
  <c r="K30" i="8"/>
  <c r="N27" i="8"/>
  <c r="K27" i="8"/>
  <c r="N24" i="8"/>
  <c r="K24" i="8"/>
  <c r="N21" i="8"/>
  <c r="K21" i="8"/>
  <c r="N18" i="8"/>
  <c r="K18" i="8"/>
  <c r="N15" i="8"/>
  <c r="K15" i="8"/>
  <c r="N12" i="8"/>
  <c r="K12" i="8"/>
  <c r="N9" i="8"/>
  <c r="K9" i="8"/>
  <c r="P9" i="8" s="1"/>
  <c r="N6" i="8"/>
  <c r="K6" i="8"/>
  <c r="P6" i="8" s="1"/>
  <c r="N3" i="8"/>
  <c r="K3" i="8"/>
  <c r="BE24" i="1"/>
  <c r="M24" i="1"/>
  <c r="L24" i="1"/>
  <c r="K24" i="1"/>
  <c r="J24" i="1"/>
  <c r="I24" i="1"/>
  <c r="H24" i="1"/>
  <c r="G24" i="1"/>
  <c r="BB23" i="1"/>
  <c r="BA23" i="1"/>
  <c r="AZ23" i="1"/>
  <c r="AZ23" i="12" s="1"/>
  <c r="AY23" i="1"/>
  <c r="AX23" i="1"/>
  <c r="AV23" i="1"/>
  <c r="AV23" i="11" s="1"/>
  <c r="AI23" i="1"/>
  <c r="AH23" i="1"/>
  <c r="AT23" i="1" s="1"/>
  <c r="AG23" i="1"/>
  <c r="AE23" i="1"/>
  <c r="AD23" i="1"/>
  <c r="AR23" i="1" s="1"/>
  <c r="AC23" i="1"/>
  <c r="AS23" i="1" s="1"/>
  <c r="AB23" i="1"/>
  <c r="AQ23" i="1" s="1"/>
  <c r="AA23" i="1"/>
  <c r="Z23" i="1"/>
  <c r="Y23" i="1"/>
  <c r="X23" i="1"/>
  <c r="W23" i="1"/>
  <c r="V23" i="1"/>
  <c r="R23" i="1"/>
  <c r="Q23" i="1"/>
  <c r="N23" i="1"/>
  <c r="BB22" i="1"/>
  <c r="BB22" i="12" s="1"/>
  <c r="BA22" i="1"/>
  <c r="AZ22" i="1"/>
  <c r="AY22" i="1"/>
  <c r="AX22" i="1"/>
  <c r="AV22" i="1"/>
  <c r="AV22" i="11" s="1"/>
  <c r="AI22" i="1"/>
  <c r="AH22" i="1"/>
  <c r="AT22" i="1" s="1"/>
  <c r="AG22" i="1"/>
  <c r="AE22" i="1"/>
  <c r="AD22" i="1"/>
  <c r="AR22" i="1" s="1"/>
  <c r="AC22" i="1"/>
  <c r="AS22" i="1" s="1"/>
  <c r="AB22" i="1"/>
  <c r="AQ22" i="1" s="1"/>
  <c r="AA22" i="1"/>
  <c r="Z22" i="1"/>
  <c r="Y22" i="1"/>
  <c r="X22" i="1"/>
  <c r="W22" i="1"/>
  <c r="V22" i="1"/>
  <c r="R22" i="1"/>
  <c r="Q22" i="1"/>
  <c r="N22" i="1"/>
  <c r="T22" i="1" s="1"/>
  <c r="AP22" i="1" s="1"/>
  <c r="BB21" i="1"/>
  <c r="BB21" i="11" s="1"/>
  <c r="BB21" i="12" s="1"/>
  <c r="BB17" i="17" s="1"/>
  <c r="BB15" i="19" s="1"/>
  <c r="BA21" i="1"/>
  <c r="BA21" i="11" s="1"/>
  <c r="BA21" i="12" s="1"/>
  <c r="BA17" i="17" s="1"/>
  <c r="BA15" i="19" s="1"/>
  <c r="AZ21" i="1"/>
  <c r="AZ21" i="11" s="1"/>
  <c r="AZ21" i="12" s="1"/>
  <c r="AZ17" i="17" s="1"/>
  <c r="AZ15" i="19" s="1"/>
  <c r="AY21" i="1"/>
  <c r="AX21" i="1"/>
  <c r="AX21" i="11" s="1"/>
  <c r="AX21" i="12" s="1"/>
  <c r="AX17" i="17" s="1"/>
  <c r="AX15" i="19" s="1"/>
  <c r="AV21" i="1"/>
  <c r="AV21" i="11" s="1"/>
  <c r="AV21" i="12" s="1"/>
  <c r="AV17" i="17" s="1"/>
  <c r="AV15" i="19" s="1"/>
  <c r="AH21" i="1"/>
  <c r="AT21" i="1" s="1"/>
  <c r="AG21" i="1"/>
  <c r="AD21" i="1"/>
  <c r="AR21" i="1" s="1"/>
  <c r="AC21" i="1"/>
  <c r="AS21" i="1" s="1"/>
  <c r="AB21" i="1"/>
  <c r="AQ21" i="1" s="1"/>
  <c r="Z21" i="1"/>
  <c r="Y21" i="1"/>
  <c r="X21" i="1"/>
  <c r="W21" i="1"/>
  <c r="V21" i="1"/>
  <c r="Q21" i="1"/>
  <c r="N21" i="1"/>
  <c r="BB20" i="1"/>
  <c r="BB20" i="11" s="1"/>
  <c r="BB20" i="12" s="1"/>
  <c r="BB16" i="17" s="1"/>
  <c r="BA20" i="1"/>
  <c r="BA20" i="11" s="1"/>
  <c r="BA20" i="12" s="1"/>
  <c r="BA16" i="17" s="1"/>
  <c r="AZ20" i="1"/>
  <c r="AZ20" i="11" s="1"/>
  <c r="AZ20" i="12" s="1"/>
  <c r="AZ16" i="17" s="1"/>
  <c r="AY20" i="1"/>
  <c r="AX20" i="1"/>
  <c r="AX20" i="11" s="1"/>
  <c r="AX20" i="12" s="1"/>
  <c r="AX16" i="17" s="1"/>
  <c r="AV20" i="1"/>
  <c r="AV20" i="11" s="1"/>
  <c r="AV20" i="12" s="1"/>
  <c r="AV16" i="17" s="1"/>
  <c r="AH20" i="1"/>
  <c r="AT20" i="1" s="1"/>
  <c r="AG20" i="1"/>
  <c r="AD20" i="1"/>
  <c r="AR20" i="1" s="1"/>
  <c r="AC20" i="1"/>
  <c r="AS20" i="1" s="1"/>
  <c r="AB20" i="1"/>
  <c r="Z20" i="1"/>
  <c r="Y20" i="1"/>
  <c r="X20" i="1"/>
  <c r="W20" i="1"/>
  <c r="V20" i="1"/>
  <c r="Q20" i="1"/>
  <c r="N20" i="1"/>
  <c r="BB19" i="1"/>
  <c r="BB19" i="11" s="1"/>
  <c r="BB19" i="12" s="1"/>
  <c r="BB15" i="17" s="1"/>
  <c r="BB14" i="19" s="1"/>
  <c r="BA19" i="1"/>
  <c r="BA19" i="11" s="1"/>
  <c r="BA19" i="12" s="1"/>
  <c r="BA15" i="17" s="1"/>
  <c r="BA14" i="19" s="1"/>
  <c r="AZ19" i="1"/>
  <c r="AZ19" i="11" s="1"/>
  <c r="AZ19" i="12" s="1"/>
  <c r="AZ15" i="17" s="1"/>
  <c r="AZ14" i="19" s="1"/>
  <c r="AY19" i="1"/>
  <c r="AY19" i="11" s="1"/>
  <c r="AY19" i="12" s="1"/>
  <c r="AY15" i="17" s="1"/>
  <c r="AY14" i="19" s="1"/>
  <c r="AX19" i="1"/>
  <c r="AX19" i="11" s="1"/>
  <c r="AX19" i="12" s="1"/>
  <c r="AX15" i="17" s="1"/>
  <c r="AX14" i="19" s="1"/>
  <c r="AV19" i="1"/>
  <c r="AV19" i="11" s="1"/>
  <c r="AV19" i="12" s="1"/>
  <c r="AV15" i="17" s="1"/>
  <c r="AV14" i="19" s="1"/>
  <c r="AT19" i="1"/>
  <c r="AH19" i="1"/>
  <c r="AG19" i="1"/>
  <c r="AI19" i="1" s="1"/>
  <c r="AD19" i="1"/>
  <c r="AR19" i="1" s="1"/>
  <c r="AC19" i="1"/>
  <c r="AS19" i="1" s="1"/>
  <c r="AB19" i="1"/>
  <c r="AQ19" i="1" s="1"/>
  <c r="Z19" i="1"/>
  <c r="Y19" i="1"/>
  <c r="X19" i="1"/>
  <c r="W19" i="1"/>
  <c r="V19" i="1"/>
  <c r="Q19" i="1"/>
  <c r="N19" i="1"/>
  <c r="BB18" i="1"/>
  <c r="BB18" i="11" s="1"/>
  <c r="BB18" i="12" s="1"/>
  <c r="BA18" i="1"/>
  <c r="BA18" i="11" s="1"/>
  <c r="BA18" i="12" s="1"/>
  <c r="AZ18" i="1"/>
  <c r="AZ18" i="11" s="1"/>
  <c r="AZ18" i="12" s="1"/>
  <c r="AY18" i="1"/>
  <c r="AY18" i="11" s="1"/>
  <c r="AY18" i="12" s="1"/>
  <c r="AX18" i="1"/>
  <c r="AV18" i="1"/>
  <c r="AV18" i="11" s="1"/>
  <c r="AV18" i="12" s="1"/>
  <c r="AH18" i="1"/>
  <c r="AT18" i="1" s="1"/>
  <c r="AG18" i="1"/>
  <c r="AD18" i="1"/>
  <c r="AR18" i="1" s="1"/>
  <c r="AC18" i="1"/>
  <c r="AS18" i="1" s="1"/>
  <c r="AB18" i="1"/>
  <c r="Z18" i="1"/>
  <c r="Y18" i="1"/>
  <c r="X18" i="1"/>
  <c r="W18" i="1"/>
  <c r="V18" i="1"/>
  <c r="Q18" i="1"/>
  <c r="N18" i="1"/>
  <c r="BB17" i="1"/>
  <c r="BB17" i="11" s="1"/>
  <c r="BB17" i="12" s="1"/>
  <c r="BB14" i="17" s="1"/>
  <c r="BB13" i="19" s="1"/>
  <c r="BA17" i="1"/>
  <c r="BA17" i="11" s="1"/>
  <c r="BA17" i="12" s="1"/>
  <c r="BA14" i="17" s="1"/>
  <c r="BA13" i="19" s="1"/>
  <c r="AZ17" i="1"/>
  <c r="AZ17" i="11" s="1"/>
  <c r="AZ17" i="12" s="1"/>
  <c r="AZ14" i="17" s="1"/>
  <c r="AZ13" i="19" s="1"/>
  <c r="AY17" i="1"/>
  <c r="AY17" i="11" s="1"/>
  <c r="AY17" i="12" s="1"/>
  <c r="AY14" i="17" s="1"/>
  <c r="AY13" i="19" s="1"/>
  <c r="AX17" i="1"/>
  <c r="AX17" i="11" s="1"/>
  <c r="AX17" i="12" s="1"/>
  <c r="AX14" i="17" s="1"/>
  <c r="AX13" i="19" s="1"/>
  <c r="AV17" i="1"/>
  <c r="AV17" i="11" s="1"/>
  <c r="AV17" i="12" s="1"/>
  <c r="AV14" i="17" s="1"/>
  <c r="AV13" i="19" s="1"/>
  <c r="AH17" i="1"/>
  <c r="AT17" i="1" s="1"/>
  <c r="AG17" i="1"/>
  <c r="AI17" i="1" s="1"/>
  <c r="AD17" i="1"/>
  <c r="AR17" i="1" s="1"/>
  <c r="AC17" i="1"/>
  <c r="AS17" i="1" s="1"/>
  <c r="AB17" i="1"/>
  <c r="AQ17" i="1" s="1"/>
  <c r="Z17" i="1"/>
  <c r="Y17" i="1"/>
  <c r="X17" i="1"/>
  <c r="W17" i="1"/>
  <c r="V17" i="1"/>
  <c r="Q17" i="1"/>
  <c r="R17" i="1" s="1"/>
  <c r="N17" i="1"/>
  <c r="BB16" i="1"/>
  <c r="BB16" i="11" s="1"/>
  <c r="BB16" i="12" s="1"/>
  <c r="BB13" i="17" s="1"/>
  <c r="BA16" i="1"/>
  <c r="BA16" i="11" s="1"/>
  <c r="BA16" i="12" s="1"/>
  <c r="BA13" i="17" s="1"/>
  <c r="AZ16" i="1"/>
  <c r="AZ16" i="11" s="1"/>
  <c r="AZ16" i="12" s="1"/>
  <c r="AZ13" i="17" s="1"/>
  <c r="AY16" i="1"/>
  <c r="AY16" i="11" s="1"/>
  <c r="AY16" i="12" s="1"/>
  <c r="AY13" i="17" s="1"/>
  <c r="AX16" i="1"/>
  <c r="AX16" i="11" s="1"/>
  <c r="AX16" i="12" s="1"/>
  <c r="AX13" i="17" s="1"/>
  <c r="AV16" i="1"/>
  <c r="AV16" i="11" s="1"/>
  <c r="AV16" i="12" s="1"/>
  <c r="AV13" i="17" s="1"/>
  <c r="AH16" i="1"/>
  <c r="AT16" i="1" s="1"/>
  <c r="AG16" i="1"/>
  <c r="AD16" i="1"/>
  <c r="AR16" i="1" s="1"/>
  <c r="AC16" i="1"/>
  <c r="AS16" i="1" s="1"/>
  <c r="AB16" i="1"/>
  <c r="AQ16" i="1" s="1"/>
  <c r="Z16" i="1"/>
  <c r="Y16" i="1"/>
  <c r="X16" i="1"/>
  <c r="W16" i="1"/>
  <c r="V16" i="1"/>
  <c r="Q16" i="1"/>
  <c r="N16" i="1"/>
  <c r="BB15" i="1"/>
  <c r="BB15" i="11" s="1"/>
  <c r="BB15" i="12" s="1"/>
  <c r="BA15" i="1"/>
  <c r="BA15" i="11" s="1"/>
  <c r="BA15" i="12" s="1"/>
  <c r="AZ15" i="1"/>
  <c r="AZ15" i="11" s="1"/>
  <c r="AZ15" i="12" s="1"/>
  <c r="AY15" i="1"/>
  <c r="AY15" i="11" s="1"/>
  <c r="AY15" i="12" s="1"/>
  <c r="AX15" i="1"/>
  <c r="AX15" i="11" s="1"/>
  <c r="AX15" i="12" s="1"/>
  <c r="AV15" i="1"/>
  <c r="AV15" i="11" s="1"/>
  <c r="AV15" i="12" s="1"/>
  <c r="AH15" i="1"/>
  <c r="AT15" i="1" s="1"/>
  <c r="AG15" i="1"/>
  <c r="AD15" i="1"/>
  <c r="AR15" i="1" s="1"/>
  <c r="AC15" i="1"/>
  <c r="AS15" i="1" s="1"/>
  <c r="AB15" i="1"/>
  <c r="AQ15" i="1" s="1"/>
  <c r="Z15" i="1"/>
  <c r="Y15" i="1"/>
  <c r="X15" i="1"/>
  <c r="W15" i="1"/>
  <c r="V15" i="1"/>
  <c r="Q15" i="1"/>
  <c r="N15" i="1"/>
  <c r="BB14" i="1"/>
  <c r="BB14" i="11" s="1"/>
  <c r="BB14" i="12" s="1"/>
  <c r="BB12" i="17" s="1"/>
  <c r="BB12" i="19" s="1"/>
  <c r="BA14" i="1"/>
  <c r="BA14" i="11" s="1"/>
  <c r="BA14" i="12" s="1"/>
  <c r="BA12" i="17" s="1"/>
  <c r="BA12" i="19" s="1"/>
  <c r="AZ14" i="1"/>
  <c r="AZ14" i="11" s="1"/>
  <c r="AZ14" i="12" s="1"/>
  <c r="AZ12" i="17" s="1"/>
  <c r="AZ12" i="19" s="1"/>
  <c r="AY14" i="1"/>
  <c r="AY14" i="11" s="1"/>
  <c r="AY14" i="12" s="1"/>
  <c r="AY12" i="17" s="1"/>
  <c r="AY12" i="19" s="1"/>
  <c r="AX14" i="1"/>
  <c r="AX14" i="11" s="1"/>
  <c r="AX14" i="12" s="1"/>
  <c r="AX12" i="17" s="1"/>
  <c r="AX12" i="19" s="1"/>
  <c r="AV14" i="1"/>
  <c r="AV14" i="11" s="1"/>
  <c r="AV14" i="12" s="1"/>
  <c r="AV12" i="17" s="1"/>
  <c r="AV12" i="19" s="1"/>
  <c r="AH14" i="1"/>
  <c r="AT14" i="1" s="1"/>
  <c r="AG14" i="1"/>
  <c r="AD14" i="1"/>
  <c r="AR14" i="1" s="1"/>
  <c r="AC14" i="1"/>
  <c r="AB14" i="1"/>
  <c r="AQ14" i="1" s="1"/>
  <c r="Z14" i="1"/>
  <c r="Y14" i="1"/>
  <c r="X14" i="1"/>
  <c r="W14" i="1"/>
  <c r="V14" i="1"/>
  <c r="Q14" i="1"/>
  <c r="N14" i="1"/>
  <c r="BB13" i="1"/>
  <c r="BB13" i="11" s="1"/>
  <c r="BB13" i="12" s="1"/>
  <c r="BB11" i="17" s="1"/>
  <c r="BB11" i="19" s="1"/>
  <c r="BA13" i="1"/>
  <c r="BA13" i="11" s="1"/>
  <c r="BA13" i="12" s="1"/>
  <c r="BA11" i="17" s="1"/>
  <c r="BA11" i="19" s="1"/>
  <c r="AZ13" i="1"/>
  <c r="AZ13" i="11" s="1"/>
  <c r="AZ13" i="12" s="1"/>
  <c r="AZ11" i="17" s="1"/>
  <c r="AZ11" i="19" s="1"/>
  <c r="AY13" i="1"/>
  <c r="AY13" i="11" s="1"/>
  <c r="AY13" i="12" s="1"/>
  <c r="AY11" i="17" s="1"/>
  <c r="AY11" i="19" s="1"/>
  <c r="AX13" i="1"/>
  <c r="AX13" i="11" s="1"/>
  <c r="AX13" i="12" s="1"/>
  <c r="AX11" i="17" s="1"/>
  <c r="AX11" i="19" s="1"/>
  <c r="AV13" i="1"/>
  <c r="AV13" i="11" s="1"/>
  <c r="AV13" i="12" s="1"/>
  <c r="AV11" i="17" s="1"/>
  <c r="AV11" i="19" s="1"/>
  <c r="AH13" i="1"/>
  <c r="AT13" i="1" s="1"/>
  <c r="AG13" i="1"/>
  <c r="AD13" i="1"/>
  <c r="AR13" i="1" s="1"/>
  <c r="AC13" i="1"/>
  <c r="AS13" i="1" s="1"/>
  <c r="AB13" i="1"/>
  <c r="AQ13" i="1" s="1"/>
  <c r="Z13" i="1"/>
  <c r="Y13" i="1"/>
  <c r="X13" i="1"/>
  <c r="W13" i="1"/>
  <c r="V13" i="1"/>
  <c r="Q13" i="1"/>
  <c r="N13" i="1"/>
  <c r="BB12" i="1"/>
  <c r="BB12" i="11" s="1"/>
  <c r="BB12" i="12" s="1"/>
  <c r="BB10" i="17" s="1"/>
  <c r="BB10" i="19" s="1"/>
  <c r="BA12" i="1"/>
  <c r="BA12" i="11" s="1"/>
  <c r="BA12" i="12" s="1"/>
  <c r="BA10" i="17" s="1"/>
  <c r="BA10" i="19" s="1"/>
  <c r="AZ12" i="1"/>
  <c r="AZ12" i="11" s="1"/>
  <c r="AZ12" i="12" s="1"/>
  <c r="AZ10" i="17" s="1"/>
  <c r="AZ10" i="19" s="1"/>
  <c r="AY12" i="1"/>
  <c r="AY12" i="11" s="1"/>
  <c r="AY12" i="12" s="1"/>
  <c r="AY10" i="17" s="1"/>
  <c r="AY10" i="19" s="1"/>
  <c r="AX12" i="1"/>
  <c r="AX12" i="11" s="1"/>
  <c r="AX12" i="12" s="1"/>
  <c r="AX10" i="17" s="1"/>
  <c r="AX10" i="19" s="1"/>
  <c r="AV12" i="1"/>
  <c r="AV12" i="11" s="1"/>
  <c r="AV12" i="12" s="1"/>
  <c r="AV10" i="17" s="1"/>
  <c r="AV10" i="19" s="1"/>
  <c r="AH12" i="1"/>
  <c r="AT12" i="1" s="1"/>
  <c r="AG12" i="1"/>
  <c r="AD12" i="1"/>
  <c r="AR12" i="1" s="1"/>
  <c r="AC12" i="1"/>
  <c r="AB12" i="1"/>
  <c r="AQ12" i="1" s="1"/>
  <c r="Z12" i="1"/>
  <c r="Y12" i="1"/>
  <c r="X12" i="1"/>
  <c r="W12" i="1"/>
  <c r="V12" i="1"/>
  <c r="Q12" i="1"/>
  <c r="N12" i="1"/>
  <c r="BB11" i="1"/>
  <c r="BB11" i="11" s="1"/>
  <c r="BB11" i="12" s="1"/>
  <c r="BA11" i="1"/>
  <c r="BA11" i="11" s="1"/>
  <c r="BA11" i="12" s="1"/>
  <c r="AZ11" i="1"/>
  <c r="AZ11" i="11" s="1"/>
  <c r="AZ11" i="12" s="1"/>
  <c r="AY11" i="1"/>
  <c r="AY11" i="11" s="1"/>
  <c r="AY11" i="12" s="1"/>
  <c r="AX11" i="1"/>
  <c r="AX11" i="11" s="1"/>
  <c r="AX11" i="12" s="1"/>
  <c r="AV11" i="1"/>
  <c r="AV11" i="11" s="1"/>
  <c r="AV11" i="12" s="1"/>
  <c r="AH11" i="1"/>
  <c r="AT11" i="1" s="1"/>
  <c r="AG11" i="1"/>
  <c r="AD11" i="1"/>
  <c r="AR11" i="1" s="1"/>
  <c r="AC11" i="1"/>
  <c r="AS11" i="1" s="1"/>
  <c r="AB11" i="1"/>
  <c r="AQ11" i="1" s="1"/>
  <c r="Z11" i="1"/>
  <c r="Y11" i="1"/>
  <c r="X11" i="1"/>
  <c r="W11" i="1"/>
  <c r="V11" i="1"/>
  <c r="Q11" i="1"/>
  <c r="N11" i="1"/>
  <c r="BB10" i="1"/>
  <c r="BB10" i="11" s="1"/>
  <c r="BB10" i="12" s="1"/>
  <c r="BA10" i="1"/>
  <c r="BA10" i="11" s="1"/>
  <c r="BA10" i="12" s="1"/>
  <c r="AZ10" i="1"/>
  <c r="AZ10" i="11" s="1"/>
  <c r="AZ10" i="12" s="1"/>
  <c r="AY10" i="1"/>
  <c r="AY10" i="11" s="1"/>
  <c r="AY10" i="12" s="1"/>
  <c r="AX10" i="1"/>
  <c r="AX10" i="11" s="1"/>
  <c r="AX10" i="12" s="1"/>
  <c r="AV10" i="1"/>
  <c r="AV10" i="11" s="1"/>
  <c r="AV10" i="12" s="1"/>
  <c r="AH10" i="1"/>
  <c r="AT10" i="1" s="1"/>
  <c r="AG10" i="1"/>
  <c r="AD10" i="1"/>
  <c r="AR10" i="1" s="1"/>
  <c r="AC10" i="1"/>
  <c r="AS10" i="1" s="1"/>
  <c r="AB10" i="1"/>
  <c r="AQ10" i="1" s="1"/>
  <c r="Z10" i="1"/>
  <c r="Y10" i="1"/>
  <c r="X10" i="1"/>
  <c r="W10" i="1"/>
  <c r="V10" i="1"/>
  <c r="Q10" i="1"/>
  <c r="N10" i="1"/>
  <c r="BB9" i="1"/>
  <c r="BB9" i="11" s="1"/>
  <c r="BB9" i="12" s="1"/>
  <c r="BB9" i="17" s="1"/>
  <c r="BB9" i="19" s="1"/>
  <c r="BA9" i="1"/>
  <c r="BA9" i="11" s="1"/>
  <c r="BA9" i="12" s="1"/>
  <c r="BA9" i="17" s="1"/>
  <c r="BA9" i="19" s="1"/>
  <c r="AZ9" i="1"/>
  <c r="AZ9" i="11" s="1"/>
  <c r="AZ9" i="12" s="1"/>
  <c r="AZ9" i="17" s="1"/>
  <c r="AZ9" i="19" s="1"/>
  <c r="AY9" i="1"/>
  <c r="AY9" i="11" s="1"/>
  <c r="AY9" i="12" s="1"/>
  <c r="AY9" i="17" s="1"/>
  <c r="AY9" i="19" s="1"/>
  <c r="AX9" i="1"/>
  <c r="AX9" i="11" s="1"/>
  <c r="AX9" i="12" s="1"/>
  <c r="AX9" i="17" s="1"/>
  <c r="AX9" i="19" s="1"/>
  <c r="AV9" i="1"/>
  <c r="AV9" i="11" s="1"/>
  <c r="AV9" i="12" s="1"/>
  <c r="AV9" i="17" s="1"/>
  <c r="AV9" i="19" s="1"/>
  <c r="AH9" i="1"/>
  <c r="AT9" i="1" s="1"/>
  <c r="AG9" i="1"/>
  <c r="AD9" i="1"/>
  <c r="AR9" i="1" s="1"/>
  <c r="AC9" i="1"/>
  <c r="AS9" i="1" s="1"/>
  <c r="AB9" i="1"/>
  <c r="AQ9" i="1" s="1"/>
  <c r="Z9" i="1"/>
  <c r="Y9" i="1"/>
  <c r="X9" i="1"/>
  <c r="W9" i="1"/>
  <c r="AA9" i="1" s="1"/>
  <c r="V9" i="1"/>
  <c r="Q9" i="1"/>
  <c r="N9" i="1"/>
  <c r="BB8" i="1"/>
  <c r="BB8" i="11" s="1"/>
  <c r="BB8" i="12" s="1"/>
  <c r="BB8" i="17" s="1"/>
  <c r="BB8" i="19" s="1"/>
  <c r="BA8" i="1"/>
  <c r="BA8" i="11" s="1"/>
  <c r="BA8" i="12" s="1"/>
  <c r="BA8" i="17" s="1"/>
  <c r="BA8" i="19" s="1"/>
  <c r="AZ8" i="1"/>
  <c r="AZ8" i="11" s="1"/>
  <c r="AZ8" i="12" s="1"/>
  <c r="AZ8" i="17" s="1"/>
  <c r="AZ8" i="19" s="1"/>
  <c r="AY8" i="1"/>
  <c r="AY8" i="11" s="1"/>
  <c r="AY8" i="12" s="1"/>
  <c r="AY8" i="17" s="1"/>
  <c r="AY8" i="19" s="1"/>
  <c r="AX8" i="1"/>
  <c r="AX8" i="11" s="1"/>
  <c r="AX8" i="12" s="1"/>
  <c r="AX8" i="17" s="1"/>
  <c r="AX8" i="19" s="1"/>
  <c r="AV8" i="1"/>
  <c r="AV8" i="11" s="1"/>
  <c r="AV8" i="12" s="1"/>
  <c r="AV8" i="17" s="1"/>
  <c r="AV8" i="19" s="1"/>
  <c r="AH8" i="1"/>
  <c r="AT8" i="1" s="1"/>
  <c r="AG8" i="1"/>
  <c r="AD8" i="1"/>
  <c r="AR8" i="1" s="1"/>
  <c r="AC8" i="1"/>
  <c r="AS8" i="1" s="1"/>
  <c r="AB8" i="1"/>
  <c r="AQ8" i="1" s="1"/>
  <c r="Z8" i="1"/>
  <c r="Y8" i="1"/>
  <c r="X8" i="1"/>
  <c r="W8" i="1"/>
  <c r="V8" i="1"/>
  <c r="T8" i="1"/>
  <c r="AP8" i="1" s="1"/>
  <c r="N8" i="1"/>
  <c r="BB7" i="1"/>
  <c r="BB7" i="11" s="1"/>
  <c r="BB7" i="12" s="1"/>
  <c r="BB7" i="17" s="1"/>
  <c r="BB7" i="19" s="1"/>
  <c r="BA7" i="1"/>
  <c r="BA7" i="11" s="1"/>
  <c r="BA7" i="12" s="1"/>
  <c r="BA7" i="17" s="1"/>
  <c r="BA7" i="19" s="1"/>
  <c r="AZ7" i="1"/>
  <c r="AZ7" i="11" s="1"/>
  <c r="AZ7" i="12" s="1"/>
  <c r="AZ7" i="17" s="1"/>
  <c r="AZ7" i="19" s="1"/>
  <c r="AY7" i="1"/>
  <c r="AY7" i="11" s="1"/>
  <c r="AY7" i="12" s="1"/>
  <c r="AY7" i="17" s="1"/>
  <c r="AY7" i="19" s="1"/>
  <c r="AX7" i="1"/>
  <c r="AX7" i="11" s="1"/>
  <c r="AX7" i="12" s="1"/>
  <c r="AX7" i="17" s="1"/>
  <c r="AX7" i="19" s="1"/>
  <c r="AV7" i="1"/>
  <c r="AV7" i="11" s="1"/>
  <c r="AV7" i="12" s="1"/>
  <c r="AV7" i="17" s="1"/>
  <c r="AV7" i="19" s="1"/>
  <c r="AH7" i="1"/>
  <c r="AG7" i="1"/>
  <c r="AD7" i="1"/>
  <c r="AR7" i="1" s="1"/>
  <c r="AC7" i="1"/>
  <c r="AS7" i="1" s="1"/>
  <c r="AB7" i="1"/>
  <c r="AQ7" i="1" s="1"/>
  <c r="Z7" i="1"/>
  <c r="Y7" i="1"/>
  <c r="X7" i="1"/>
  <c r="W7" i="1"/>
  <c r="V7" i="1"/>
  <c r="Q7" i="1"/>
  <c r="N7" i="1"/>
  <c r="BB6" i="1"/>
  <c r="BB6" i="11" s="1"/>
  <c r="BB6" i="12" s="1"/>
  <c r="BB6" i="17" s="1"/>
  <c r="BB6" i="19" s="1"/>
  <c r="BA6" i="1"/>
  <c r="BA6" i="11" s="1"/>
  <c r="BA6" i="12" s="1"/>
  <c r="BA6" i="17" s="1"/>
  <c r="BA6" i="19" s="1"/>
  <c r="AZ6" i="1"/>
  <c r="AZ6" i="11" s="1"/>
  <c r="AZ6" i="12" s="1"/>
  <c r="AZ6" i="17" s="1"/>
  <c r="AZ6" i="19" s="1"/>
  <c r="AY6" i="1"/>
  <c r="AY6" i="11" s="1"/>
  <c r="AY6" i="12" s="1"/>
  <c r="AY6" i="17" s="1"/>
  <c r="AY6" i="19" s="1"/>
  <c r="AX6" i="1"/>
  <c r="AX6" i="11" s="1"/>
  <c r="AX6" i="12" s="1"/>
  <c r="AX6" i="17" s="1"/>
  <c r="AX6" i="19" s="1"/>
  <c r="AV6" i="1"/>
  <c r="AV6" i="11" s="1"/>
  <c r="AV6" i="12" s="1"/>
  <c r="AV6" i="17" s="1"/>
  <c r="AV6" i="19" s="1"/>
  <c r="AH6" i="1"/>
  <c r="AT6" i="1" s="1"/>
  <c r="AG6" i="1"/>
  <c r="AD6" i="1"/>
  <c r="AR6" i="1" s="1"/>
  <c r="AC6" i="1"/>
  <c r="AS6" i="1" s="1"/>
  <c r="AB6" i="1"/>
  <c r="AQ6" i="1" s="1"/>
  <c r="Z6" i="1"/>
  <c r="Y6" i="1"/>
  <c r="X6" i="1"/>
  <c r="W6" i="1"/>
  <c r="V6" i="1"/>
  <c r="Q6" i="1"/>
  <c r="N6" i="1"/>
  <c r="BB5" i="1"/>
  <c r="BA5" i="1"/>
  <c r="AZ5" i="1"/>
  <c r="AZ5" i="11" s="1"/>
  <c r="AY5" i="1"/>
  <c r="AX5" i="1"/>
  <c r="AV5" i="1"/>
  <c r="AV5" i="11" s="1"/>
  <c r="AV5" i="12" s="1"/>
  <c r="AH5" i="1"/>
  <c r="AG5" i="1"/>
  <c r="AD5" i="1"/>
  <c r="AR5" i="1" s="1"/>
  <c r="AC5" i="1"/>
  <c r="AS5" i="1" s="1"/>
  <c r="AB5" i="1"/>
  <c r="Z5" i="1"/>
  <c r="Y5" i="1"/>
  <c r="X5" i="1"/>
  <c r="W5" i="1"/>
  <c r="V5" i="1"/>
  <c r="N5" i="1"/>
  <c r="N24" i="1" s="1"/>
  <c r="AA3" i="1"/>
  <c r="AA17" i="1" l="1"/>
  <c r="AI21" i="1"/>
  <c r="O42" i="8"/>
  <c r="AA8" i="11"/>
  <c r="AS10" i="12"/>
  <c r="AE11" i="12"/>
  <c r="AA16" i="12"/>
  <c r="R10" i="11"/>
  <c r="T10" i="11" s="1"/>
  <c r="AP10" i="11" s="1"/>
  <c r="R9" i="1"/>
  <c r="AA19" i="1"/>
  <c r="AE20" i="1"/>
  <c r="O15" i="8"/>
  <c r="AQ14" i="11"/>
  <c r="AA15" i="11"/>
  <c r="T22" i="11"/>
  <c r="AP22" i="11" s="1"/>
  <c r="BB22" i="11"/>
  <c r="O30" i="10"/>
  <c r="P30" i="10" s="1"/>
  <c r="AA7" i="12"/>
  <c r="AA14" i="12"/>
  <c r="AA21" i="12"/>
  <c r="AA8" i="1"/>
  <c r="O36" i="8"/>
  <c r="Q24" i="1"/>
  <c r="AI9" i="1"/>
  <c r="O18" i="8"/>
  <c r="O45" i="8"/>
  <c r="O51" i="8"/>
  <c r="AE5" i="11"/>
  <c r="AI7" i="11"/>
  <c r="R15" i="11"/>
  <c r="T15" i="11" s="1"/>
  <c r="AP15" i="11" s="1"/>
  <c r="AE18" i="11"/>
  <c r="R20" i="11"/>
  <c r="O15" i="10"/>
  <c r="O27" i="10"/>
  <c r="P27" i="10" s="1"/>
  <c r="O42" i="10"/>
  <c r="P42" i="10" s="1"/>
  <c r="O48" i="10"/>
  <c r="P48" i="10" s="1"/>
  <c r="AC24" i="12"/>
  <c r="AI10" i="12"/>
  <c r="R17" i="12"/>
  <c r="T17" i="12" s="1"/>
  <c r="AP17" i="12" s="1"/>
  <c r="R21" i="12"/>
  <c r="T21" i="12" s="1"/>
  <c r="AP21" i="12" s="1"/>
  <c r="T23" i="12"/>
  <c r="AP23" i="12" s="1"/>
  <c r="AU23" i="12" s="1"/>
  <c r="AS20" i="17"/>
  <c r="T5" i="1"/>
  <c r="AP5" i="1" s="1"/>
  <c r="AU5" i="1" s="1"/>
  <c r="Y24" i="1"/>
  <c r="AD24" i="1"/>
  <c r="AV24" i="12"/>
  <c r="AV5" i="17"/>
  <c r="AE6" i="1"/>
  <c r="AA7" i="1"/>
  <c r="R10" i="1"/>
  <c r="T10" i="1" s="1"/>
  <c r="AP10" i="1" s="1"/>
  <c r="R11" i="1"/>
  <c r="T11" i="1" s="1"/>
  <c r="AP11" i="1" s="1"/>
  <c r="AU11" i="1" s="1"/>
  <c r="R12" i="1"/>
  <c r="T12" i="1" s="1"/>
  <c r="AP12" i="1" s="1"/>
  <c r="AE12" i="1"/>
  <c r="R13" i="1"/>
  <c r="T13" i="1" s="1"/>
  <c r="AP13" i="1" s="1"/>
  <c r="R14" i="1"/>
  <c r="T14" i="1" s="1"/>
  <c r="AP14" i="1" s="1"/>
  <c r="AE14" i="1"/>
  <c r="R15" i="1"/>
  <c r="T15" i="1" s="1"/>
  <c r="AP15" i="1" s="1"/>
  <c r="AU15" i="1" s="1"/>
  <c r="R16" i="1"/>
  <c r="T16" i="1" s="1"/>
  <c r="AP16" i="1" s="1"/>
  <c r="AW17" i="1"/>
  <c r="AW17" i="11" s="1"/>
  <c r="AW17" i="12" s="1"/>
  <c r="AW14" i="17" s="1"/>
  <c r="AW13" i="19" s="1"/>
  <c r="AI18" i="1"/>
  <c r="R20" i="1"/>
  <c r="T20" i="1" s="1"/>
  <c r="AP20" i="1" s="1"/>
  <c r="AU20" i="1" s="1"/>
  <c r="BC20" i="1" s="1"/>
  <c r="BD20" i="1" s="1"/>
  <c r="AW21" i="1"/>
  <c r="AW23" i="1"/>
  <c r="O27" i="8"/>
  <c r="O48" i="8"/>
  <c r="P48" i="8" s="1"/>
  <c r="X24" i="11"/>
  <c r="AH24" i="11"/>
  <c r="AA7" i="11"/>
  <c r="AI13" i="11"/>
  <c r="R14" i="11"/>
  <c r="Y24" i="11"/>
  <c r="AI17" i="11"/>
  <c r="R18" i="11"/>
  <c r="T18" i="11" s="1"/>
  <c r="AP18" i="11" s="1"/>
  <c r="O18" i="10"/>
  <c r="Y24" i="12"/>
  <c r="AA8" i="12"/>
  <c r="AA10" i="12"/>
  <c r="AA11" i="12"/>
  <c r="AA12" i="12"/>
  <c r="AI20" i="12"/>
  <c r="Z24" i="1"/>
  <c r="AG24" i="12"/>
  <c r="V24" i="1"/>
  <c r="AA6" i="1"/>
  <c r="AW6" i="1"/>
  <c r="AI6" i="1"/>
  <c r="AI7" i="1"/>
  <c r="AE11" i="1"/>
  <c r="AE13" i="1"/>
  <c r="AE15" i="1"/>
  <c r="AE18" i="1"/>
  <c r="AA21" i="1"/>
  <c r="T23" i="1"/>
  <c r="AP23" i="1" s="1"/>
  <c r="O12" i="8"/>
  <c r="P12" i="8" s="1"/>
  <c r="O33" i="8"/>
  <c r="P33" i="8" s="1"/>
  <c r="O39" i="8"/>
  <c r="AA9" i="11"/>
  <c r="AA10" i="11"/>
  <c r="R12" i="11"/>
  <c r="T12" i="11" s="1"/>
  <c r="AP12" i="11" s="1"/>
  <c r="AE13" i="11"/>
  <c r="AA21" i="11"/>
  <c r="P15" i="10"/>
  <c r="AI6" i="12"/>
  <c r="AA18" i="12"/>
  <c r="O15" i="13"/>
  <c r="P15" i="13" s="1"/>
  <c r="AW22" i="12"/>
  <c r="AE5" i="1"/>
  <c r="AH24" i="1"/>
  <c r="R7" i="1"/>
  <c r="T7" i="1" s="1"/>
  <c r="AP7" i="1" s="1"/>
  <c r="AE9" i="1"/>
  <c r="AA10" i="1"/>
  <c r="AA11" i="1"/>
  <c r="AW11" i="1"/>
  <c r="AI11" i="1"/>
  <c r="AA12" i="1"/>
  <c r="AA13" i="1"/>
  <c r="AW13" i="1"/>
  <c r="AW13" i="11" s="1"/>
  <c r="AI13" i="1"/>
  <c r="AA14" i="1"/>
  <c r="AA15" i="1"/>
  <c r="AW15" i="1"/>
  <c r="AI15" i="1"/>
  <c r="AI16" i="1"/>
  <c r="R18" i="1"/>
  <c r="T18" i="1" s="1"/>
  <c r="AP18" i="1" s="1"/>
  <c r="AU18" i="1" s="1"/>
  <c r="AW19" i="1"/>
  <c r="AW19" i="11" s="1"/>
  <c r="AW19" i="12" s="1"/>
  <c r="AW15" i="17" s="1"/>
  <c r="AW14" i="19" s="1"/>
  <c r="AI20" i="1"/>
  <c r="P36" i="8"/>
  <c r="AI5" i="11"/>
  <c r="AI11" i="11"/>
  <c r="AA13" i="11"/>
  <c r="AA14" i="11"/>
  <c r="AI14" i="11"/>
  <c r="R16" i="11"/>
  <c r="T16" i="11" s="1"/>
  <c r="AP16" i="11" s="1"/>
  <c r="AA17" i="11"/>
  <c r="AA18" i="11"/>
  <c r="AI18" i="11"/>
  <c r="AA20" i="11"/>
  <c r="W24" i="12"/>
  <c r="AE5" i="12"/>
  <c r="AA6" i="12"/>
  <c r="R9" i="12"/>
  <c r="T9" i="12" s="1"/>
  <c r="AP9" i="12" s="1"/>
  <c r="AA13" i="12"/>
  <c r="AE16" i="12"/>
  <c r="AA19" i="12"/>
  <c r="AA20" i="12"/>
  <c r="AI21" i="12"/>
  <c r="P18" i="13"/>
  <c r="AW9" i="17"/>
  <c r="AW9" i="19" s="1"/>
  <c r="AE20" i="17"/>
  <c r="R20" i="17"/>
  <c r="AP6" i="17"/>
  <c r="AU23" i="1"/>
  <c r="BC23" i="1" s="1"/>
  <c r="BD23" i="1" s="1"/>
  <c r="BF23" i="1" s="1"/>
  <c r="BG23" i="1" s="1"/>
  <c r="AU8" i="1"/>
  <c r="AU7" i="1"/>
  <c r="AR24" i="1"/>
  <c r="AZ5" i="12"/>
  <c r="AZ5" i="17" s="1"/>
  <c r="AW9" i="1"/>
  <c r="AW9" i="11" s="1"/>
  <c r="AW9" i="12" s="1"/>
  <c r="AW10" i="1"/>
  <c r="AW8" i="1"/>
  <c r="AW8" i="11" s="1"/>
  <c r="T9" i="1"/>
  <c r="AP9" i="1" s="1"/>
  <c r="AU10" i="1"/>
  <c r="AU12" i="1"/>
  <c r="AU13" i="1"/>
  <c r="AU14" i="1"/>
  <c r="AU16" i="1"/>
  <c r="AW16" i="1"/>
  <c r="AW16" i="11" s="1"/>
  <c r="AW16" i="12" s="1"/>
  <c r="AW13" i="17" s="1"/>
  <c r="R6" i="11"/>
  <c r="T6" i="11" s="1"/>
  <c r="AP6" i="11" s="1"/>
  <c r="O30" i="13"/>
  <c r="P30" i="13" s="1"/>
  <c r="O36" i="13"/>
  <c r="P36" i="13" s="1"/>
  <c r="AI8" i="1"/>
  <c r="AI10" i="1"/>
  <c r="AI12" i="1"/>
  <c r="AS12" i="1"/>
  <c r="AW12" i="1" s="1"/>
  <c r="AW12" i="11" s="1"/>
  <c r="AW12" i="12" s="1"/>
  <c r="AW10" i="17" s="1"/>
  <c r="AW10" i="19" s="1"/>
  <c r="AI14" i="1"/>
  <c r="AS14" i="1"/>
  <c r="AW14" i="1" s="1"/>
  <c r="AW14" i="11" s="1"/>
  <c r="AA16" i="1"/>
  <c r="AA18" i="1"/>
  <c r="AE19" i="1"/>
  <c r="AA20" i="1"/>
  <c r="AE21" i="1"/>
  <c r="BA23" i="12"/>
  <c r="BA23" i="11"/>
  <c r="AC24" i="1"/>
  <c r="T21" i="11"/>
  <c r="AP21" i="11" s="1"/>
  <c r="R21" i="11"/>
  <c r="AW23" i="11"/>
  <c r="AZ22" i="12"/>
  <c r="AZ22" i="11"/>
  <c r="AQ10" i="11"/>
  <c r="AE10" i="11"/>
  <c r="AR14" i="12"/>
  <c r="AE14" i="12"/>
  <c r="O48" i="13"/>
  <c r="P48" i="13" s="1"/>
  <c r="W24" i="1"/>
  <c r="AA5" i="1"/>
  <c r="AT5" i="1"/>
  <c r="AX5" i="11"/>
  <c r="AX24" i="1"/>
  <c r="BB5" i="11"/>
  <c r="BB24" i="1"/>
  <c r="AE7" i="1"/>
  <c r="AT7" i="1"/>
  <c r="AW7" i="1" s="1"/>
  <c r="AE8" i="1"/>
  <c r="AE10" i="1"/>
  <c r="AE16" i="1"/>
  <c r="T17" i="1"/>
  <c r="AP17" i="1" s="1"/>
  <c r="AE17" i="1"/>
  <c r="R19" i="1"/>
  <c r="T19" i="1" s="1"/>
  <c r="AP19" i="1" s="1"/>
  <c r="R21" i="1"/>
  <c r="T21" i="1" s="1"/>
  <c r="AP21" i="1" s="1"/>
  <c r="AW22" i="1"/>
  <c r="BB23" i="12"/>
  <c r="BB23" i="11"/>
  <c r="AE15" i="11"/>
  <c r="AQ15" i="11"/>
  <c r="R17" i="11"/>
  <c r="T17" i="11" s="1"/>
  <c r="AP17" i="11" s="1"/>
  <c r="AU22" i="11"/>
  <c r="AV24" i="11"/>
  <c r="AH24" i="12"/>
  <c r="AT5" i="12"/>
  <c r="AI5" i="12"/>
  <c r="R12" i="12"/>
  <c r="T12" i="12" s="1"/>
  <c r="AP12" i="12" s="1"/>
  <c r="AT18" i="12"/>
  <c r="AI18" i="12"/>
  <c r="AR20" i="12"/>
  <c r="AE20" i="12"/>
  <c r="AU22" i="1"/>
  <c r="AZ24" i="1"/>
  <c r="AW21" i="11"/>
  <c r="AW21" i="12" s="1"/>
  <c r="AW17" i="17" s="1"/>
  <c r="AW15" i="19" s="1"/>
  <c r="O42" i="13"/>
  <c r="P42" i="13" s="1"/>
  <c r="AI5" i="1"/>
  <c r="BA5" i="11"/>
  <c r="BA24" i="1"/>
  <c r="R6" i="1"/>
  <c r="X24" i="1"/>
  <c r="AB24" i="1"/>
  <c r="AG24" i="1"/>
  <c r="AQ5" i="1"/>
  <c r="AY5" i="11"/>
  <c r="AY24" i="1"/>
  <c r="AQ18" i="1"/>
  <c r="AW18" i="1" s="1"/>
  <c r="AW18" i="11" s="1"/>
  <c r="AW18" i="12" s="1"/>
  <c r="AQ20" i="1"/>
  <c r="AW20" i="1" s="1"/>
  <c r="AW20" i="11" s="1"/>
  <c r="AV24" i="1"/>
  <c r="O24" i="8"/>
  <c r="P24" i="8" s="1"/>
  <c r="AP5" i="11"/>
  <c r="AD24" i="11"/>
  <c r="AT6" i="11"/>
  <c r="AW6" i="11" s="1"/>
  <c r="AW6" i="12" s="1"/>
  <c r="AW6" i="17" s="1"/>
  <c r="AW6" i="19" s="1"/>
  <c r="AI6" i="11"/>
  <c r="AR7" i="11"/>
  <c r="AE7" i="11"/>
  <c r="AW22" i="11"/>
  <c r="P45" i="8"/>
  <c r="V24" i="11"/>
  <c r="Z24" i="11"/>
  <c r="Q24" i="11"/>
  <c r="R13" i="11"/>
  <c r="T13" i="11" s="1"/>
  <c r="AP13" i="11" s="1"/>
  <c r="T14" i="11"/>
  <c r="AP14" i="11" s="1"/>
  <c r="AA16" i="11"/>
  <c r="AB24" i="11"/>
  <c r="X24" i="12"/>
  <c r="Q24" i="12"/>
  <c r="R6" i="12"/>
  <c r="R13" i="12"/>
  <c r="T13" i="12" s="1"/>
  <c r="AP13" i="12" s="1"/>
  <c r="R18" i="12"/>
  <c r="T18" i="12" s="1"/>
  <c r="AP18" i="12" s="1"/>
  <c r="AU22" i="12"/>
  <c r="BA22" i="12"/>
  <c r="BA22" i="11"/>
  <c r="P18" i="8"/>
  <c r="P30" i="8"/>
  <c r="P42" i="8"/>
  <c r="W24" i="11"/>
  <c r="AT24" i="11"/>
  <c r="R7" i="11"/>
  <c r="T7" i="11" s="1"/>
  <c r="AP7" i="11" s="1"/>
  <c r="AI8" i="11"/>
  <c r="AE9" i="11"/>
  <c r="AQ11" i="11"/>
  <c r="AA12" i="11"/>
  <c r="AI20" i="11"/>
  <c r="AU23" i="11"/>
  <c r="AZ23" i="11"/>
  <c r="AC24" i="11"/>
  <c r="P21" i="10"/>
  <c r="AP5" i="12"/>
  <c r="AD24" i="12"/>
  <c r="AR5" i="12"/>
  <c r="AS5" i="12"/>
  <c r="AS24" i="12" s="1"/>
  <c r="R7" i="12"/>
  <c r="T7" i="12" s="1"/>
  <c r="AP7" i="12" s="1"/>
  <c r="AI7" i="12"/>
  <c r="AE8" i="12"/>
  <c r="AQ8" i="12"/>
  <c r="R10" i="12"/>
  <c r="T10" i="12" s="1"/>
  <c r="AP10" i="12" s="1"/>
  <c r="P15" i="8"/>
  <c r="O21" i="8"/>
  <c r="P21" i="8" s="1"/>
  <c r="P27" i="8"/>
  <c r="P39" i="8"/>
  <c r="P51" i="8"/>
  <c r="N24" i="11"/>
  <c r="AS24" i="11"/>
  <c r="AQ5" i="11"/>
  <c r="AA6" i="11"/>
  <c r="R9" i="11"/>
  <c r="T9" i="11" s="1"/>
  <c r="AP9" i="11" s="1"/>
  <c r="AI15" i="11"/>
  <c r="AI16" i="11"/>
  <c r="AE17" i="11"/>
  <c r="AA19" i="11"/>
  <c r="AE19" i="11"/>
  <c r="T20" i="11"/>
  <c r="AP20" i="11" s="1"/>
  <c r="AE21" i="11"/>
  <c r="AG24" i="11"/>
  <c r="P18" i="10"/>
  <c r="V24" i="12"/>
  <c r="AA5" i="12"/>
  <c r="Z24" i="12"/>
  <c r="R11" i="12"/>
  <c r="T11" i="12" s="1"/>
  <c r="AP11" i="12" s="1"/>
  <c r="R19" i="12"/>
  <c r="T19" i="12" s="1"/>
  <c r="AP19" i="12" s="1"/>
  <c r="AI19" i="12"/>
  <c r="AE6" i="11"/>
  <c r="AE8" i="11"/>
  <c r="AE12" i="11"/>
  <c r="AE16" i="11"/>
  <c r="AE20" i="11"/>
  <c r="AE6" i="12"/>
  <c r="AA9" i="12"/>
  <c r="AA15" i="12"/>
  <c r="AQ15" i="12"/>
  <c r="AE15" i="12"/>
  <c r="AW23" i="12"/>
  <c r="BC23" i="12" s="1"/>
  <c r="BD23" i="12" s="1"/>
  <c r="BF23" i="12" s="1"/>
  <c r="BG23" i="12" s="1"/>
  <c r="O21" i="13"/>
  <c r="P21" i="13" s="1"/>
  <c r="AA5" i="11"/>
  <c r="N24" i="12"/>
  <c r="AB24" i="12"/>
  <c r="AQ5" i="12"/>
  <c r="AT13" i="12"/>
  <c r="AI13" i="12"/>
  <c r="AE7" i="12"/>
  <c r="AE9" i="12"/>
  <c r="AI12" i="12"/>
  <c r="AA17" i="12"/>
  <c r="AI17" i="12"/>
  <c r="T20" i="12"/>
  <c r="AP20" i="12" s="1"/>
  <c r="R20" i="12"/>
  <c r="AE21" i="12"/>
  <c r="O27" i="13"/>
  <c r="P27" i="13" s="1"/>
  <c r="O33" i="13"/>
  <c r="P33" i="13" s="1"/>
  <c r="O39" i="13"/>
  <c r="P39" i="13" s="1"/>
  <c r="O45" i="13"/>
  <c r="P45" i="13" s="1"/>
  <c r="O51" i="13"/>
  <c r="P51" i="13" s="1"/>
  <c r="R14" i="12"/>
  <c r="T14" i="12" s="1"/>
  <c r="AP14" i="12" s="1"/>
  <c r="AE17" i="12"/>
  <c r="AE13" i="12"/>
  <c r="AE18" i="12"/>
  <c r="AE19" i="12"/>
  <c r="BC16" i="1" l="1"/>
  <c r="BD16" i="1" s="1"/>
  <c r="AU12" i="11"/>
  <c r="AU18" i="11"/>
  <c r="AR24" i="12"/>
  <c r="AZ24" i="11"/>
  <c r="AV20" i="17"/>
  <c r="AV5" i="19"/>
  <c r="AV16" i="19" s="1"/>
  <c r="AZ20" i="17"/>
  <c r="AZ5" i="19"/>
  <c r="AZ16" i="19" s="1"/>
  <c r="AW13" i="12"/>
  <c r="AW11" i="17" s="1"/>
  <c r="AW11" i="19" s="1"/>
  <c r="BC11" i="1"/>
  <c r="BD11" i="1" s="1"/>
  <c r="AU11" i="11"/>
  <c r="AE24" i="12"/>
  <c r="BC22" i="12"/>
  <c r="BD22" i="12" s="1"/>
  <c r="BF22" i="12" s="1"/>
  <c r="BG22" i="12" s="1"/>
  <c r="BC13" i="1"/>
  <c r="BD13" i="1" s="1"/>
  <c r="AA24" i="11"/>
  <c r="AE24" i="11"/>
  <c r="AI24" i="11"/>
  <c r="C26" i="11" s="1"/>
  <c r="AW11" i="11"/>
  <c r="AW11" i="12" s="1"/>
  <c r="AI24" i="1"/>
  <c r="C26" i="1" s="1"/>
  <c r="AW15" i="11"/>
  <c r="AW15" i="12" s="1"/>
  <c r="AE24" i="1"/>
  <c r="BC23" i="11"/>
  <c r="BD23" i="11" s="1"/>
  <c r="BF23" i="11" s="1"/>
  <c r="BG23" i="11" s="1"/>
  <c r="R24" i="1"/>
  <c r="AT24" i="1"/>
  <c r="AW10" i="11"/>
  <c r="AW10" i="12" s="1"/>
  <c r="BC15" i="1"/>
  <c r="BD15" i="1" s="1"/>
  <c r="BC8" i="1"/>
  <c r="BD8" i="1" s="1"/>
  <c r="BI20" i="17"/>
  <c r="AU11" i="12"/>
  <c r="BC11" i="12" s="1"/>
  <c r="BD11" i="12" s="1"/>
  <c r="AU7" i="11"/>
  <c r="AU7" i="12" s="1"/>
  <c r="AU7" i="17" s="1"/>
  <c r="AU7" i="19" s="1"/>
  <c r="BC7" i="19" s="1"/>
  <c r="BD7" i="19" s="1"/>
  <c r="AU12" i="12"/>
  <c r="C25" i="11"/>
  <c r="AU20" i="11"/>
  <c r="BC20" i="11" s="1"/>
  <c r="BD20" i="11" s="1"/>
  <c r="AQ24" i="11"/>
  <c r="AU14" i="11"/>
  <c r="BC14" i="11" s="1"/>
  <c r="BD14" i="11" s="1"/>
  <c r="AW7" i="11"/>
  <c r="AW7" i="12" s="1"/>
  <c r="AW7" i="17" s="1"/>
  <c r="AW7" i="19" s="1"/>
  <c r="BA5" i="12"/>
  <c r="BA24" i="11"/>
  <c r="AI24" i="12"/>
  <c r="C26" i="12" s="1"/>
  <c r="BE16" i="11"/>
  <c r="BF16" i="1"/>
  <c r="BG16" i="1" s="1"/>
  <c r="AS24" i="1"/>
  <c r="BE20" i="11"/>
  <c r="BF20" i="1"/>
  <c r="BG20" i="1" s="1"/>
  <c r="BE8" i="11"/>
  <c r="BF8" i="1"/>
  <c r="BG8" i="1" s="1"/>
  <c r="AQ24" i="12"/>
  <c r="AU8" i="11"/>
  <c r="T24" i="11"/>
  <c r="C27" i="11" s="1"/>
  <c r="AY5" i="12"/>
  <c r="AY24" i="11"/>
  <c r="AW20" i="12"/>
  <c r="AW16" i="17" s="1"/>
  <c r="AT24" i="12"/>
  <c r="BC22" i="11"/>
  <c r="BD22" i="11" s="1"/>
  <c r="BF22" i="11" s="1"/>
  <c r="BG22" i="11" s="1"/>
  <c r="BC18" i="11"/>
  <c r="BD18" i="11" s="1"/>
  <c r="AR24" i="11"/>
  <c r="BB5" i="12"/>
  <c r="BB24" i="11"/>
  <c r="AA24" i="1"/>
  <c r="AU15" i="11"/>
  <c r="R24" i="11"/>
  <c r="BC14" i="1"/>
  <c r="BD14" i="1" s="1"/>
  <c r="BC12" i="1"/>
  <c r="BD12" i="1" s="1"/>
  <c r="BC10" i="1"/>
  <c r="BD10" i="1" s="1"/>
  <c r="BC18" i="1"/>
  <c r="BD18" i="1" s="1"/>
  <c r="T6" i="1"/>
  <c r="AU19" i="1"/>
  <c r="AU10" i="11"/>
  <c r="AU10" i="12" s="1"/>
  <c r="BC10" i="12" s="1"/>
  <c r="BD10" i="12" s="1"/>
  <c r="AW8" i="12"/>
  <c r="AW8" i="17" s="1"/>
  <c r="AW8" i="19" s="1"/>
  <c r="AU18" i="12"/>
  <c r="BC18" i="12" s="1"/>
  <c r="BD18" i="12" s="1"/>
  <c r="R24" i="12"/>
  <c r="T6" i="12"/>
  <c r="AU13" i="11"/>
  <c r="BC13" i="11" s="1"/>
  <c r="BD13" i="11" s="1"/>
  <c r="AP24" i="11"/>
  <c r="AU5" i="11"/>
  <c r="AU5" i="12" s="1"/>
  <c r="AQ24" i="1"/>
  <c r="AW5" i="1"/>
  <c r="AW24" i="1" s="1"/>
  <c r="BC22" i="1"/>
  <c r="BD22" i="1" s="1"/>
  <c r="BF22" i="1" s="1"/>
  <c r="BG22" i="1" s="1"/>
  <c r="AU21" i="1"/>
  <c r="BC21" i="1" s="1"/>
  <c r="BD21" i="1" s="1"/>
  <c r="AU17" i="1"/>
  <c r="BC17" i="1" s="1"/>
  <c r="BD17" i="1" s="1"/>
  <c r="AW14" i="12"/>
  <c r="AW12" i="17" s="1"/>
  <c r="AW12" i="19" s="1"/>
  <c r="BE15" i="11"/>
  <c r="BF15" i="1"/>
  <c r="BG15" i="1" s="1"/>
  <c r="BE13" i="11"/>
  <c r="BF13" i="1"/>
  <c r="BG13" i="1" s="1"/>
  <c r="BE11" i="11"/>
  <c r="BF11" i="1"/>
  <c r="BG11" i="1" s="1"/>
  <c r="AU9" i="1"/>
  <c r="BC9" i="1" s="1"/>
  <c r="BD9" i="1" s="1"/>
  <c r="AZ24" i="12"/>
  <c r="BC7" i="1"/>
  <c r="BD7" i="1" s="1"/>
  <c r="AA24" i="12"/>
  <c r="C25" i="12" s="1"/>
  <c r="BC12" i="11"/>
  <c r="BD12" i="11" s="1"/>
  <c r="AU16" i="11"/>
  <c r="AX24" i="11"/>
  <c r="AX5" i="12"/>
  <c r="BC11" i="11"/>
  <c r="BD11" i="11" s="1"/>
  <c r="BC7" i="17" l="1"/>
  <c r="BD7" i="17" s="1"/>
  <c r="BE7" i="19" s="1"/>
  <c r="BF7" i="19" s="1"/>
  <c r="BB24" i="12"/>
  <c r="BB5" i="17"/>
  <c r="BA24" i="12"/>
  <c r="BA5" i="17"/>
  <c r="AX24" i="12"/>
  <c r="AX5" i="17"/>
  <c r="BC10" i="11"/>
  <c r="BD10" i="11" s="1"/>
  <c r="BE10" i="12" s="1"/>
  <c r="BF10" i="12" s="1"/>
  <c r="BG10" i="12" s="1"/>
  <c r="BI10" i="12" s="1"/>
  <c r="AY24" i="12"/>
  <c r="AY5" i="17"/>
  <c r="C25" i="1"/>
  <c r="BC12" i="12"/>
  <c r="BD12" i="12" s="1"/>
  <c r="BE10" i="17" s="1"/>
  <c r="AU10" i="17"/>
  <c r="BE17" i="11"/>
  <c r="BF17" i="1"/>
  <c r="BG17" i="1" s="1"/>
  <c r="BE18" i="12"/>
  <c r="BF18" i="12" s="1"/>
  <c r="BG18" i="12" s="1"/>
  <c r="BI18" i="12" s="1"/>
  <c r="BE20" i="12"/>
  <c r="BF20" i="11"/>
  <c r="BG20" i="11" s="1"/>
  <c r="AU20" i="12"/>
  <c r="BE13" i="12"/>
  <c r="BF13" i="11"/>
  <c r="BG13" i="11" s="1"/>
  <c r="BC19" i="1"/>
  <c r="BD19" i="1" s="1"/>
  <c r="AU19" i="11"/>
  <c r="BC5" i="1"/>
  <c r="BE14" i="11"/>
  <c r="BF14" i="11" s="1"/>
  <c r="BG14" i="11" s="1"/>
  <c r="BF14" i="1"/>
  <c r="BG14" i="1" s="1"/>
  <c r="AW5" i="11"/>
  <c r="BE11" i="12"/>
  <c r="BF11" i="12" s="1"/>
  <c r="BG11" i="12" s="1"/>
  <c r="BI11" i="12" s="1"/>
  <c r="BF11" i="11"/>
  <c r="BG11" i="11" s="1"/>
  <c r="BC16" i="11"/>
  <c r="BD16" i="11" s="1"/>
  <c r="AU16" i="12"/>
  <c r="BE9" i="11"/>
  <c r="BF9" i="1"/>
  <c r="BG9" i="1" s="1"/>
  <c r="BE21" i="11"/>
  <c r="BF21" i="1"/>
  <c r="BG21" i="1" s="1"/>
  <c r="BC5" i="11"/>
  <c r="AP6" i="1"/>
  <c r="T24" i="1"/>
  <c r="C27" i="1" s="1"/>
  <c r="AU21" i="11"/>
  <c r="AU13" i="12"/>
  <c r="AU9" i="11"/>
  <c r="BC7" i="12"/>
  <c r="BD7" i="12" s="1"/>
  <c r="BE7" i="17" s="1"/>
  <c r="BC7" i="11"/>
  <c r="BD7" i="11" s="1"/>
  <c r="AU14" i="12"/>
  <c r="BE7" i="11"/>
  <c r="BF7" i="1"/>
  <c r="BG7" i="1" s="1"/>
  <c r="BE12" i="11"/>
  <c r="BF12" i="11" s="1"/>
  <c r="BG12" i="11" s="1"/>
  <c r="BF12" i="1"/>
  <c r="BG12" i="1" s="1"/>
  <c r="BE14" i="12"/>
  <c r="BE12" i="12"/>
  <c r="AP6" i="12"/>
  <c r="T24" i="12"/>
  <c r="C27" i="12" s="1"/>
  <c r="BE18" i="11"/>
  <c r="BF18" i="11" s="1"/>
  <c r="BG18" i="11" s="1"/>
  <c r="BF18" i="1"/>
  <c r="BG18" i="1" s="1"/>
  <c r="BE10" i="11"/>
  <c r="BF10" i="11" s="1"/>
  <c r="BG10" i="11" s="1"/>
  <c r="BF10" i="1"/>
  <c r="BG10" i="1" s="1"/>
  <c r="BC15" i="11"/>
  <c r="BD15" i="11" s="1"/>
  <c r="AU15" i="12"/>
  <c r="BC15" i="12" s="1"/>
  <c r="BD15" i="12" s="1"/>
  <c r="BC8" i="11"/>
  <c r="BD8" i="11" s="1"/>
  <c r="AU8" i="12"/>
  <c r="AU17" i="11"/>
  <c r="AX20" i="17" l="1"/>
  <c r="AX5" i="19"/>
  <c r="AX16" i="19" s="1"/>
  <c r="BB20" i="17"/>
  <c r="BB5" i="19"/>
  <c r="BB16" i="19" s="1"/>
  <c r="BC10" i="17"/>
  <c r="BD10" i="17" s="1"/>
  <c r="BE10" i="19" s="1"/>
  <c r="AU10" i="19"/>
  <c r="BC10" i="19" s="1"/>
  <c r="BD10" i="19" s="1"/>
  <c r="BF10" i="19" s="1"/>
  <c r="BG10" i="19" s="1"/>
  <c r="BA20" i="17"/>
  <c r="BA5" i="19"/>
  <c r="BA16" i="19" s="1"/>
  <c r="AY20" i="17"/>
  <c r="AY5" i="19"/>
  <c r="AY16" i="19" s="1"/>
  <c r="BF7" i="17"/>
  <c r="BC14" i="12"/>
  <c r="BD14" i="12" s="1"/>
  <c r="AU12" i="17"/>
  <c r="BC13" i="12"/>
  <c r="BD13" i="12" s="1"/>
  <c r="AU11" i="17"/>
  <c r="BF12" i="12"/>
  <c r="BG12" i="12" s="1"/>
  <c r="BC16" i="12"/>
  <c r="BD16" i="12" s="1"/>
  <c r="BE13" i="17" s="1"/>
  <c r="AU13" i="17"/>
  <c r="BC13" i="17" s="1"/>
  <c r="BD13" i="17" s="1"/>
  <c r="BC8" i="12"/>
  <c r="BD8" i="12" s="1"/>
  <c r="BE8" i="17" s="1"/>
  <c r="AU8" i="17"/>
  <c r="BC20" i="12"/>
  <c r="BD20" i="12" s="1"/>
  <c r="AU16" i="17"/>
  <c r="BC16" i="17" s="1"/>
  <c r="BD16" i="17" s="1"/>
  <c r="BF10" i="17"/>
  <c r="BG10" i="17" s="1"/>
  <c r="BC21" i="11"/>
  <c r="BD21" i="11" s="1"/>
  <c r="AU21" i="12"/>
  <c r="AU17" i="17" s="1"/>
  <c r="BC17" i="11"/>
  <c r="BD17" i="11" s="1"/>
  <c r="AU17" i="12"/>
  <c r="BE7" i="12"/>
  <c r="BF7" i="12" s="1"/>
  <c r="BG7" i="12" s="1"/>
  <c r="BF7" i="11"/>
  <c r="BG7" i="11" s="1"/>
  <c r="BD5" i="11"/>
  <c r="BE19" i="11"/>
  <c r="BF19" i="1"/>
  <c r="BG19" i="1" s="1"/>
  <c r="BE8" i="12"/>
  <c r="BF8" i="11"/>
  <c r="BG8" i="11" s="1"/>
  <c r="AP24" i="12"/>
  <c r="BD5" i="1"/>
  <c r="BE15" i="12"/>
  <c r="BF15" i="12" s="1"/>
  <c r="BG15" i="12" s="1"/>
  <c r="BI15" i="12" s="1"/>
  <c r="BI24" i="12" s="1"/>
  <c r="BF15" i="11"/>
  <c r="BG15" i="11" s="1"/>
  <c r="BC9" i="11"/>
  <c r="BD9" i="11" s="1"/>
  <c r="AU9" i="12"/>
  <c r="AU6" i="1"/>
  <c r="AP24" i="1"/>
  <c r="BE16" i="12"/>
  <c r="BF16" i="12" s="1"/>
  <c r="BG16" i="12" s="1"/>
  <c r="BF16" i="11"/>
  <c r="BG16" i="11" s="1"/>
  <c r="AW24" i="11"/>
  <c r="AW5" i="12"/>
  <c r="AW5" i="17" s="1"/>
  <c r="AW5" i="19" s="1"/>
  <c r="AW16" i="19" s="1"/>
  <c r="BC19" i="11"/>
  <c r="BD19" i="11" s="1"/>
  <c r="AU19" i="12"/>
  <c r="BC17" i="17" l="1"/>
  <c r="BD17" i="17" s="1"/>
  <c r="AU15" i="19"/>
  <c r="BC15" i="19" s="1"/>
  <c r="BD15" i="19" s="1"/>
  <c r="BC12" i="17"/>
  <c r="BD12" i="17" s="1"/>
  <c r="BE12" i="19" s="1"/>
  <c r="AU12" i="19"/>
  <c r="BC12" i="19" s="1"/>
  <c r="BD12" i="19" s="1"/>
  <c r="BF12" i="19" s="1"/>
  <c r="BG12" i="19" s="1"/>
  <c r="BC11" i="17"/>
  <c r="BD11" i="17" s="1"/>
  <c r="BE11" i="19" s="1"/>
  <c r="AU11" i="19"/>
  <c r="BC11" i="19" s="1"/>
  <c r="BD11" i="19" s="1"/>
  <c r="BF11" i="19" s="1"/>
  <c r="BF8" i="12"/>
  <c r="BG8" i="12" s="1"/>
  <c r="BC8" i="17"/>
  <c r="BD8" i="17" s="1"/>
  <c r="BE8" i="19" s="1"/>
  <c r="AU8" i="19"/>
  <c r="BC8" i="19" s="1"/>
  <c r="BD8" i="19" s="1"/>
  <c r="BC19" i="12"/>
  <c r="BD19" i="12" s="1"/>
  <c r="BE15" i="17" s="1"/>
  <c r="AU15" i="17"/>
  <c r="BF13" i="17"/>
  <c r="BG13" i="17" s="1"/>
  <c r="BF13" i="12"/>
  <c r="BG13" i="12" s="1"/>
  <c r="BE11" i="17"/>
  <c r="BF11" i="17" s="1"/>
  <c r="BG11" i="17" s="1"/>
  <c r="BC21" i="12"/>
  <c r="BD21" i="12" s="1"/>
  <c r="BE17" i="17" s="1"/>
  <c r="AW20" i="17"/>
  <c r="BC17" i="12"/>
  <c r="BD17" i="12" s="1"/>
  <c r="BE14" i="17" s="1"/>
  <c r="AU14" i="17"/>
  <c r="BC9" i="12"/>
  <c r="BD9" i="12" s="1"/>
  <c r="BE9" i="17" s="1"/>
  <c r="AU9" i="17"/>
  <c r="BF20" i="12"/>
  <c r="BG20" i="12" s="1"/>
  <c r="BE16" i="17"/>
  <c r="BF16" i="17" s="1"/>
  <c r="BG16" i="17" s="1"/>
  <c r="BF8" i="17"/>
  <c r="BF14" i="12"/>
  <c r="BG14" i="12" s="1"/>
  <c r="BE12" i="17"/>
  <c r="BF12" i="17" s="1"/>
  <c r="BG12" i="17" s="1"/>
  <c r="BE21" i="12"/>
  <c r="BF21" i="11"/>
  <c r="BG21" i="11" s="1"/>
  <c r="BC6" i="1"/>
  <c r="AU24" i="1"/>
  <c r="AU6" i="11"/>
  <c r="BE5" i="12"/>
  <c r="BE17" i="12"/>
  <c r="BF17" i="12" s="1"/>
  <c r="BG17" i="12" s="1"/>
  <c r="BF17" i="11"/>
  <c r="BG17" i="11" s="1"/>
  <c r="BF19" i="11"/>
  <c r="BG19" i="11" s="1"/>
  <c r="BE19" i="12"/>
  <c r="BF19" i="12" s="1"/>
  <c r="BG19" i="12" s="1"/>
  <c r="AW24" i="12"/>
  <c r="BC5" i="12"/>
  <c r="BF9" i="11"/>
  <c r="BG9" i="11" s="1"/>
  <c r="BE9" i="12"/>
  <c r="BF9" i="12" s="1"/>
  <c r="BG9" i="12" s="1"/>
  <c r="BE5" i="11"/>
  <c r="BF5" i="1"/>
  <c r="BF21" i="12"/>
  <c r="BG21" i="12" s="1"/>
  <c r="BC15" i="17" l="1"/>
  <c r="BD15" i="17" s="1"/>
  <c r="AU14" i="19"/>
  <c r="BC14" i="19" s="1"/>
  <c r="BD14" i="19" s="1"/>
  <c r="BC14" i="17"/>
  <c r="BD14" i="17" s="1"/>
  <c r="AU13" i="19"/>
  <c r="BC13" i="19" s="1"/>
  <c r="BD13" i="19" s="1"/>
  <c r="BG11" i="19"/>
  <c r="BC9" i="17"/>
  <c r="BD9" i="17" s="1"/>
  <c r="BE9" i="19" s="1"/>
  <c r="AU9" i="19"/>
  <c r="BC9" i="19" s="1"/>
  <c r="BD9" i="19" s="1"/>
  <c r="BF8" i="19"/>
  <c r="BF17" i="17"/>
  <c r="BG17" i="17" s="1"/>
  <c r="BE15" i="19"/>
  <c r="BF15" i="19" s="1"/>
  <c r="BG15" i="19" s="1"/>
  <c r="BD6" i="1"/>
  <c r="BC24" i="1"/>
  <c r="BG5" i="1"/>
  <c r="BC6" i="11"/>
  <c r="AU24" i="11"/>
  <c r="AU6" i="12"/>
  <c r="AU6" i="17" s="1"/>
  <c r="AU6" i="19" s="1"/>
  <c r="BC6" i="19" s="1"/>
  <c r="BD6" i="19" s="1"/>
  <c r="BF5" i="11"/>
  <c r="BD5" i="12"/>
  <c r="BE5" i="17" s="1"/>
  <c r="BF14" i="17" l="1"/>
  <c r="BG14" i="17" s="1"/>
  <c r="BE13" i="19"/>
  <c r="BF13" i="19" s="1"/>
  <c r="BF9" i="17"/>
  <c r="BF9" i="19"/>
  <c r="BF15" i="17"/>
  <c r="BG15" i="17" s="1"/>
  <c r="BE14" i="19"/>
  <c r="BF14" i="19" s="1"/>
  <c r="BG14" i="19" s="1"/>
  <c r="BC6" i="17"/>
  <c r="BF5" i="12"/>
  <c r="BD6" i="11"/>
  <c r="BC24" i="11"/>
  <c r="BE6" i="11"/>
  <c r="BE24" i="11" s="1"/>
  <c r="BF6" i="1"/>
  <c r="BD24" i="1"/>
  <c r="BG5" i="11"/>
  <c r="BC6" i="12"/>
  <c r="AU24" i="12"/>
  <c r="BG13" i="19" l="1"/>
  <c r="BG16" i="19" s="1"/>
  <c r="BF16" i="19"/>
  <c r="BD6" i="17"/>
  <c r="BE6" i="19" s="1"/>
  <c r="BF6" i="19" s="1"/>
  <c r="BE6" i="12"/>
  <c r="BE24" i="12" s="1"/>
  <c r="BF6" i="11"/>
  <c r="BD24" i="11"/>
  <c r="BG5" i="12"/>
  <c r="BD6" i="12"/>
  <c r="BE6" i="17" s="1"/>
  <c r="BE20" i="17" s="1"/>
  <c r="BC24" i="12"/>
  <c r="BG6" i="1"/>
  <c r="BG24" i="1" s="1"/>
  <c r="BF24" i="1"/>
  <c r="BF6" i="17" l="1"/>
  <c r="BF6" i="12"/>
  <c r="BD24" i="12"/>
  <c r="BG6" i="11"/>
  <c r="BG24" i="11" s="1"/>
  <c r="BF24" i="11"/>
  <c r="BG20" i="17" l="1"/>
  <c r="BG6" i="12"/>
  <c r="BG24" i="12" s="1"/>
  <c r="BF24" i="12"/>
  <c r="N5" i="17"/>
  <c r="T5" i="17" s="1"/>
  <c r="T20" i="17" s="1"/>
  <c r="AP5" i="17" l="1"/>
  <c r="AP20" i="17" s="1"/>
  <c r="N20" i="17"/>
  <c r="AU5" i="17" l="1"/>
  <c r="AU5" i="19" s="1"/>
  <c r="BC5" i="19" l="1"/>
  <c r="AU16" i="19"/>
  <c r="BC5" i="17"/>
  <c r="AU20" i="17"/>
  <c r="BD5" i="19" l="1"/>
  <c r="BC16" i="19"/>
  <c r="BD5" i="17"/>
  <c r="BE5" i="19" s="1"/>
  <c r="BE16" i="19" s="1"/>
  <c r="BC20" i="17"/>
  <c r="BF5" i="19" l="1"/>
  <c r="BD16" i="19"/>
  <c r="BF5" i="17"/>
  <c r="BF20" i="17" s="1"/>
  <c r="BD20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AC11A5A2-B802-4438-9AFF-8CDBD915CA42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183DD635-B967-4F46-B728-6D8BDAC689DA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83D13FBB-78C6-4BB7-AAC3-366C75CED444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EE41A620-1623-44F3-A94C-BADC471F07E3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D2C122AF-555B-4B8C-B67E-382268403503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DD08D88D-C53D-40C0-9362-CF7D371CB23A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23CD29A0-64A6-4F32-8AF4-8111F420032D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D6AB545B-175D-4EB1-944C-9350E8AF7C83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0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0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0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0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  <comment ref="F13" authorId="0" shapeId="0" xr:uid="{00000000-0006-0000-0000-000005000000}">
      <text>
        <r>
          <rPr>
            <sz val="9"/>
            <color indexed="81"/>
            <rFont val="宋体"/>
            <family val="3"/>
            <charset val="134"/>
          </rPr>
          <t>5月离职</t>
        </r>
      </text>
    </comment>
    <comment ref="F16" authorId="0" shapeId="0" xr:uid="{00000000-0006-0000-0000-000006000000}">
      <text>
        <r>
          <rPr>
            <b/>
            <sz val="9"/>
            <color indexed="81"/>
            <rFont val="宋体"/>
            <family val="3"/>
            <charset val="134"/>
          </rPr>
          <t>5月离职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B28" authorId="0" shapeId="0" xr:uid="{00000000-0006-0000-0100-000001000000}">
      <text>
        <r>
          <rPr>
            <sz val="9"/>
            <color indexed="81"/>
            <rFont val="宋体"/>
            <family val="3"/>
            <charset val="134"/>
          </rPr>
          <t>5月离职</t>
        </r>
      </text>
    </comment>
    <comment ref="B37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5月离职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2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2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2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2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4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4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4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4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X3" authorId="0" shapeId="0" xr:uid="{00000000-0006-0000-06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  <comment ref="AG3" authorId="0" shapeId="0" xr:uid="{00000000-0006-0000-0600-000002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H3" authorId="0" shapeId="0" xr:uid="{00000000-0006-0000-0600-000003000000}">
      <text>
        <r>
          <rPr>
            <sz val="9"/>
            <rFont val="宋体"/>
            <family val="3"/>
            <charset val="134"/>
          </rPr>
          <t>缴存比例5%-12%,视公司申请比例填写</t>
        </r>
      </text>
    </comment>
    <comment ref="AI3" authorId="0" shapeId="0" xr:uid="{00000000-0006-0000-0600-000004000000}">
      <text>
        <r>
          <rPr>
            <sz val="9"/>
            <rFont val="宋体"/>
            <family val="3"/>
            <charset val="134"/>
          </rPr>
          <t>缴存比例10%-24%，视公司申请情况填写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4" authorId="0" shapeId="0" xr:uid="{00000000-0006-0000-08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用户</author>
  </authors>
  <commentList>
    <comment ref="E4" authorId="0" shapeId="0" xr:uid="{00000000-0006-0000-0900-000001000000}">
      <text>
        <r>
          <rPr>
            <sz val="9"/>
            <rFont val="宋体"/>
            <family val="3"/>
            <charset val="134"/>
          </rPr>
          <t>工伤费率共8档，行业不同费率不同</t>
        </r>
      </text>
    </comment>
  </commentList>
</comments>
</file>

<file path=xl/sharedStrings.xml><?xml version="1.0" encoding="utf-8"?>
<sst xmlns="http://schemas.openxmlformats.org/spreadsheetml/2006/main" count="3054" uniqueCount="170">
  <si>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1</t>
    </r>
    <r>
      <rPr>
        <b/>
        <sz val="16"/>
        <color theme="1"/>
        <rFont val="宋体"/>
        <family val="3"/>
        <charset val="134"/>
      </rPr>
      <t>月工资表</t>
    </r>
  </si>
  <si>
    <r>
      <rPr>
        <sz val="10"/>
        <color indexed="8"/>
        <rFont val="宋体"/>
        <family val="3"/>
        <charset val="134"/>
      </rPr>
      <t>序号</t>
    </r>
  </si>
  <si>
    <r>
      <rPr>
        <sz val="10"/>
        <color indexed="8"/>
        <rFont val="宋体"/>
        <family val="3"/>
        <charset val="134"/>
      </rPr>
      <t>部门</t>
    </r>
  </si>
  <si>
    <r>
      <rPr>
        <sz val="10"/>
        <color indexed="8"/>
        <rFont val="宋体"/>
        <family val="3"/>
        <charset val="134"/>
      </rPr>
      <t>职务</t>
    </r>
  </si>
  <si>
    <r>
      <rPr>
        <sz val="10"/>
        <color indexed="8"/>
        <rFont val="宋体"/>
        <family val="3"/>
        <charset val="134"/>
      </rPr>
      <t>入职时间</t>
    </r>
  </si>
  <si>
    <r>
      <rPr>
        <sz val="10"/>
        <color indexed="8"/>
        <rFont val="宋体"/>
        <family val="3"/>
        <charset val="134"/>
      </rPr>
      <t>户口</t>
    </r>
  </si>
  <si>
    <r>
      <rPr>
        <sz val="10"/>
        <color indexed="8"/>
        <rFont val="宋体"/>
        <family val="3"/>
        <charset val="134"/>
      </rPr>
      <t>姓名</t>
    </r>
  </si>
  <si>
    <r>
      <rPr>
        <sz val="10"/>
        <color indexed="8"/>
        <rFont val="宋体"/>
        <family val="3"/>
        <charset val="134"/>
      </rPr>
      <t>基本工资</t>
    </r>
  </si>
  <si>
    <r>
      <rPr>
        <sz val="10"/>
        <color indexed="8"/>
        <rFont val="宋体"/>
        <family val="3"/>
        <charset val="134"/>
      </rPr>
      <t>岗位工资</t>
    </r>
  </si>
  <si>
    <r>
      <rPr>
        <sz val="10"/>
        <color indexed="8"/>
        <rFont val="宋体"/>
        <family val="3"/>
        <charset val="134"/>
      </rPr>
      <t>绩效工资</t>
    </r>
  </si>
  <si>
    <r>
      <rPr>
        <sz val="10"/>
        <color indexed="8"/>
        <rFont val="宋体"/>
        <family val="3"/>
        <charset val="134"/>
      </rPr>
      <t>保密工资</t>
    </r>
  </si>
  <si>
    <r>
      <rPr>
        <sz val="10"/>
        <color indexed="8"/>
        <rFont val="宋体"/>
        <family val="3"/>
        <charset val="134"/>
      </rPr>
      <t>职位工资</t>
    </r>
  </si>
  <si>
    <r>
      <rPr>
        <sz val="10"/>
        <color indexed="8"/>
        <rFont val="宋体"/>
        <family val="3"/>
        <charset val="134"/>
      </rPr>
      <t>技能工资</t>
    </r>
  </si>
  <si>
    <r>
      <rPr>
        <sz val="10"/>
        <color indexed="8"/>
        <rFont val="宋体"/>
        <family val="3"/>
        <charset val="134"/>
      </rPr>
      <t>福利</t>
    </r>
  </si>
  <si>
    <r>
      <rPr>
        <sz val="10"/>
        <color indexed="8"/>
        <rFont val="宋体"/>
        <family val="3"/>
        <charset val="134"/>
      </rPr>
      <t>工资总额</t>
    </r>
  </si>
  <si>
    <r>
      <rPr>
        <sz val="10"/>
        <color theme="1"/>
        <rFont val="宋体"/>
        <family val="3"/>
        <charset val="134"/>
      </rPr>
      <t>考勤情况</t>
    </r>
  </si>
  <si>
    <t>其他扣款</t>
  </si>
  <si>
    <r>
      <rPr>
        <sz val="10"/>
        <color indexed="8"/>
        <rFont val="宋体"/>
        <family val="3"/>
        <charset val="134"/>
      </rPr>
      <t>应发工资</t>
    </r>
  </si>
  <si>
    <r>
      <rPr>
        <sz val="10"/>
        <color indexed="8"/>
        <rFont val="宋体"/>
        <family val="3"/>
        <charset val="134"/>
      </rPr>
      <t>社保基数</t>
    </r>
  </si>
  <si>
    <r>
      <rPr>
        <sz val="10"/>
        <color indexed="8"/>
        <rFont val="宋体"/>
        <family val="3"/>
        <charset val="134"/>
      </rPr>
      <t>单位社保</t>
    </r>
  </si>
  <si>
    <r>
      <rPr>
        <sz val="10"/>
        <color indexed="8"/>
        <rFont val="宋体"/>
        <family val="3"/>
        <charset val="134"/>
      </rPr>
      <t>个人社保</t>
    </r>
  </si>
  <si>
    <t>公积金基数</t>
  </si>
  <si>
    <r>
      <rPr>
        <sz val="10"/>
        <color indexed="8"/>
        <rFont val="宋体"/>
        <family val="3"/>
        <charset val="134"/>
      </rPr>
      <t>公积金</t>
    </r>
  </si>
  <si>
    <r>
      <rPr>
        <sz val="10"/>
        <rFont val="宋体"/>
        <family val="3"/>
        <charset val="134"/>
      </rPr>
      <t>本期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专项</t>
    </r>
    <r>
      <rPr>
        <b/>
        <sz val="10"/>
        <color rgb="FFFF0000"/>
        <rFont val="宋体"/>
        <family val="3"/>
        <charset val="134"/>
      </rPr>
      <t>附加</t>
    </r>
    <r>
      <rPr>
        <b/>
        <sz val="10"/>
        <color rgb="FFFF0000"/>
        <rFont val="Arial Narrow"/>
        <family val="2"/>
      </rPr>
      <t xml:space="preserve">  </t>
    </r>
    <r>
      <rPr>
        <sz val="10"/>
        <rFont val="宋体"/>
        <family val="3"/>
        <charset val="134"/>
      </rPr>
      <t>扣除</t>
    </r>
  </si>
  <si>
    <t>本期减除费用</t>
  </si>
  <si>
    <r>
      <rPr>
        <sz val="10"/>
        <color indexed="8"/>
        <rFont val="宋体"/>
        <family val="3"/>
        <charset val="134"/>
      </rPr>
      <t>本期收入</t>
    </r>
  </si>
  <si>
    <r>
      <rPr>
        <sz val="10"/>
        <color indexed="8"/>
        <rFont val="宋体"/>
        <family val="3"/>
        <charset val="134"/>
      </rPr>
      <t>本期专项扣除</t>
    </r>
  </si>
  <si>
    <r>
      <rPr>
        <sz val="10"/>
        <color indexed="8"/>
        <rFont val="宋体"/>
        <family val="3"/>
        <charset val="134"/>
      </rPr>
      <t>累计收入</t>
    </r>
  </si>
  <si>
    <r>
      <rPr>
        <sz val="10"/>
        <color indexed="8"/>
        <rFont val="宋体"/>
        <family val="3"/>
        <charset val="134"/>
      </rPr>
      <t>累计减除费用</t>
    </r>
  </si>
  <si>
    <t>累计专项扣除</t>
  </si>
  <si>
    <r>
      <rPr>
        <sz val="10"/>
        <rFont val="宋体"/>
        <family val="3"/>
        <charset val="134"/>
      </rPr>
      <t>累计</t>
    </r>
    <r>
      <rPr>
        <sz val="10"/>
        <rFont val="Arial Narrow"/>
        <family val="2"/>
      </rPr>
      <t xml:space="preserve">  </t>
    </r>
    <r>
      <rPr>
        <sz val="10"/>
        <rFont val="宋体"/>
        <family val="3"/>
        <charset val="134"/>
      </rPr>
      <t>专项</t>
    </r>
    <r>
      <rPr>
        <sz val="10"/>
        <color rgb="FFFF0000"/>
        <rFont val="宋体"/>
        <family val="3"/>
        <charset val="134"/>
      </rPr>
      <t>附加</t>
    </r>
    <r>
      <rPr>
        <sz val="10"/>
        <color rgb="FFFF0000"/>
        <rFont val="Arial Narrow"/>
        <family val="2"/>
      </rPr>
      <t xml:space="preserve">  </t>
    </r>
    <r>
      <rPr>
        <sz val="10"/>
        <rFont val="宋体"/>
        <family val="3"/>
        <charset val="134"/>
      </rPr>
      <t>扣除</t>
    </r>
  </si>
  <si>
    <r>
      <rPr>
        <sz val="10"/>
        <color indexed="8"/>
        <rFont val="宋体"/>
        <family val="3"/>
        <charset val="134"/>
      </rPr>
      <t>累计应纳税所得税</t>
    </r>
  </si>
  <si>
    <r>
      <rPr>
        <sz val="10"/>
        <color indexed="8"/>
        <rFont val="宋体"/>
        <family val="3"/>
        <charset val="134"/>
      </rPr>
      <t>累计应缴税额</t>
    </r>
  </si>
  <si>
    <r>
      <rPr>
        <sz val="10"/>
        <color indexed="8"/>
        <rFont val="宋体"/>
        <family val="3"/>
        <charset val="134"/>
      </rPr>
      <t>累计已缴税额</t>
    </r>
  </si>
  <si>
    <r>
      <rPr>
        <sz val="10"/>
        <color indexed="8"/>
        <rFont val="宋体"/>
        <family val="3"/>
        <charset val="134"/>
      </rPr>
      <t>累计应补个税</t>
    </r>
  </si>
  <si>
    <r>
      <rPr>
        <b/>
        <sz val="10"/>
        <color indexed="8"/>
        <rFont val="宋体"/>
        <family val="3"/>
        <charset val="134"/>
      </rPr>
      <t>实发工资</t>
    </r>
  </si>
  <si>
    <t>2%+3</t>
  </si>
  <si>
    <t>10.2%+3</t>
  </si>
  <si>
    <r>
      <rPr>
        <sz val="10"/>
        <color indexed="8"/>
        <rFont val="宋体"/>
        <family val="3"/>
        <charset val="134"/>
      </rPr>
      <t>应出勤</t>
    </r>
  </si>
  <si>
    <r>
      <rPr>
        <sz val="10"/>
        <color indexed="8"/>
        <rFont val="宋体"/>
        <family val="3"/>
        <charset val="134"/>
      </rPr>
      <t>实际出勤</t>
    </r>
  </si>
  <si>
    <r>
      <rPr>
        <sz val="10"/>
        <color indexed="8"/>
        <rFont val="宋体"/>
        <family val="3"/>
        <charset val="134"/>
      </rPr>
      <t>缺勤</t>
    </r>
  </si>
  <si>
    <r>
      <rPr>
        <sz val="10"/>
        <color indexed="8"/>
        <rFont val="宋体"/>
        <family val="3"/>
        <charset val="134"/>
      </rPr>
      <t>扣款</t>
    </r>
  </si>
  <si>
    <r>
      <rPr>
        <sz val="10"/>
        <color indexed="8"/>
        <rFont val="宋体"/>
        <family val="3"/>
        <charset val="134"/>
      </rPr>
      <t>养老</t>
    </r>
  </si>
  <si>
    <r>
      <rPr>
        <sz val="10"/>
        <color indexed="8"/>
        <rFont val="宋体"/>
        <family val="3"/>
        <charset val="134"/>
      </rPr>
      <t>失业</t>
    </r>
  </si>
  <si>
    <r>
      <rPr>
        <sz val="10"/>
        <color indexed="8"/>
        <rFont val="宋体"/>
        <family val="3"/>
        <charset val="134"/>
      </rPr>
      <t>工伤</t>
    </r>
  </si>
  <si>
    <r>
      <rPr>
        <sz val="10"/>
        <color indexed="8"/>
        <rFont val="宋体"/>
        <family val="3"/>
        <charset val="134"/>
      </rPr>
      <t>医疗</t>
    </r>
  </si>
  <si>
    <r>
      <rPr>
        <sz val="10"/>
        <color indexed="8"/>
        <rFont val="宋体"/>
        <family val="3"/>
        <charset val="134"/>
      </rPr>
      <t>生育</t>
    </r>
  </si>
  <si>
    <r>
      <rPr>
        <sz val="10"/>
        <color indexed="8"/>
        <rFont val="宋体"/>
        <family val="3"/>
        <charset val="134"/>
      </rPr>
      <t>小计</t>
    </r>
  </si>
  <si>
    <r>
      <rPr>
        <sz val="10"/>
        <color indexed="8"/>
        <rFont val="宋体"/>
        <family val="3"/>
        <charset val="134"/>
      </rPr>
      <t>单位</t>
    </r>
  </si>
  <si>
    <r>
      <rPr>
        <sz val="10"/>
        <color indexed="8"/>
        <rFont val="宋体"/>
        <family val="3"/>
        <charset val="134"/>
      </rPr>
      <t>个人</t>
    </r>
  </si>
  <si>
    <r>
      <rPr>
        <sz val="10"/>
        <color indexed="8"/>
        <rFont val="宋体"/>
        <family val="3"/>
        <charset val="134"/>
      </rPr>
      <t>子女教育</t>
    </r>
  </si>
  <si>
    <r>
      <rPr>
        <sz val="10"/>
        <color indexed="8"/>
        <rFont val="宋体"/>
        <family val="3"/>
        <charset val="134"/>
      </rPr>
      <t>赡养老人</t>
    </r>
  </si>
  <si>
    <r>
      <rPr>
        <sz val="10"/>
        <color indexed="8"/>
        <rFont val="宋体"/>
        <family val="3"/>
        <charset val="134"/>
      </rPr>
      <t>继续教育</t>
    </r>
  </si>
  <si>
    <r>
      <rPr>
        <sz val="10"/>
        <color indexed="8"/>
        <rFont val="宋体"/>
        <family val="3"/>
        <charset val="134"/>
      </rPr>
      <t>住房贷款</t>
    </r>
  </si>
  <si>
    <r>
      <rPr>
        <sz val="10"/>
        <color indexed="8"/>
        <rFont val="宋体"/>
        <family val="3"/>
        <charset val="134"/>
      </rPr>
      <t>住房租金</t>
    </r>
  </si>
  <si>
    <r>
      <rPr>
        <sz val="10"/>
        <color indexed="8"/>
        <rFont val="宋体"/>
        <family val="3"/>
        <charset val="134"/>
      </rPr>
      <t>租房租金</t>
    </r>
  </si>
  <si>
    <t>管理</t>
  </si>
  <si>
    <t>总经理</t>
  </si>
  <si>
    <t>2019.2.19</t>
  </si>
  <si>
    <t>城镇</t>
  </si>
  <si>
    <t>杨武勇</t>
  </si>
  <si>
    <t>运营部/总监</t>
  </si>
  <si>
    <t>程昊</t>
  </si>
  <si>
    <t>内容管理部/总监</t>
  </si>
  <si>
    <t>刘畅</t>
  </si>
  <si>
    <t>研发</t>
  </si>
  <si>
    <t>算法工程师</t>
  </si>
  <si>
    <t>刘佳</t>
  </si>
  <si>
    <t>设计</t>
  </si>
  <si>
    <t>UI设计师</t>
  </si>
  <si>
    <t>王静</t>
  </si>
  <si>
    <t>2019.4.8</t>
  </si>
  <si>
    <t>董欣月</t>
  </si>
  <si>
    <t>前端工程师</t>
  </si>
  <si>
    <t>2019.4.22</t>
  </si>
  <si>
    <t>农村</t>
  </si>
  <si>
    <t>殷梦瑶</t>
  </si>
  <si>
    <t>工程师</t>
  </si>
  <si>
    <t>罗玖林</t>
  </si>
  <si>
    <t>2019.6.12</t>
  </si>
  <si>
    <t>校建强</t>
  </si>
  <si>
    <t>后台工程师</t>
  </si>
  <si>
    <t>2019.6.17</t>
  </si>
  <si>
    <t>李艺高</t>
  </si>
  <si>
    <t>内容</t>
  </si>
  <si>
    <t>教研</t>
  </si>
  <si>
    <t>苟莹莹</t>
  </si>
  <si>
    <t>运营</t>
  </si>
  <si>
    <t>运营专员</t>
  </si>
  <si>
    <t>2019.6.20</t>
  </si>
  <si>
    <t>孔烨</t>
  </si>
  <si>
    <t>产品</t>
  </si>
  <si>
    <t>产品经理</t>
  </si>
  <si>
    <t>2019.8.1</t>
  </si>
  <si>
    <t>曹亚平</t>
  </si>
  <si>
    <t>原画设计师</t>
  </si>
  <si>
    <t>2019.9.4</t>
  </si>
  <si>
    <t>顾秀忠</t>
  </si>
  <si>
    <t>2019.9.9</t>
  </si>
  <si>
    <t>李斌</t>
  </si>
  <si>
    <t>2019.9.16</t>
  </si>
  <si>
    <t>周彤彤</t>
  </si>
  <si>
    <t>cocos开发工程师</t>
  </si>
  <si>
    <t>2019.9.25</t>
  </si>
  <si>
    <t>邱赫</t>
  </si>
  <si>
    <t>合计</t>
  </si>
  <si>
    <t>社保扣款</t>
  </si>
  <si>
    <t>公积金扣款</t>
  </si>
  <si>
    <t>人力总成本</t>
  </si>
  <si>
    <r>
      <rPr>
        <b/>
        <sz val="16"/>
        <color theme="1"/>
        <rFont val="Arial Narrow"/>
        <family val="2"/>
      </rPr>
      <t>北京清科文典科技有限公司  1</t>
    </r>
    <r>
      <rPr>
        <b/>
        <sz val="16"/>
        <color theme="1"/>
        <rFont val="宋体"/>
        <family val="3"/>
        <charset val="134"/>
      </rPr>
      <t>月工资条</t>
    </r>
  </si>
  <si>
    <t>公积金</t>
  </si>
  <si>
    <t>专项附加扣除</t>
  </si>
  <si>
    <t>个税</t>
  </si>
  <si>
    <t/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</si>
  <si>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2</t>
    </r>
    <r>
      <rPr>
        <b/>
        <sz val="16"/>
        <color theme="1"/>
        <rFont val="宋体"/>
        <family val="3"/>
        <charset val="134"/>
      </rPr>
      <t>月工资表</t>
    </r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</si>
  <si>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 xml:space="preserve">  2</t>
    </r>
    <r>
      <rPr>
        <b/>
        <sz val="16"/>
        <color theme="1"/>
        <rFont val="宋体"/>
        <family val="3"/>
        <charset val="134"/>
      </rPr>
      <t>月工资条</t>
    </r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</si>
  <si>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3</t>
    </r>
    <r>
      <rPr>
        <b/>
        <sz val="16"/>
        <color theme="1"/>
        <rFont val="宋体"/>
        <family val="3"/>
        <charset val="134"/>
      </rPr>
      <t>月工资表</t>
    </r>
  </si>
  <si>
    <t>基本工资</t>
  </si>
  <si>
    <t>补偿金</t>
  </si>
  <si>
    <t>工资+补偿</t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</si>
  <si>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 xml:space="preserve">  3</t>
    </r>
    <r>
      <rPr>
        <b/>
        <sz val="16"/>
        <color theme="1"/>
        <rFont val="宋体"/>
        <family val="3"/>
        <charset val="134"/>
      </rPr>
      <t>月工资条</t>
    </r>
  </si>
  <si>
    <r>
      <rPr>
        <sz val="10"/>
        <color theme="1"/>
        <rFont val="等线"/>
        <family val="3"/>
        <charset val="134"/>
      </rPr>
      <t>社保项目</t>
    </r>
  </si>
  <si>
    <r>
      <rPr>
        <sz val="10"/>
        <color theme="1"/>
        <rFont val="等线"/>
        <family val="3"/>
        <charset val="134"/>
      </rPr>
      <t>单位社保</t>
    </r>
  </si>
  <si>
    <r>
      <rPr>
        <sz val="10"/>
        <color theme="1"/>
        <rFont val="等线"/>
        <family val="3"/>
        <charset val="134"/>
      </rPr>
      <t>个人社保</t>
    </r>
  </si>
  <si>
    <r>
      <rPr>
        <sz val="10"/>
        <color theme="1"/>
        <rFont val="等线"/>
        <family val="3"/>
        <charset val="134"/>
      </rPr>
      <t>养老</t>
    </r>
  </si>
  <si>
    <r>
      <rPr>
        <sz val="10"/>
        <color theme="1"/>
        <rFont val="等线"/>
        <family val="3"/>
        <charset val="134"/>
      </rPr>
      <t>失业</t>
    </r>
  </si>
  <si>
    <r>
      <rPr>
        <sz val="10"/>
        <color theme="1"/>
        <rFont val="等线"/>
        <family val="3"/>
        <charset val="134"/>
      </rPr>
      <t>工伤</t>
    </r>
  </si>
  <si>
    <r>
      <rPr>
        <sz val="10"/>
        <color theme="1"/>
        <rFont val="等线"/>
        <family val="3"/>
        <charset val="134"/>
      </rPr>
      <t>医疗</t>
    </r>
  </si>
  <si>
    <r>
      <rPr>
        <sz val="10"/>
        <color theme="1"/>
        <rFont val="等线"/>
        <family val="3"/>
        <charset val="134"/>
      </rPr>
      <t>生育</t>
    </r>
  </si>
  <si>
    <t>小计</t>
  </si>
  <si>
    <t>单位</t>
  </si>
  <si>
    <t>个人</t>
  </si>
  <si>
    <r>
      <rPr>
        <sz val="10"/>
        <color theme="1"/>
        <rFont val="等线"/>
        <family val="3"/>
        <charset val="134"/>
      </rPr>
      <t>征收比例</t>
    </r>
  </si>
  <si>
    <t>5%-12%</t>
  </si>
  <si>
    <r>
      <rPr>
        <sz val="10"/>
        <color theme="1"/>
        <rFont val="等线"/>
        <family val="3"/>
        <charset val="134"/>
      </rPr>
      <t>下限</t>
    </r>
  </si>
  <si>
    <r>
      <rPr>
        <sz val="10"/>
        <color theme="1"/>
        <rFont val="等线"/>
        <family val="3"/>
        <charset val="134"/>
      </rPr>
      <t>上限</t>
    </r>
  </si>
  <si>
    <r>
      <rPr>
        <sz val="10"/>
        <color theme="1"/>
        <rFont val="宋体"/>
        <family val="3"/>
        <charset val="134"/>
      </rPr>
      <t>李斌</t>
    </r>
  </si>
  <si>
    <r>
      <rPr>
        <sz val="10"/>
        <color theme="1"/>
        <rFont val="宋体"/>
        <family val="3"/>
        <charset val="134"/>
      </rPr>
      <t>周彤彤</t>
    </r>
  </si>
  <si>
    <r>
      <rPr>
        <sz val="10"/>
        <color theme="1"/>
        <rFont val="宋体"/>
        <family val="3"/>
        <charset val="134"/>
      </rPr>
      <t>邱赫</t>
    </r>
  </si>
  <si>
    <t>北京清科文典科技有限公司4月工资表</t>
    <phoneticPr fontId="21" type="noConversion"/>
  </si>
  <si>
    <r>
      <t>4</t>
    </r>
    <r>
      <rPr>
        <sz val="10"/>
        <color indexed="8"/>
        <rFont val="宋体"/>
        <family val="3"/>
        <charset val="134"/>
      </rPr>
      <t>月个税</t>
    </r>
    <phoneticPr fontId="21" type="noConversion"/>
  </si>
  <si>
    <r>
      <rPr>
        <sz val="10"/>
        <color indexed="8"/>
        <rFont val="宋体"/>
        <family val="3"/>
        <charset val="134"/>
      </rPr>
      <t>考勤扣款</t>
    </r>
    <phoneticPr fontId="21" type="noConversion"/>
  </si>
  <si>
    <r>
      <rPr>
        <sz val="10"/>
        <color rgb="FF000000"/>
        <rFont val="宋体"/>
        <family val="3"/>
        <charset val="134"/>
      </rPr>
      <t>其他扣款</t>
    </r>
  </si>
  <si>
    <r>
      <rPr>
        <sz val="10"/>
        <color indexed="8"/>
        <rFont val="宋体"/>
        <family val="3"/>
        <charset val="134"/>
      </rPr>
      <t>公积金</t>
    </r>
    <phoneticPr fontId="21" type="noConversion"/>
  </si>
  <si>
    <r>
      <rPr>
        <sz val="10"/>
        <color theme="1"/>
        <rFont val="宋体"/>
        <family val="3"/>
        <charset val="134"/>
      </rPr>
      <t>曹亚平</t>
    </r>
  </si>
  <si>
    <r>
      <rPr>
        <b/>
        <sz val="10"/>
        <color indexed="8"/>
        <rFont val="宋体"/>
        <family val="3"/>
        <charset val="134"/>
      </rPr>
      <t>应发工资</t>
    </r>
  </si>
  <si>
    <t>专项合计</t>
    <phoneticPr fontId="21" type="noConversion"/>
  </si>
  <si>
    <r>
      <rPr>
        <b/>
        <sz val="16"/>
        <color theme="1"/>
        <rFont val="宋体"/>
        <family val="3"/>
        <charset val="134"/>
      </rPr>
      <t>北京清科文典科技有限公司</t>
    </r>
    <r>
      <rPr>
        <b/>
        <sz val="16"/>
        <color theme="1"/>
        <rFont val="Arial Narrow"/>
        <family val="2"/>
      </rPr>
      <t>4</t>
    </r>
    <r>
      <rPr>
        <b/>
        <sz val="16"/>
        <color theme="1"/>
        <rFont val="宋体"/>
        <family val="3"/>
        <charset val="134"/>
      </rPr>
      <t>月工资条</t>
    </r>
    <phoneticPr fontId="21" type="noConversion"/>
  </si>
  <si>
    <t>补偿金</t>
    <phoneticPr fontId="21" type="noConversion"/>
  </si>
  <si>
    <r>
      <rPr>
        <b/>
        <sz val="10"/>
        <color rgb="FF000000"/>
        <rFont val="宋体"/>
        <family val="3"/>
        <charset val="134"/>
      </rPr>
      <t>补偿金</t>
    </r>
    <phoneticPr fontId="21" type="noConversion"/>
  </si>
  <si>
    <t>姓名</t>
  </si>
  <si>
    <t>北京清科文典科技有限公司5月工资表</t>
    <phoneticPr fontId="21" type="noConversion"/>
  </si>
  <si>
    <t>5月个税</t>
    <phoneticPr fontId="21" type="noConversion"/>
  </si>
  <si>
    <r>
      <rPr>
        <sz val="10"/>
        <color rgb="FFFF0000"/>
        <rFont val="宋体"/>
        <family val="3"/>
        <charset val="134"/>
      </rPr>
      <t>累计收入</t>
    </r>
  </si>
  <si>
    <r>
      <rPr>
        <sz val="10"/>
        <color rgb="FFFF0000"/>
        <rFont val="宋体"/>
        <family val="3"/>
        <charset val="134"/>
      </rPr>
      <t>累计减除费用</t>
    </r>
  </si>
  <si>
    <r>
      <rPr>
        <sz val="10"/>
        <color rgb="FFFF0000"/>
        <rFont val="宋体"/>
        <family val="3"/>
        <charset val="134"/>
      </rPr>
      <t>累计</t>
    </r>
    <r>
      <rPr>
        <sz val="10"/>
        <color rgb="FFFF0000"/>
        <rFont val="Arial Narrow"/>
        <family val="2"/>
      </rPr>
      <t xml:space="preserve">  </t>
    </r>
    <r>
      <rPr>
        <sz val="10"/>
        <color rgb="FFFF0000"/>
        <rFont val="宋体"/>
        <family val="3"/>
        <charset val="134"/>
      </rPr>
      <t>专项附加</t>
    </r>
    <r>
      <rPr>
        <sz val="10"/>
        <color rgb="FFFF0000"/>
        <rFont val="Arial Narrow"/>
        <family val="2"/>
      </rPr>
      <t xml:space="preserve">  </t>
    </r>
    <r>
      <rPr>
        <sz val="10"/>
        <color rgb="FFFF0000"/>
        <rFont val="宋体"/>
        <family val="3"/>
        <charset val="134"/>
      </rPr>
      <t>扣除</t>
    </r>
  </si>
  <si>
    <r>
      <rPr>
        <sz val="10"/>
        <color rgb="FFFF0000"/>
        <rFont val="宋体"/>
        <family val="3"/>
        <charset val="134"/>
      </rPr>
      <t>子女教育</t>
    </r>
  </si>
  <si>
    <r>
      <rPr>
        <sz val="10"/>
        <color rgb="FFFF0000"/>
        <rFont val="宋体"/>
        <family val="3"/>
        <charset val="134"/>
      </rPr>
      <t>赡养老人</t>
    </r>
  </si>
  <si>
    <r>
      <rPr>
        <sz val="10"/>
        <color rgb="FFFF0000"/>
        <rFont val="宋体"/>
        <family val="3"/>
        <charset val="134"/>
      </rPr>
      <t>继续教育</t>
    </r>
  </si>
  <si>
    <r>
      <rPr>
        <sz val="10"/>
        <color rgb="FFFF0000"/>
        <rFont val="宋体"/>
        <family val="3"/>
        <charset val="134"/>
      </rPr>
      <t>住房贷款</t>
    </r>
  </si>
  <si>
    <r>
      <rPr>
        <sz val="10"/>
        <color rgb="FFFF0000"/>
        <rFont val="宋体"/>
        <family val="3"/>
        <charset val="134"/>
      </rPr>
      <t>租房租金</t>
    </r>
  </si>
  <si>
    <t>子女教育</t>
  </si>
  <si>
    <t>赡养老人</t>
  </si>
  <si>
    <t>继续教育</t>
  </si>
  <si>
    <t>住房贷款</t>
  </si>
  <si>
    <t>北京清科文典科技有限公司5月工资条</t>
    <phoneticPr fontId="36" type="noConversion"/>
  </si>
  <si>
    <t>北京清科文典科技有限公司6月工资表</t>
    <phoneticPr fontId="21" type="noConversion"/>
  </si>
  <si>
    <t>北京清科文典科技有限公司6月工资条</t>
    <phoneticPr fontId="36" type="noConversion"/>
  </si>
  <si>
    <t>姓名</t>
    <phoneticPr fontId="21" type="noConversion"/>
  </si>
  <si>
    <t>6月个税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</si>
</sst>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0.0%"/>
    <numFmt numFmtId="177" formatCode="#,##0.00_ "/>
    <numFmt numFmtId="178" formatCode="#,##0_ "/>
    <numFmt numFmtId="179" formatCode="[$-1010409]yyyy\-mm\-dd"/>
    <numFmt numFmtId="180" formatCode="0.00_ "/>
    <numFmt numFmtId="181" formatCode="0.00_);[Red]\(0.00\)"/>
  </numFmts>
  <fonts count="39" x14ac:knownFonts="1">
    <font>
      <sz val="11"/>
      <color theme="1"/>
      <name val="宋体"/>
      <charset val="134"/>
      <scheme val="minor"/>
    </font>
    <font>
      <sz val="10"/>
      <color theme="1"/>
      <name val="Arial Narrow"/>
      <family val="2"/>
    </font>
    <font>
      <sz val="10"/>
      <color theme="1"/>
      <name val="宋体"/>
      <family val="3"/>
      <charset val="134"/>
    </font>
    <font>
      <b/>
      <sz val="16"/>
      <color theme="1"/>
      <name val="宋体"/>
      <family val="3"/>
      <charset val="134"/>
    </font>
    <font>
      <b/>
      <sz val="16"/>
      <color theme="1"/>
      <name val="Arial Narrow"/>
      <family val="2"/>
    </font>
    <font>
      <sz val="10"/>
      <color indexed="8"/>
      <name val="Arial Narrow"/>
      <family val="2"/>
    </font>
    <font>
      <sz val="10"/>
      <color indexed="8"/>
      <name val="宋体"/>
      <family val="3"/>
      <charset val="134"/>
    </font>
    <font>
      <b/>
      <sz val="10"/>
      <color indexed="8"/>
      <name val="Arial Narrow"/>
      <family val="2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indexed="8"/>
      <name val="宋体"/>
      <family val="3"/>
      <charset val="134"/>
    </font>
    <font>
      <sz val="9"/>
      <color indexed="8"/>
      <name val="Arial Narrow"/>
      <family val="2"/>
    </font>
    <font>
      <sz val="10"/>
      <name val="Arial Narrow"/>
      <family val="2"/>
    </font>
    <font>
      <sz val="10"/>
      <color theme="1"/>
      <name val="等线"/>
      <family val="3"/>
      <charset val="134"/>
    </font>
    <font>
      <b/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FF0000"/>
      <name val="Arial Narrow"/>
      <family val="2"/>
    </font>
    <font>
      <sz val="10"/>
      <color rgb="FFFF0000"/>
      <name val="宋体"/>
      <family val="3"/>
      <charset val="134"/>
    </font>
    <font>
      <sz val="10"/>
      <color rgb="FFFF0000"/>
      <name val="Arial Narrow"/>
      <family val="2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4"/>
      <color theme="1"/>
      <name val="Arial Narrow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1"/>
      <name val="Arial Narrow"/>
      <family val="2"/>
    </font>
    <font>
      <sz val="10"/>
      <color rgb="FF000000"/>
      <name val="Arial Narrow"/>
      <family val="2"/>
    </font>
    <font>
      <b/>
      <sz val="10"/>
      <color theme="1"/>
      <name val="Arial Narrow"/>
      <family val="2"/>
    </font>
    <font>
      <b/>
      <sz val="10"/>
      <color rgb="FF000000"/>
      <name val="宋体"/>
      <family val="3"/>
      <charset val="134"/>
    </font>
    <font>
      <b/>
      <sz val="10"/>
      <color rgb="FF000000"/>
      <name val="Malgun Gothic Semilight"/>
      <family val="2"/>
      <charset val="134"/>
    </font>
    <font>
      <b/>
      <sz val="10"/>
      <color rgb="FF000000"/>
      <name val="Arial"/>
      <family val="2"/>
    </font>
    <font>
      <sz val="10"/>
      <color rgb="FFFF0000"/>
      <name val="宋体"/>
      <family val="3"/>
      <charset val="134"/>
      <scheme val="minor"/>
    </font>
    <font>
      <sz val="10"/>
      <color theme="6" tint="-0.499984740745262"/>
      <name val="Arial Narrow"/>
      <family val="2"/>
    </font>
    <font>
      <sz val="10"/>
      <color theme="6" tint="-0.499984740745262"/>
      <name val="宋体"/>
      <family val="3"/>
      <charset val="134"/>
      <scheme val="minor"/>
    </font>
    <font>
      <sz val="10"/>
      <color theme="6" tint="-0.499984740745262"/>
      <name val="宋体"/>
      <family val="3"/>
      <charset val="134"/>
    </font>
    <font>
      <sz val="9"/>
      <name val="宋体"/>
      <charset val="134"/>
      <scheme val="minor"/>
    </font>
    <font>
      <sz val="16"/>
      <color theme="1"/>
      <name val="宋体"/>
      <family val="3"/>
      <charset val="134"/>
    </font>
    <font>
      <sz val="18"/>
      <color theme="1"/>
      <name val="宋体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179" fontId="0" fillId="0" borderId="0"/>
  </cellStyleXfs>
  <cellXfs count="261">
    <xf numFmtId="179" fontId="0" fillId="0" borderId="0" xfId="0"/>
    <xf numFmtId="179" fontId="0" fillId="2" borderId="0" xfId="0" applyFill="1"/>
    <xf numFmtId="177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7" fontId="1" fillId="4" borderId="1" xfId="0" applyNumberFormat="1" applyFont="1" applyFill="1" applyBorder="1" applyAlignment="1">
      <alignment horizontal="center" vertical="center"/>
    </xf>
    <xf numFmtId="177" fontId="1" fillId="5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1" fillId="7" borderId="1" xfId="0" applyNumberFormat="1" applyFont="1" applyFill="1" applyBorder="1" applyAlignment="1">
      <alignment horizontal="center" vertical="center"/>
    </xf>
    <xf numFmtId="177" fontId="1" fillId="8" borderId="1" xfId="0" applyNumberFormat="1" applyFont="1" applyFill="1" applyBorder="1" applyAlignment="1">
      <alignment horizontal="center" vertical="center"/>
    </xf>
    <xf numFmtId="179" fontId="1" fillId="2" borderId="5" xfId="0" applyFont="1" applyFill="1" applyBorder="1" applyAlignment="1">
      <alignment horizontal="center" vertical="center"/>
    </xf>
    <xf numFmtId="179" fontId="2" fillId="2" borderId="5" xfId="0" applyFont="1" applyFill="1" applyBorder="1" applyAlignment="1">
      <alignment horizontal="center" vertical="center"/>
    </xf>
    <xf numFmtId="179" fontId="1" fillId="2" borderId="1" xfId="0" applyFont="1" applyFill="1" applyBorder="1" applyAlignment="1">
      <alignment horizontal="center" vertical="center"/>
    </xf>
    <xf numFmtId="177" fontId="1" fillId="9" borderId="1" xfId="0" applyNumberFormat="1" applyFont="1" applyFill="1" applyBorder="1" applyAlignment="1">
      <alignment horizontal="center" vertical="center"/>
    </xf>
    <xf numFmtId="179" fontId="1" fillId="2" borderId="0" xfId="0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178" fontId="1" fillId="2" borderId="0" xfId="0" applyNumberFormat="1" applyFont="1" applyFill="1" applyBorder="1" applyAlignment="1">
      <alignment horizontal="center" vertical="center"/>
    </xf>
    <xf numFmtId="179" fontId="1" fillId="2" borderId="0" xfId="0" applyNumberFormat="1" applyFont="1" applyFill="1" applyBorder="1" applyAlignment="1">
      <alignment horizontal="center" vertical="center"/>
    </xf>
    <xf numFmtId="177" fontId="1" fillId="2" borderId="0" xfId="0" applyNumberFormat="1" applyFont="1" applyFill="1" applyBorder="1" applyAlignment="1">
      <alignment horizontal="center" vertical="center"/>
    </xf>
    <xf numFmtId="43" fontId="1" fillId="2" borderId="0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vertical="center"/>
    </xf>
    <xf numFmtId="179" fontId="5" fillId="2" borderId="1" xfId="0" applyFont="1" applyFill="1" applyBorder="1" applyAlignment="1">
      <alignment vertical="center"/>
    </xf>
    <xf numFmtId="178" fontId="5" fillId="2" borderId="1" xfId="0" applyNumberFormat="1" applyFont="1" applyFill="1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horizontal="center" vertical="center"/>
    </xf>
    <xf numFmtId="179" fontId="1" fillId="2" borderId="7" xfId="0" applyNumberFormat="1" applyFont="1" applyFill="1" applyBorder="1" applyAlignment="1">
      <alignment horizontal="center" vertical="center"/>
    </xf>
    <xf numFmtId="43" fontId="1" fillId="2" borderId="1" xfId="0" applyNumberFormat="1" applyFont="1" applyFill="1" applyBorder="1" applyAlignment="1">
      <alignment horizontal="center" vertical="center"/>
    </xf>
    <xf numFmtId="179" fontId="2" fillId="2" borderId="1" xfId="0" applyNumberFormat="1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/>
    </xf>
    <xf numFmtId="43" fontId="1" fillId="2" borderId="8" xfId="0" applyNumberFormat="1" applyFont="1" applyFill="1" applyBorder="1" applyAlignment="1">
      <alignment horizontal="center" vertical="center"/>
    </xf>
    <xf numFmtId="178" fontId="1" fillId="2" borderId="1" xfId="0" applyNumberFormat="1" applyFont="1" applyFill="1" applyBorder="1" applyAlignment="1">
      <alignment horizontal="center" vertical="center"/>
    </xf>
    <xf numFmtId="179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horizontal="center" vertical="center"/>
    </xf>
    <xf numFmtId="177" fontId="5" fillId="2" borderId="1" xfId="0" applyNumberFormat="1" applyFont="1" applyFill="1" applyBorder="1" applyAlignment="1">
      <alignment vertical="center"/>
    </xf>
    <xf numFmtId="43" fontId="1" fillId="10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vertical="center" wrapText="1"/>
    </xf>
    <xf numFmtId="43" fontId="7" fillId="2" borderId="1" xfId="0" applyNumberFormat="1" applyFont="1" applyFill="1" applyBorder="1" applyAlignment="1">
      <alignment vertical="center"/>
    </xf>
    <xf numFmtId="179" fontId="1" fillId="2" borderId="0" xfId="0" applyFont="1" applyFill="1" applyAlignment="1">
      <alignment horizontal="center" vertical="center"/>
    </xf>
    <xf numFmtId="43" fontId="1" fillId="2" borderId="0" xfId="0" applyNumberFormat="1" applyFont="1" applyFill="1" applyAlignment="1">
      <alignment horizontal="center" vertical="center"/>
    </xf>
    <xf numFmtId="14" fontId="1" fillId="2" borderId="0" xfId="0" applyNumberFormat="1" applyFont="1" applyFill="1" applyAlignment="1">
      <alignment horizontal="center" vertical="center"/>
    </xf>
    <xf numFmtId="178" fontId="1" fillId="2" borderId="0" xfId="0" applyNumberFormat="1" applyFont="1" applyFill="1" applyAlignment="1">
      <alignment horizontal="center" vertical="center"/>
    </xf>
    <xf numFmtId="179" fontId="1" fillId="2" borderId="0" xfId="0" applyNumberFormat="1" applyFont="1" applyFill="1" applyAlignment="1">
      <alignment horizontal="center" vertical="center"/>
    </xf>
    <xf numFmtId="177" fontId="1" fillId="2" borderId="0" xfId="0" applyNumberFormat="1" applyFont="1" applyFill="1" applyAlignment="1">
      <alignment horizontal="center" vertical="center"/>
    </xf>
    <xf numFmtId="179" fontId="9" fillId="0" borderId="1" xfId="0" applyNumberFormat="1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179" fontId="1" fillId="2" borderId="8" xfId="0" applyNumberFormat="1" applyFont="1" applyFill="1" applyBorder="1" applyAlignment="1">
      <alignment horizontal="center" vertical="center"/>
    </xf>
    <xf numFmtId="43" fontId="2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180" fontId="1" fillId="2" borderId="0" xfId="0" applyNumberFormat="1" applyFont="1" applyFill="1" applyAlignment="1">
      <alignment horizontal="center" vertical="center"/>
    </xf>
    <xf numFmtId="179" fontId="5" fillId="10" borderId="1" xfId="0" applyNumberFormat="1" applyFont="1" applyFill="1" applyBorder="1" applyAlignment="1">
      <alignment horizontal="center" vertical="center"/>
    </xf>
    <xf numFmtId="176" fontId="5" fillId="10" borderId="1" xfId="0" applyNumberFormat="1" applyFont="1" applyFill="1" applyBorder="1" applyAlignment="1">
      <alignment horizontal="center" vertical="center"/>
    </xf>
    <xf numFmtId="177" fontId="5" fillId="10" borderId="2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43" fontId="5" fillId="10" borderId="7" xfId="0" applyNumberFormat="1" applyFont="1" applyFill="1" applyBorder="1" applyAlignment="1">
      <alignment horizontal="center" vertical="center"/>
    </xf>
    <xf numFmtId="43" fontId="5" fillId="10" borderId="8" xfId="0" applyNumberFormat="1" applyFont="1" applyFill="1" applyBorder="1" applyAlignment="1">
      <alignment horizontal="center" vertical="center"/>
    </xf>
    <xf numFmtId="176" fontId="5" fillId="11" borderId="1" xfId="0" applyNumberFormat="1" applyFont="1" applyFill="1" applyBorder="1" applyAlignment="1">
      <alignment horizontal="center" vertical="center"/>
    </xf>
    <xf numFmtId="9" fontId="5" fillId="11" borderId="1" xfId="0" applyNumberFormat="1" applyFont="1" applyFill="1" applyBorder="1" applyAlignment="1">
      <alignment horizontal="center" vertical="center"/>
    </xf>
    <xf numFmtId="43" fontId="5" fillId="11" borderId="7" xfId="0" applyNumberFormat="1" applyFont="1" applyFill="1" applyBorder="1" applyAlignment="1">
      <alignment horizontal="center" vertical="center"/>
    </xf>
    <xf numFmtId="43" fontId="5" fillId="11" borderId="1" xfId="0" applyNumberFormat="1" applyFont="1" applyFill="1" applyBorder="1" applyAlignment="1">
      <alignment horizontal="center" vertical="center"/>
    </xf>
    <xf numFmtId="43" fontId="1" fillId="11" borderId="1" xfId="0" applyNumberFormat="1" applyFont="1" applyFill="1" applyBorder="1" applyAlignment="1">
      <alignment horizontal="center" vertical="center"/>
    </xf>
    <xf numFmtId="43" fontId="5" fillId="11" borderId="8" xfId="0" applyNumberFormat="1" applyFont="1" applyFill="1" applyBorder="1" applyAlignment="1">
      <alignment horizontal="center" vertical="center"/>
    </xf>
    <xf numFmtId="179" fontId="1" fillId="2" borderId="1" xfId="0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43" fontId="5" fillId="11" borderId="7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9" fontId="5" fillId="2" borderId="1" xfId="0" applyFont="1" applyFill="1" applyBorder="1" applyAlignment="1">
      <alignment horizontal="center" vertical="center"/>
    </xf>
    <xf numFmtId="43" fontId="5" fillId="2" borderId="1" xfId="0" applyNumberFormat="1" applyFont="1" applyFill="1" applyBorder="1" applyAlignment="1">
      <alignment horizontal="center" vertical="center" wrapText="1"/>
    </xf>
    <xf numFmtId="43" fontId="14" fillId="2" borderId="1" xfId="0" applyNumberFormat="1" applyFont="1" applyFill="1" applyBorder="1" applyAlignment="1">
      <alignment horizontal="center" vertical="center"/>
    </xf>
    <xf numFmtId="179" fontId="22" fillId="2" borderId="0" xfId="0" applyFont="1" applyFill="1" applyAlignment="1">
      <alignment horizontal="centerContinuous" vertical="center"/>
    </xf>
    <xf numFmtId="177" fontId="22" fillId="2" borderId="0" xfId="0" applyNumberFormat="1" applyFont="1" applyFill="1" applyAlignment="1">
      <alignment horizontal="centerContinuous" vertical="center"/>
    </xf>
    <xf numFmtId="43" fontId="22" fillId="2" borderId="0" xfId="0" applyNumberFormat="1" applyFont="1" applyFill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" vertical="center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2" borderId="1" xfId="0" applyNumberFormat="1" applyFont="1" applyFill="1" applyBorder="1" applyAlignment="1">
      <alignment horizontal="center" vertical="center"/>
    </xf>
    <xf numFmtId="179" fontId="2" fillId="4" borderId="1" xfId="0" applyNumberFormat="1" applyFont="1" applyFill="1" applyBorder="1" applyAlignment="1">
      <alignment horizontal="center" vertical="center"/>
    </xf>
    <xf numFmtId="177" fontId="1" fillId="2" borderId="7" xfId="0" applyNumberFormat="1" applyFont="1" applyFill="1" applyBorder="1" applyAlignment="1">
      <alignment vertical="center"/>
    </xf>
    <xf numFmtId="43" fontId="1" fillId="2" borderId="1" xfId="0" applyNumberFormat="1" applyFont="1" applyFill="1" applyBorder="1" applyAlignment="1">
      <alignment vertical="center"/>
    </xf>
    <xf numFmtId="43" fontId="5" fillId="2" borderId="1" xfId="0" applyNumberFormat="1" applyFont="1" applyFill="1" applyBorder="1" applyAlignment="1">
      <alignment vertical="center"/>
    </xf>
    <xf numFmtId="43" fontId="1" fillId="2" borderId="8" xfId="0" applyNumberFormat="1" applyFont="1" applyFill="1" applyBorder="1" applyAlignment="1">
      <alignment vertical="center"/>
    </xf>
    <xf numFmtId="43" fontId="1" fillId="2" borderId="0" xfId="0" applyNumberFormat="1" applyFont="1" applyFill="1" applyAlignment="1">
      <alignment vertical="center"/>
    </xf>
    <xf numFmtId="178" fontId="1" fillId="2" borderId="0" xfId="0" applyNumberFormat="1" applyFont="1" applyFill="1" applyAlignment="1">
      <alignment vertical="center"/>
    </xf>
    <xf numFmtId="14" fontId="25" fillId="2" borderId="0" xfId="0" applyNumberFormat="1" applyFont="1" applyFill="1" applyAlignment="1">
      <alignment horizontal="center" vertical="center"/>
    </xf>
    <xf numFmtId="177" fontId="26" fillId="2" borderId="0" xfId="0" applyNumberFormat="1" applyFont="1" applyFill="1" applyAlignment="1">
      <alignment horizontal="center" vertical="center"/>
    </xf>
    <xf numFmtId="177" fontId="27" fillId="2" borderId="1" xfId="0" applyNumberFormat="1" applyFont="1" applyFill="1" applyBorder="1" applyAlignment="1">
      <alignment horizontal="center" vertical="center"/>
    </xf>
    <xf numFmtId="43" fontId="28" fillId="2" borderId="1" xfId="0" applyNumberFormat="1" applyFont="1" applyFill="1" applyBorder="1" applyAlignment="1">
      <alignment horizontal="center" vertical="center"/>
    </xf>
    <xf numFmtId="43" fontId="7" fillId="2" borderId="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Border="1" applyAlignment="1">
      <alignment horizontal="center" vertical="center"/>
    </xf>
    <xf numFmtId="179" fontId="5" fillId="2" borderId="0" xfId="0" applyFont="1" applyFill="1" applyBorder="1" applyAlignment="1">
      <alignment horizontal="center" vertical="center"/>
    </xf>
    <xf numFmtId="178" fontId="5" fillId="2" borderId="0" xfId="0" applyNumberFormat="1" applyFont="1" applyFill="1" applyBorder="1" applyAlignment="1">
      <alignment horizontal="center" vertical="center"/>
    </xf>
    <xf numFmtId="177" fontId="5" fillId="2" borderId="0" xfId="0" applyNumberFormat="1" applyFont="1" applyFill="1" applyBorder="1" applyAlignment="1">
      <alignment horizontal="center" vertical="center"/>
    </xf>
    <xf numFmtId="177" fontId="27" fillId="2" borderId="0" xfId="0" applyNumberFormat="1" applyFont="1" applyFill="1" applyBorder="1" applyAlignment="1">
      <alignment horizontal="center" vertical="center"/>
    </xf>
    <xf numFmtId="177" fontId="7" fillId="2" borderId="0" xfId="0" applyNumberFormat="1" applyFont="1" applyFill="1" applyBorder="1" applyAlignment="1">
      <alignment horizontal="center" vertical="center"/>
    </xf>
    <xf numFmtId="43" fontId="5" fillId="2" borderId="0" xfId="0" applyNumberFormat="1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43" fontId="5" fillId="2" borderId="0" xfId="0" applyNumberFormat="1" applyFont="1" applyFill="1" applyBorder="1" applyAlignment="1">
      <alignment horizontal="center" vertical="center" wrapText="1"/>
    </xf>
    <xf numFmtId="43" fontId="7" fillId="2" borderId="0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0" fontId="22" fillId="2" borderId="0" xfId="0" applyNumberFormat="1" applyFont="1" applyFill="1" applyAlignment="1">
      <alignment horizontal="centerContinuous" vertical="center"/>
    </xf>
    <xf numFmtId="178" fontId="22" fillId="2" borderId="0" xfId="0" applyNumberFormat="1" applyFont="1" applyFill="1" applyAlignment="1">
      <alignment horizontal="centerContinuous" vertical="center"/>
    </xf>
    <xf numFmtId="0" fontId="4" fillId="2" borderId="0" xfId="0" applyNumberFormat="1" applyFont="1" applyFill="1" applyAlignment="1">
      <alignment horizontal="centerContinuous" vertical="center"/>
    </xf>
    <xf numFmtId="43" fontId="30" fillId="2" borderId="1" xfId="0" applyNumberFormat="1" applyFont="1" applyFill="1" applyBorder="1" applyAlignment="1">
      <alignment horizontal="center" vertical="center"/>
    </xf>
    <xf numFmtId="43" fontId="31" fillId="2" borderId="1" xfId="0" applyNumberFormat="1" applyFont="1" applyFill="1" applyBorder="1" applyAlignment="1">
      <alignment horizontal="center" vertical="center"/>
    </xf>
    <xf numFmtId="49" fontId="28" fillId="2" borderId="1" xfId="0" applyNumberFormat="1" applyFont="1" applyFill="1" applyBorder="1" applyAlignment="1">
      <alignment horizontal="center" vertical="center"/>
    </xf>
    <xf numFmtId="44" fontId="1" fillId="2" borderId="1" xfId="0" applyNumberFormat="1" applyFont="1" applyFill="1" applyBorder="1" applyAlignment="1">
      <alignment horizontal="center" vertical="center"/>
    </xf>
    <xf numFmtId="44" fontId="28" fillId="2" borderId="1" xfId="0" applyNumberFormat="1" applyFont="1" applyFill="1" applyBorder="1" applyAlignment="1">
      <alignment horizontal="center" vertical="center"/>
    </xf>
    <xf numFmtId="0" fontId="19" fillId="2" borderId="1" xfId="0" applyNumberFormat="1" applyFont="1" applyFill="1" applyBorder="1" applyAlignment="1">
      <alignment horizontal="center" vertical="center"/>
    </xf>
    <xf numFmtId="179" fontId="32" fillId="0" borderId="1" xfId="0" applyNumberFormat="1" applyFont="1" applyFill="1" applyBorder="1" applyAlignment="1">
      <alignment horizontal="center" vertical="center"/>
    </xf>
    <xf numFmtId="14" fontId="19" fillId="2" borderId="1" xfId="0" applyNumberFormat="1" applyFont="1" applyFill="1" applyBorder="1" applyAlignment="1">
      <alignment horizontal="center" vertical="center"/>
    </xf>
    <xf numFmtId="179" fontId="19" fillId="2" borderId="1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vertical="center"/>
    </xf>
    <xf numFmtId="43" fontId="19" fillId="10" borderId="1" xfId="0" applyNumberFormat="1" applyFont="1" applyFill="1" applyBorder="1" applyAlignment="1">
      <alignment horizontal="center" vertical="center"/>
    </xf>
    <xf numFmtId="43" fontId="19" fillId="2" borderId="1" xfId="0" applyNumberFormat="1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43" fontId="19" fillId="11" borderId="1" xfId="0" applyNumberFormat="1" applyFont="1" applyFill="1" applyBorder="1" applyAlignment="1">
      <alignment horizontal="center" vertical="center"/>
    </xf>
    <xf numFmtId="179" fontId="19" fillId="2" borderId="0" xfId="0" applyFont="1" applyFill="1" applyAlignment="1">
      <alignment horizontal="center" vertical="center"/>
    </xf>
    <xf numFmtId="181" fontId="19" fillId="10" borderId="1" xfId="0" applyNumberFormat="1" applyFont="1" applyFill="1" applyBorder="1" applyAlignment="1">
      <alignment horizontal="center" vertical="center"/>
    </xf>
    <xf numFmtId="0" fontId="33" fillId="2" borderId="1" xfId="0" applyNumberFormat="1" applyFont="1" applyFill="1" applyBorder="1" applyAlignment="1">
      <alignment horizontal="center" vertical="center"/>
    </xf>
    <xf numFmtId="179" fontId="34" fillId="0" borderId="1" xfId="0" applyNumberFormat="1" applyFont="1" applyFill="1" applyBorder="1" applyAlignment="1">
      <alignment horizontal="center" vertical="center"/>
    </xf>
    <xf numFmtId="14" fontId="33" fillId="2" borderId="1" xfId="0" applyNumberFormat="1" applyFont="1" applyFill="1" applyBorder="1" applyAlignment="1">
      <alignment horizontal="center" vertical="center"/>
    </xf>
    <xf numFmtId="179" fontId="33" fillId="2" borderId="1" xfId="0" applyFont="1" applyFill="1" applyBorder="1" applyAlignment="1">
      <alignment horizontal="center" vertical="center"/>
    </xf>
    <xf numFmtId="43" fontId="33" fillId="2" borderId="1" xfId="0" applyNumberFormat="1" applyFont="1" applyFill="1" applyBorder="1" applyAlignment="1">
      <alignment vertical="center"/>
    </xf>
    <xf numFmtId="177" fontId="33" fillId="2" borderId="7" xfId="0" applyNumberFormat="1" applyFont="1" applyFill="1" applyBorder="1" applyAlignment="1">
      <alignment vertical="center"/>
    </xf>
    <xf numFmtId="43" fontId="33" fillId="10" borderId="1" xfId="0" applyNumberFormat="1" applyFont="1" applyFill="1" applyBorder="1" applyAlignment="1">
      <alignment horizontal="center" vertical="center"/>
    </xf>
    <xf numFmtId="43" fontId="33" fillId="2" borderId="1" xfId="0" applyNumberFormat="1" applyFont="1" applyFill="1" applyBorder="1" applyAlignment="1">
      <alignment horizontal="center" vertical="center"/>
    </xf>
    <xf numFmtId="177" fontId="33" fillId="2" borderId="7" xfId="0" applyNumberFormat="1" applyFont="1" applyFill="1" applyBorder="1" applyAlignment="1">
      <alignment horizontal="center" vertical="center"/>
    </xf>
    <xf numFmtId="43" fontId="33" fillId="11" borderId="1" xfId="0" applyNumberFormat="1" applyFont="1" applyFill="1" applyBorder="1" applyAlignment="1">
      <alignment horizontal="center" vertical="center"/>
    </xf>
    <xf numFmtId="179" fontId="33" fillId="2" borderId="0" xfId="0" applyFont="1" applyFill="1" applyAlignment="1">
      <alignment horizontal="center" vertical="center"/>
    </xf>
    <xf numFmtId="177" fontId="1" fillId="11" borderId="1" xfId="0" applyNumberFormat="1" applyFont="1" applyFill="1" applyBorder="1" applyAlignment="1">
      <alignment horizontal="center" vertical="center"/>
    </xf>
    <xf numFmtId="177" fontId="1" fillId="10" borderId="1" xfId="0" applyNumberFormat="1" applyFont="1" applyFill="1" applyBorder="1" applyAlignment="1">
      <alignment horizontal="center" vertical="center"/>
    </xf>
    <xf numFmtId="177" fontId="19" fillId="11" borderId="1" xfId="0" applyNumberFormat="1" applyFont="1" applyFill="1" applyBorder="1" applyAlignment="1">
      <alignment horizontal="center" vertical="center"/>
    </xf>
    <xf numFmtId="177" fontId="19" fillId="10" borderId="1" xfId="0" applyNumberFormat="1" applyFont="1" applyFill="1" applyBorder="1" applyAlignment="1">
      <alignment horizontal="center" vertical="center"/>
    </xf>
    <xf numFmtId="177" fontId="33" fillId="11" borderId="1" xfId="0" applyNumberFormat="1" applyFont="1" applyFill="1" applyBorder="1" applyAlignment="1">
      <alignment horizontal="center" vertical="center"/>
    </xf>
    <xf numFmtId="177" fontId="33" fillId="10" borderId="1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12" fontId="28" fillId="2" borderId="1" xfId="0" applyNumberFormat="1" applyFont="1" applyFill="1" applyBorder="1" applyAlignment="1">
      <alignment horizontal="center" vertical="center"/>
    </xf>
    <xf numFmtId="179" fontId="2" fillId="2" borderId="7" xfId="0" applyNumberFormat="1" applyFont="1" applyFill="1" applyBorder="1" applyAlignment="1">
      <alignment horizontal="center" vertical="center"/>
    </xf>
    <xf numFmtId="179" fontId="18" fillId="2" borderId="7" xfId="0" applyNumberFormat="1" applyFont="1" applyFill="1" applyBorder="1" applyAlignment="1">
      <alignment horizontal="center" vertical="center"/>
    </xf>
    <xf numFmtId="179" fontId="35" fillId="2" borderId="7" xfId="0" applyNumberFormat="1" applyFont="1" applyFill="1" applyBorder="1" applyAlignment="1">
      <alignment horizontal="center" vertical="center"/>
    </xf>
    <xf numFmtId="179" fontId="2" fillId="4" borderId="7" xfId="0" applyNumberFormat="1" applyFont="1" applyFill="1" applyBorder="1" applyAlignment="1">
      <alignment horizontal="center" vertical="center"/>
    </xf>
    <xf numFmtId="179" fontId="2" fillId="2" borderId="8" xfId="0" applyNumberFormat="1" applyFont="1" applyFill="1" applyBorder="1" applyAlignment="1">
      <alignment horizontal="center" vertical="center"/>
    </xf>
    <xf numFmtId="179" fontId="2" fillId="2" borderId="0" xfId="0" applyFont="1" applyFill="1" applyAlignment="1">
      <alignment horizontal="center" vertical="center"/>
    </xf>
    <xf numFmtId="181" fontId="1" fillId="2" borderId="1" xfId="0" applyNumberFormat="1" applyFont="1" applyFill="1" applyBorder="1" applyAlignment="1">
      <alignment vertical="center"/>
    </xf>
    <xf numFmtId="181" fontId="1" fillId="2" borderId="0" xfId="0" applyNumberFormat="1" applyFont="1" applyFill="1" applyAlignment="1">
      <alignment vertical="center"/>
    </xf>
    <xf numFmtId="181" fontId="1" fillId="2" borderId="8" xfId="0" applyNumberFormat="1" applyFont="1" applyFill="1" applyBorder="1" applyAlignment="1">
      <alignment vertical="center"/>
    </xf>
    <xf numFmtId="181" fontId="1" fillId="2" borderId="0" xfId="0" applyNumberFormat="1" applyFont="1" applyFill="1" applyAlignment="1">
      <alignment horizontal="center" vertical="center"/>
    </xf>
    <xf numFmtId="181" fontId="1" fillId="2" borderId="1" xfId="0" applyNumberFormat="1" applyFont="1" applyFill="1" applyBorder="1" applyAlignment="1">
      <alignment horizontal="center" vertical="center"/>
    </xf>
    <xf numFmtId="44" fontId="1" fillId="2" borderId="0" xfId="0" applyNumberFormat="1" applyFont="1" applyFill="1" applyAlignment="1">
      <alignment vertical="center"/>
    </xf>
    <xf numFmtId="43" fontId="26" fillId="2" borderId="0" xfId="0" applyNumberFormat="1" applyFont="1" applyFill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 wrapText="1"/>
    </xf>
    <xf numFmtId="43" fontId="19" fillId="11" borderId="7" xfId="0" applyNumberFormat="1" applyFont="1" applyFill="1" applyBorder="1" applyAlignment="1">
      <alignment horizontal="center" vertical="center"/>
    </xf>
    <xf numFmtId="43" fontId="19" fillId="11" borderId="8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3" fontId="19" fillId="11" borderId="7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43" fontId="19" fillId="11" borderId="8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179" fontId="0" fillId="2" borderId="0" xfId="0" applyFill="1" applyBorder="1"/>
    <xf numFmtId="0" fontId="1" fillId="2" borderId="0" xfId="0" applyNumberFormat="1" applyFont="1" applyFill="1" applyBorder="1" applyAlignment="1">
      <alignment horizontal="center" vertical="center"/>
    </xf>
    <xf numFmtId="179" fontId="2" fillId="2" borderId="0" xfId="0" applyNumberFormat="1" applyFont="1" applyFill="1" applyBorder="1" applyAlignment="1">
      <alignment horizontal="center" vertical="center"/>
    </xf>
    <xf numFmtId="0" fontId="0" fillId="2" borderId="0" xfId="0" applyNumberFormat="1" applyFill="1" applyBorder="1"/>
    <xf numFmtId="177" fontId="5" fillId="11" borderId="5" xfId="0" applyNumberFormat="1" applyFont="1" applyFill="1" applyBorder="1" applyAlignment="1">
      <alignment horizontal="center" vertical="center" wrapText="1"/>
    </xf>
    <xf numFmtId="177" fontId="5" fillId="11" borderId="9" xfId="0" applyNumberFormat="1" applyFont="1" applyFill="1" applyBorder="1" applyAlignment="1">
      <alignment horizontal="center" vertical="center" wrapText="1"/>
    </xf>
    <xf numFmtId="177" fontId="5" fillId="11" borderId="7" xfId="0" applyNumberFormat="1" applyFont="1" applyFill="1" applyBorder="1" applyAlignment="1">
      <alignment horizontal="center" vertical="center" wrapText="1"/>
    </xf>
    <xf numFmtId="177" fontId="7" fillId="10" borderId="5" xfId="0" applyNumberFormat="1" applyFont="1" applyFill="1" applyBorder="1" applyAlignment="1">
      <alignment horizontal="center" vertical="center"/>
    </xf>
    <xf numFmtId="177" fontId="7" fillId="10" borderId="9" xfId="0" applyNumberFormat="1" applyFont="1" applyFill="1" applyBorder="1" applyAlignment="1">
      <alignment horizontal="center" vertical="center"/>
    </xf>
    <xf numFmtId="177" fontId="7" fillId="10" borderId="7" xfId="0" applyNumberFormat="1" applyFont="1" applyFill="1" applyBorder="1" applyAlignment="1">
      <alignment horizontal="center" vertical="center"/>
    </xf>
    <xf numFmtId="179" fontId="2" fillId="2" borderId="5" xfId="0" applyFont="1" applyFill="1" applyBorder="1" applyAlignment="1">
      <alignment horizontal="center" vertical="center"/>
    </xf>
    <xf numFmtId="179" fontId="1" fillId="2" borderId="9" xfId="0" applyFont="1" applyFill="1" applyBorder="1" applyAlignment="1">
      <alignment horizontal="center" vertical="center"/>
    </xf>
    <xf numFmtId="179" fontId="1" fillId="2" borderId="7" xfId="0" applyFont="1" applyFill="1" applyBorder="1" applyAlignment="1">
      <alignment horizontal="center" vertical="center"/>
    </xf>
    <xf numFmtId="43" fontId="19" fillId="11" borderId="5" xfId="0" applyNumberFormat="1" applyFont="1" applyFill="1" applyBorder="1" applyAlignment="1">
      <alignment horizontal="center" vertical="center"/>
    </xf>
    <xf numFmtId="43" fontId="19" fillId="11" borderId="9" xfId="0" applyNumberFormat="1" applyFont="1" applyFill="1" applyBorder="1" applyAlignment="1">
      <alignment horizontal="center" vertical="center"/>
    </xf>
    <xf numFmtId="43" fontId="19" fillId="11" borderId="7" xfId="0" applyNumberFormat="1" applyFont="1" applyFill="1" applyBorder="1" applyAlignment="1">
      <alignment horizontal="center" vertical="center"/>
    </xf>
    <xf numFmtId="43" fontId="18" fillId="11" borderId="5" xfId="0" applyNumberFormat="1" applyFont="1" applyFill="1" applyBorder="1" applyAlignment="1">
      <alignment horizontal="center" vertical="center"/>
    </xf>
    <xf numFmtId="43" fontId="19" fillId="11" borderId="10" xfId="0" applyNumberFormat="1" applyFont="1" applyFill="1" applyBorder="1" applyAlignment="1">
      <alignment horizontal="center" vertical="center"/>
    </xf>
    <xf numFmtId="43" fontId="19" fillId="11" borderId="11" xfId="0" applyNumberFormat="1" applyFont="1" applyFill="1" applyBorder="1" applyAlignment="1">
      <alignment horizontal="center" vertical="center"/>
    </xf>
    <xf numFmtId="43" fontId="19" fillId="11" borderId="12" xfId="0" applyNumberFormat="1" applyFont="1" applyFill="1" applyBorder="1" applyAlignment="1">
      <alignment horizontal="center" vertical="center"/>
    </xf>
    <xf numFmtId="43" fontId="19" fillId="11" borderId="8" xfId="0" applyNumberFormat="1" applyFont="1" applyFill="1" applyBorder="1" applyAlignment="1">
      <alignment horizontal="center" vertical="center"/>
    </xf>
    <xf numFmtId="43" fontId="19" fillId="11" borderId="6" xfId="0" applyNumberFormat="1" applyFont="1" applyFill="1" applyBorder="1" applyAlignment="1">
      <alignment horizontal="center" vertical="center"/>
    </xf>
    <xf numFmtId="43" fontId="19" fillId="11" borderId="13" xfId="0" applyNumberFormat="1" applyFont="1" applyFill="1" applyBorder="1" applyAlignment="1">
      <alignment horizontal="center" vertical="center"/>
    </xf>
    <xf numFmtId="43" fontId="5" fillId="11" borderId="5" xfId="0" applyNumberFormat="1" applyFont="1" applyFill="1" applyBorder="1" applyAlignment="1">
      <alignment horizontal="center" vertical="center" wrapText="1"/>
    </xf>
    <xf numFmtId="43" fontId="5" fillId="11" borderId="9" xfId="0" applyNumberFormat="1" applyFont="1" applyFill="1" applyBorder="1" applyAlignment="1">
      <alignment horizontal="center" vertical="center" wrapText="1"/>
    </xf>
    <xf numFmtId="43" fontId="5" fillId="11" borderId="7" xfId="0" applyNumberFormat="1" applyFont="1" applyFill="1" applyBorder="1" applyAlignment="1">
      <alignment horizontal="center" vertical="center" wrapText="1"/>
    </xf>
    <xf numFmtId="177" fontId="8" fillId="10" borderId="1" xfId="0" applyNumberFormat="1" applyFont="1" applyFill="1" applyBorder="1" applyAlignment="1">
      <alignment horizontal="center" vertical="center"/>
    </xf>
    <xf numFmtId="177" fontId="5" fillId="10" borderId="5" xfId="0" applyNumberFormat="1" applyFont="1" applyFill="1" applyBorder="1" applyAlignment="1">
      <alignment horizontal="center" vertical="center"/>
    </xf>
    <xf numFmtId="177" fontId="5" fillId="10" borderId="9" xfId="0" applyNumberFormat="1" applyFont="1" applyFill="1" applyBorder="1" applyAlignment="1">
      <alignment horizontal="center" vertical="center"/>
    </xf>
    <xf numFmtId="177" fontId="5" fillId="10" borderId="7" xfId="0" applyNumberFormat="1" applyFont="1" applyFill="1" applyBorder="1" applyAlignment="1">
      <alignment horizontal="center" vertical="center"/>
    </xf>
    <xf numFmtId="43" fontId="5" fillId="10" borderId="2" xfId="0" applyNumberFormat="1" applyFont="1" applyFill="1" applyBorder="1" applyAlignment="1">
      <alignment horizontal="center" vertical="center"/>
    </xf>
    <xf numFmtId="43" fontId="5" fillId="10" borderId="3" xfId="0" applyNumberFormat="1" applyFont="1" applyFill="1" applyBorder="1" applyAlignment="1">
      <alignment horizontal="center" vertical="center"/>
    </xf>
    <xf numFmtId="43" fontId="5" fillId="10" borderId="4" xfId="0" applyNumberFormat="1" applyFont="1" applyFill="1" applyBorder="1" applyAlignment="1">
      <alignment horizontal="center" vertical="center"/>
    </xf>
    <xf numFmtId="43" fontId="5" fillId="10" borderId="1" xfId="0" applyNumberFormat="1" applyFont="1" applyFill="1" applyBorder="1" applyAlignment="1">
      <alignment horizontal="center" vertical="center"/>
    </xf>
    <xf numFmtId="178" fontId="10" fillId="10" borderId="5" xfId="0" applyNumberFormat="1" applyFont="1" applyFill="1" applyBorder="1" applyAlignment="1">
      <alignment horizontal="center" vertical="center"/>
    </xf>
    <xf numFmtId="178" fontId="11" fillId="10" borderId="9" xfId="0" applyNumberFormat="1" applyFont="1" applyFill="1" applyBorder="1" applyAlignment="1">
      <alignment horizontal="center" vertical="center"/>
    </xf>
    <xf numFmtId="178" fontId="11" fillId="10" borderId="7" xfId="0" applyNumberFormat="1" applyFont="1" applyFill="1" applyBorder="1" applyAlignment="1">
      <alignment horizontal="center" vertical="center"/>
    </xf>
    <xf numFmtId="43" fontId="12" fillId="10" borderId="10" xfId="0" applyNumberFormat="1" applyFont="1" applyFill="1" applyBorder="1" applyAlignment="1">
      <alignment horizontal="center" vertical="center"/>
    </xf>
    <xf numFmtId="43" fontId="12" fillId="10" borderId="11" xfId="0" applyNumberFormat="1" applyFont="1" applyFill="1" applyBorder="1" applyAlignment="1">
      <alignment horizontal="center" vertical="center"/>
    </xf>
    <xf numFmtId="43" fontId="12" fillId="10" borderId="12" xfId="0" applyNumberFormat="1" applyFont="1" applyFill="1" applyBorder="1" applyAlignment="1">
      <alignment horizontal="center" vertical="center"/>
    </xf>
    <xf numFmtId="43" fontId="12" fillId="10" borderId="8" xfId="0" applyNumberFormat="1" applyFont="1" applyFill="1" applyBorder="1" applyAlignment="1">
      <alignment horizontal="center" vertical="center"/>
    </xf>
    <xf numFmtId="43" fontId="12" fillId="10" borderId="6" xfId="0" applyNumberFormat="1" applyFont="1" applyFill="1" applyBorder="1" applyAlignment="1">
      <alignment horizontal="center" vertical="center"/>
    </xf>
    <xf numFmtId="43" fontId="12" fillId="10" borderId="13" xfId="0" applyNumberFormat="1" applyFont="1" applyFill="1" applyBorder="1" applyAlignment="1">
      <alignment horizontal="center" vertical="center"/>
    </xf>
    <xf numFmtId="178" fontId="6" fillId="10" borderId="5" xfId="0" applyNumberFormat="1" applyFont="1" applyFill="1" applyBorder="1" applyAlignment="1">
      <alignment horizontal="center" vertical="center"/>
    </xf>
    <xf numFmtId="178" fontId="5" fillId="10" borderId="9" xfId="0" applyNumberFormat="1" applyFont="1" applyFill="1" applyBorder="1" applyAlignment="1">
      <alignment horizontal="center" vertical="center"/>
    </xf>
    <xf numFmtId="178" fontId="5" fillId="10" borderId="7" xfId="0" applyNumberFormat="1" applyFont="1" applyFill="1" applyBorder="1" applyAlignment="1">
      <alignment horizontal="center" vertical="center"/>
    </xf>
    <xf numFmtId="43" fontId="5" fillId="11" borderId="5" xfId="0" applyNumberFormat="1" applyFont="1" applyFill="1" applyBorder="1" applyAlignment="1">
      <alignment horizontal="center" vertical="center"/>
    </xf>
    <xf numFmtId="43" fontId="5" fillId="11" borderId="9" xfId="0" applyNumberFormat="1" applyFont="1" applyFill="1" applyBorder="1" applyAlignment="1">
      <alignment horizontal="center" vertical="center"/>
    </xf>
    <xf numFmtId="43" fontId="5" fillId="11" borderId="7" xfId="0" applyNumberFormat="1" applyFont="1" applyFill="1" applyBorder="1" applyAlignment="1">
      <alignment horizontal="center" vertical="center"/>
    </xf>
    <xf numFmtId="43" fontId="5" fillId="11" borderId="2" xfId="0" applyNumberFormat="1" applyFont="1" applyFill="1" applyBorder="1" applyAlignment="1">
      <alignment horizontal="center" vertical="center"/>
    </xf>
    <xf numFmtId="43" fontId="5" fillId="11" borderId="3" xfId="0" applyNumberFormat="1" applyFont="1" applyFill="1" applyBorder="1" applyAlignment="1">
      <alignment horizontal="center" vertical="center"/>
    </xf>
    <xf numFmtId="43" fontId="5" fillId="11" borderId="4" xfId="0" applyNumberFormat="1" applyFont="1" applyFill="1" applyBorder="1" applyAlignment="1">
      <alignment horizontal="center" vertical="center"/>
    </xf>
    <xf numFmtId="14" fontId="1" fillId="10" borderId="10" xfId="0" applyNumberFormat="1" applyFont="1" applyFill="1" applyBorder="1" applyAlignment="1">
      <alignment horizontal="center" vertical="center"/>
    </xf>
    <xf numFmtId="14" fontId="1" fillId="10" borderId="11" xfId="0" applyNumberFormat="1" applyFont="1" applyFill="1" applyBorder="1" applyAlignment="1">
      <alignment horizontal="center" vertical="center"/>
    </xf>
    <xf numFmtId="14" fontId="1" fillId="10" borderId="8" xfId="0" applyNumberFormat="1" applyFont="1" applyFill="1" applyBorder="1" applyAlignment="1">
      <alignment horizontal="center" vertical="center"/>
    </xf>
    <xf numFmtId="14" fontId="1" fillId="10" borderId="6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left" vertical="center"/>
    </xf>
    <xf numFmtId="14" fontId="4" fillId="2" borderId="6" xfId="0" applyNumberFormat="1" applyFont="1" applyFill="1" applyBorder="1" applyAlignment="1">
      <alignment horizontal="left" vertical="center"/>
    </xf>
    <xf numFmtId="0" fontId="5" fillId="10" borderId="1" xfId="0" applyNumberFormat="1" applyFont="1" applyFill="1" applyBorder="1" applyAlignment="1">
      <alignment horizontal="center" vertical="center"/>
    </xf>
    <xf numFmtId="14" fontId="5" fillId="10" borderId="1" xfId="0" applyNumberFormat="1" applyFont="1" applyFill="1" applyBorder="1" applyAlignment="1">
      <alignment horizontal="center" vertical="center"/>
    </xf>
    <xf numFmtId="14" fontId="5" fillId="10" borderId="5" xfId="0" applyNumberFormat="1" applyFont="1" applyFill="1" applyBorder="1" applyAlignment="1">
      <alignment horizontal="center" vertical="center"/>
    </xf>
    <xf numFmtId="14" fontId="5" fillId="10" borderId="9" xfId="0" applyNumberFormat="1" applyFont="1" applyFill="1" applyBorder="1" applyAlignment="1">
      <alignment horizontal="center" vertical="center"/>
    </xf>
    <xf numFmtId="14" fontId="5" fillId="10" borderId="7" xfId="0" applyNumberFormat="1" applyFont="1" applyFill="1" applyBorder="1" applyAlignment="1">
      <alignment horizontal="center" vertical="center"/>
    </xf>
    <xf numFmtId="49" fontId="5" fillId="10" borderId="5" xfId="0" applyNumberFormat="1" applyFont="1" applyFill="1" applyBorder="1" applyAlignment="1">
      <alignment horizontal="center" vertical="center"/>
    </xf>
    <xf numFmtId="49" fontId="5" fillId="10" borderId="9" xfId="0" applyNumberFormat="1" applyFont="1" applyFill="1" applyBorder="1" applyAlignment="1">
      <alignment horizontal="center" vertical="center"/>
    </xf>
    <xf numFmtId="49" fontId="5" fillId="10" borderId="7" xfId="0" applyNumberFormat="1" applyFont="1" applyFill="1" applyBorder="1" applyAlignment="1">
      <alignment horizontal="center" vertical="center"/>
    </xf>
    <xf numFmtId="179" fontId="6" fillId="10" borderId="5" xfId="0" applyFont="1" applyFill="1" applyBorder="1" applyAlignment="1">
      <alignment horizontal="center" vertical="center"/>
    </xf>
    <xf numFmtId="179" fontId="6" fillId="10" borderId="9" xfId="0" applyFont="1" applyFill="1" applyBorder="1" applyAlignment="1">
      <alignment horizontal="center" vertical="center"/>
    </xf>
    <xf numFmtId="179" fontId="6" fillId="10" borderId="7" xfId="0" applyFont="1" applyFill="1" applyBorder="1" applyAlignment="1">
      <alignment horizontal="center" vertical="center"/>
    </xf>
    <xf numFmtId="178" fontId="8" fillId="10" borderId="5" xfId="0" applyNumberFormat="1" applyFont="1" applyFill="1" applyBorder="1" applyAlignment="1">
      <alignment horizontal="center" vertical="center"/>
    </xf>
    <xf numFmtId="178" fontId="5" fillId="10" borderId="5" xfId="0" applyNumberFormat="1" applyFont="1" applyFill="1" applyBorder="1" applyAlignment="1">
      <alignment horizontal="center" vertical="center"/>
    </xf>
    <xf numFmtId="178" fontId="5" fillId="10" borderId="1" xfId="0" applyNumberFormat="1" applyFont="1" applyFill="1" applyBorder="1" applyAlignment="1">
      <alignment horizontal="center" vertical="center"/>
    </xf>
    <xf numFmtId="179" fontId="38" fillId="2" borderId="0" xfId="0" applyFont="1" applyFill="1" applyBorder="1" applyAlignment="1">
      <alignment horizontal="left" vertical="top"/>
    </xf>
    <xf numFmtId="43" fontId="37" fillId="2" borderId="0" xfId="0" applyNumberFormat="1" applyFont="1" applyFill="1" applyBorder="1" applyAlignment="1">
      <alignment vertical="center"/>
    </xf>
    <xf numFmtId="43" fontId="6" fillId="11" borderId="5" xfId="0" applyNumberFormat="1" applyFont="1" applyFill="1" applyBorder="1" applyAlignment="1">
      <alignment horizontal="center" vertical="center"/>
    </xf>
    <xf numFmtId="43" fontId="12" fillId="11" borderId="10" xfId="0" applyNumberFormat="1" applyFont="1" applyFill="1" applyBorder="1" applyAlignment="1">
      <alignment horizontal="center" vertical="center"/>
    </xf>
    <xf numFmtId="43" fontId="12" fillId="11" borderId="11" xfId="0" applyNumberFormat="1" applyFont="1" applyFill="1" applyBorder="1" applyAlignment="1">
      <alignment horizontal="center" vertical="center"/>
    </xf>
    <xf numFmtId="43" fontId="12" fillId="11" borderId="12" xfId="0" applyNumberFormat="1" applyFont="1" applyFill="1" applyBorder="1" applyAlignment="1">
      <alignment horizontal="center" vertical="center"/>
    </xf>
    <xf numFmtId="43" fontId="12" fillId="11" borderId="8" xfId="0" applyNumberFormat="1" applyFont="1" applyFill="1" applyBorder="1" applyAlignment="1">
      <alignment horizontal="center" vertical="center"/>
    </xf>
    <xf numFmtId="43" fontId="12" fillId="11" borderId="6" xfId="0" applyNumberFormat="1" applyFont="1" applyFill="1" applyBorder="1" applyAlignment="1">
      <alignment horizontal="center" vertical="center"/>
    </xf>
    <xf numFmtId="43" fontId="12" fillId="11" borderId="13" xfId="0" applyNumberFormat="1" applyFont="1" applyFill="1" applyBorder="1" applyAlignment="1">
      <alignment horizontal="center" vertical="center"/>
    </xf>
    <xf numFmtId="179" fontId="5" fillId="10" borderId="5" xfId="0" applyFont="1" applyFill="1" applyBorder="1" applyAlignment="1">
      <alignment horizontal="center" vertical="center"/>
    </xf>
    <xf numFmtId="179" fontId="5" fillId="10" borderId="9" xfId="0" applyFont="1" applyFill="1" applyBorder="1" applyAlignment="1">
      <alignment horizontal="center" vertical="center"/>
    </xf>
    <xf numFmtId="179" fontId="5" fillId="10" borderId="7" xfId="0" applyFont="1" applyFill="1" applyBorder="1" applyAlignment="1">
      <alignment horizontal="center" vertical="center"/>
    </xf>
    <xf numFmtId="43" fontId="7" fillId="10" borderId="5" xfId="0" applyNumberFormat="1" applyFont="1" applyFill="1" applyBorder="1" applyAlignment="1">
      <alignment horizontal="center" vertical="center"/>
    </xf>
    <xf numFmtId="43" fontId="7" fillId="10" borderId="9" xfId="0" applyNumberFormat="1" applyFont="1" applyFill="1" applyBorder="1" applyAlignment="1">
      <alignment horizontal="center" vertical="center"/>
    </xf>
    <xf numFmtId="43" fontId="7" fillId="10" borderId="7" xfId="0" applyNumberFormat="1" applyFont="1" applyFill="1" applyBorder="1" applyAlignment="1">
      <alignment horizontal="center" vertical="center"/>
    </xf>
    <xf numFmtId="14" fontId="3" fillId="2" borderId="6" xfId="0" applyNumberFormat="1" applyFont="1" applyFill="1" applyBorder="1" applyAlignment="1">
      <alignment horizontal="center" vertical="center"/>
    </xf>
    <xf numFmtId="14" fontId="4" fillId="2" borderId="6" xfId="0" applyNumberFormat="1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FF99"/>
      <color rgb="FFCCFFFF"/>
      <color rgb="FFCCFF99"/>
      <color rgb="FFCCFFCC"/>
      <color rgb="FFFFCCCC"/>
      <color rgb="FF66FF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1029-94DF-40D6-AE1D-425D824D986C}">
  <dimension ref="A1:BI21"/>
  <sheetViews>
    <sheetView tabSelected="1" workbookViewId="0">
      <pane ySplit="1" topLeftCell="A7" activePane="bottomLeft" state="frozen"/>
      <selection pane="bottomLeft" activeCell="G19" sqref="G19"/>
    </sheetView>
  </sheetViews>
  <sheetFormatPr defaultColWidth="9" defaultRowHeight="13" outlineLevelCol="2" x14ac:dyDescent="0.25"/>
  <cols>
    <col min="1" max="1" width="4" style="79" customWidth="1"/>
    <col min="2" max="2" width="8.08984375" style="43" hidden="1" customWidth="1" outlineLevel="1"/>
    <col min="3" max="3" width="13.08984375" style="43" hidden="1" customWidth="1" outlineLevel="1"/>
    <col min="4" max="4" width="10.26953125" style="43" hidden="1" customWidth="1" outlineLevel="1"/>
    <col min="5" max="5" width="7.54296875" style="41" hidden="1" customWidth="1" outlineLevel="1"/>
    <col min="6" max="6" width="6.36328125" style="150" customWidth="1" collapsed="1"/>
    <col min="7" max="7" width="8.90625" style="87" customWidth="1" outlineLevel="2"/>
    <col min="8" max="8" width="9.6328125" style="87" customWidth="1" outlineLevel="2"/>
    <col min="9" max="9" width="10" style="87" customWidth="1" outlineLevel="2"/>
    <col min="10" max="10" width="10.6328125" style="87" customWidth="1" outlineLevel="2"/>
    <col min="11" max="11" width="8" style="87" customWidth="1" outlineLevel="2"/>
    <col min="12" max="12" width="9.26953125" style="87" customWidth="1" outlineLevel="2"/>
    <col min="13" max="13" width="9.6328125" style="87" customWidth="1" outlineLevel="2"/>
    <col min="14" max="14" width="8.26953125" style="44" customWidth="1" outlineLevel="2"/>
    <col min="15" max="15" width="8.453125" style="45" customWidth="1" outlineLevel="2"/>
    <col min="16" max="16" width="8.1796875" style="45" customWidth="1" outlineLevel="2"/>
    <col min="17" max="17" width="4.7265625" style="45" customWidth="1" outlineLevel="2"/>
    <col min="18" max="19" width="10.453125" style="46" customWidth="1" outlineLevel="2"/>
    <col min="20" max="20" width="9.81640625" style="46" customWidth="1" outlineLevel="1"/>
    <col min="21" max="21" width="11.1796875" style="46" customWidth="1" outlineLevel="2"/>
    <col min="22" max="22" width="7.54296875" style="42" customWidth="1" outlineLevel="2"/>
    <col min="23" max="23" width="8.81640625" style="42" customWidth="1" outlineLevel="2"/>
    <col min="24" max="24" width="7.6328125" style="42" customWidth="1" outlineLevel="2"/>
    <col min="25" max="25" width="8.90625" style="42" customWidth="1" outlineLevel="2"/>
    <col min="26" max="26" width="8.81640625" style="42" customWidth="1" outlineLevel="2"/>
    <col min="27" max="27" width="10.36328125" style="42" customWidth="1" outlineLevel="1"/>
    <col min="28" max="28" width="8.453125" style="42" hidden="1" customWidth="1" outlineLevel="2"/>
    <col min="29" max="29" width="7.36328125" style="42" hidden="1" customWidth="1" outlineLevel="2"/>
    <col min="30" max="30" width="8.36328125" style="42" hidden="1" customWidth="1" outlineLevel="2"/>
    <col min="31" max="31" width="8" style="42" customWidth="1" outlineLevel="1" collapsed="1"/>
    <col min="32" max="32" width="8.1796875" style="44" hidden="1" customWidth="1" outlineLevel="2"/>
    <col min="33" max="33" width="9.26953125" style="42" hidden="1" customWidth="1" outlineLevel="2"/>
    <col min="34" max="34" width="7.453125" style="42" hidden="1" customWidth="1" outlineLevel="2"/>
    <col min="35" max="35" width="8.81640625" style="42" customWidth="1" outlineLevel="1" collapsed="1"/>
    <col min="36" max="39" width="8.7265625" style="42" customWidth="1" outlineLevel="1"/>
    <col min="40" max="40" width="7.54296875" style="42" customWidth="1" outlineLevel="1"/>
    <col min="41" max="41" width="8.6328125" style="44" customWidth="1" outlineLevel="1"/>
    <col min="42" max="42" width="9.7265625" style="42" customWidth="1"/>
    <col min="43" max="43" width="10" style="42" customWidth="1"/>
    <col min="44" max="44" width="8.6328125" style="42" customWidth="1"/>
    <col min="45" max="45" width="9.90625" style="42" customWidth="1"/>
    <col min="46" max="46" width="8.7265625" style="42" customWidth="1"/>
    <col min="47" max="47" width="13" style="42" customWidth="1" outlineLevel="1"/>
    <col min="48" max="48" width="9" style="42" outlineLevel="1"/>
    <col min="49" max="49" width="11.453125" style="42" customWidth="1" outlineLevel="1"/>
    <col min="50" max="50" width="10.36328125" style="42" customWidth="1" outlineLevel="1"/>
    <col min="51" max="51" width="8.90625" style="42" customWidth="1" outlineLevel="1"/>
    <col min="52" max="52" width="6.6328125" style="42" customWidth="1" outlineLevel="1"/>
    <col min="53" max="53" width="10.54296875" style="42" customWidth="1" outlineLevel="1"/>
    <col min="54" max="54" width="6.26953125" style="42" customWidth="1" outlineLevel="1"/>
    <col min="55" max="55" width="11.81640625" style="42" customWidth="1" outlineLevel="1"/>
    <col min="56" max="56" width="13" style="42" customWidth="1" outlineLevel="1"/>
    <col min="57" max="57" width="9.453125" style="42" customWidth="1" outlineLevel="1"/>
    <col min="58" max="58" width="11.7265625" style="46" customWidth="1"/>
    <col min="59" max="59" width="10.08984375" style="46" customWidth="1"/>
    <col min="60" max="60" width="0" style="41" hidden="1" customWidth="1"/>
    <col min="61" max="61" width="9.6328125" style="41" hidden="1" customWidth="1"/>
    <col min="62" max="16384" width="9" style="41"/>
  </cols>
  <sheetData>
    <row r="1" spans="1:61" ht="20.149999999999999" customHeight="1" x14ac:dyDescent="0.25">
      <c r="A1" s="222" t="s">
        <v>166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61" ht="20.149999999999999" customHeight="1" x14ac:dyDescent="0.25">
      <c r="A2" s="224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32" t="s">
        <v>168</v>
      </c>
      <c r="G2" s="235" t="s">
        <v>117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179" t="s">
        <v>153</v>
      </c>
      <c r="AV2" s="179" t="s">
        <v>154</v>
      </c>
      <c r="AW2" s="182" t="s">
        <v>29</v>
      </c>
      <c r="AX2" s="183" t="s">
        <v>155</v>
      </c>
      <c r="AY2" s="184"/>
      <c r="AZ2" s="184"/>
      <c r="BA2" s="184"/>
      <c r="BB2" s="185"/>
      <c r="BC2" s="189" t="s">
        <v>31</v>
      </c>
      <c r="BD2" s="189" t="s">
        <v>32</v>
      </c>
      <c r="BE2" s="189" t="s">
        <v>33</v>
      </c>
      <c r="BF2" s="170" t="s">
        <v>34</v>
      </c>
      <c r="BG2" s="173" t="s">
        <v>35</v>
      </c>
      <c r="BH2" s="176" t="s">
        <v>118</v>
      </c>
      <c r="BI2" s="176" t="s">
        <v>119</v>
      </c>
    </row>
    <row r="3" spans="1:61" ht="20.149999999999999" customHeight="1" x14ac:dyDescent="0.25">
      <c r="A3" s="224"/>
      <c r="B3" s="225"/>
      <c r="C3" s="225"/>
      <c r="D3" s="227"/>
      <c r="E3" s="230"/>
      <c r="F3" s="233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163">
        <v>0.05</v>
      </c>
      <c r="AH3" s="163">
        <v>0.05</v>
      </c>
      <c r="AI3" s="163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180"/>
      <c r="AV3" s="180"/>
      <c r="AW3" s="180"/>
      <c r="AX3" s="186"/>
      <c r="AY3" s="187"/>
      <c r="AZ3" s="187"/>
      <c r="BA3" s="187"/>
      <c r="BB3" s="188"/>
      <c r="BC3" s="190"/>
      <c r="BD3" s="190"/>
      <c r="BE3" s="190"/>
      <c r="BF3" s="171"/>
      <c r="BG3" s="174"/>
      <c r="BH3" s="177"/>
      <c r="BI3" s="177"/>
    </row>
    <row r="4" spans="1:61" ht="20.149999999999999" customHeight="1" x14ac:dyDescent="0.25">
      <c r="A4" s="224"/>
      <c r="B4" s="225"/>
      <c r="C4" s="225"/>
      <c r="D4" s="228"/>
      <c r="E4" s="231"/>
      <c r="F4" s="234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163" t="s">
        <v>42</v>
      </c>
      <c r="W4" s="163" t="s">
        <v>43</v>
      </c>
      <c r="X4" s="163" t="s">
        <v>44</v>
      </c>
      <c r="Y4" s="163" t="s">
        <v>45</v>
      </c>
      <c r="Z4" s="163" t="s">
        <v>46</v>
      </c>
      <c r="AA4" s="163" t="s">
        <v>47</v>
      </c>
      <c r="AB4" s="163" t="s">
        <v>42</v>
      </c>
      <c r="AC4" s="163" t="s">
        <v>43</v>
      </c>
      <c r="AD4" s="163" t="s">
        <v>45</v>
      </c>
      <c r="AE4" s="163" t="s">
        <v>47</v>
      </c>
      <c r="AF4" s="202"/>
      <c r="AG4" s="163" t="s">
        <v>48</v>
      </c>
      <c r="AH4" s="163" t="s">
        <v>49</v>
      </c>
      <c r="AI4" s="163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181"/>
      <c r="AV4" s="181"/>
      <c r="AW4" s="181"/>
      <c r="AX4" s="162" t="s">
        <v>156</v>
      </c>
      <c r="AY4" s="162" t="s">
        <v>157</v>
      </c>
      <c r="AZ4" s="162" t="s">
        <v>158</v>
      </c>
      <c r="BA4" s="162" t="s">
        <v>159</v>
      </c>
      <c r="BB4" s="164" t="s">
        <v>160</v>
      </c>
      <c r="BC4" s="191"/>
      <c r="BD4" s="191"/>
      <c r="BE4" s="191"/>
      <c r="BF4" s="172"/>
      <c r="BG4" s="175"/>
      <c r="BH4" s="178"/>
      <c r="BI4" s="178"/>
    </row>
    <row r="5" spans="1:61" ht="20.149999999999999" customHeight="1" x14ac:dyDescent="0.25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2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2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2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12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2" si="4">$T5</f>
        <v>2883</v>
      </c>
      <c r="AQ5" s="63">
        <f t="shared" ref="AQ5:AQ12" si="5">$AB5</f>
        <v>480</v>
      </c>
      <c r="AR5" s="63">
        <f t="shared" ref="AR5:AR12" si="6">$AD5</f>
        <v>123</v>
      </c>
      <c r="AS5" s="63">
        <f t="shared" ref="AS5:AS12" si="7">$AC5</f>
        <v>12</v>
      </c>
      <c r="AT5" s="63">
        <f t="shared" ref="AT5:AT12" si="8">$AH5</f>
        <v>300</v>
      </c>
      <c r="AU5" s="63">
        <f>$AP5+VLOOKUP($F5,'5月工资表'!$F$5:$BI$23,42,FALSE)</f>
        <v>37149</v>
      </c>
      <c r="AV5" s="63">
        <f>$AO5+VLOOKUP($F5,'5月工资表'!$F$5:$BI$23,43,FALSE)</f>
        <v>30000</v>
      </c>
      <c r="AW5" s="63">
        <f>AQ5+AR5+AS5+AT5+VLOOKUP($F5,'5月工资表'!$F$5:$BI$23,44,FALSE)</f>
        <v>5490</v>
      </c>
      <c r="AX5" s="63">
        <f>AJ5+VLOOKUP($F5,'5月工资表'!$F$5:$BI$23,45,FALSE)</f>
        <v>0</v>
      </c>
      <c r="AY5" s="63">
        <f>AK5+VLOOKUP($F5,'5月工资表'!$F$5:$BI$23,46,FALSE)</f>
        <v>6000</v>
      </c>
      <c r="AZ5" s="63">
        <f>AL5+VLOOKUP($F5,'4月工资表'!$F$5:$BI$23,47,FALSE)</f>
        <v>0</v>
      </c>
      <c r="BA5" s="63">
        <f>AM5+VLOOKUP($F5,'4月工资表'!$F$5:$BI$23,48,FALSE)</f>
        <v>0</v>
      </c>
      <c r="BB5" s="63">
        <f>AN5+VLOOKUP($F5,'4月工资表'!$F$5:$BI$23,49,FALSE)</f>
        <v>0</v>
      </c>
      <c r="BC5" s="63">
        <f t="shared" ref="BC5:BC12" si="9">IF(AU5="","",AU5-AV5-AW5-AX5-AY5-AZ5-BA5-BB5)</f>
        <v>-4341</v>
      </c>
      <c r="BD5" s="63">
        <f>ROUND(IF(BC5="","",MAX(0,BC5*{3;10;20;25;30;35;45}%-{0;2520;16920;31920;52920;85920;181920})),2)</f>
        <v>0</v>
      </c>
      <c r="BE5" s="63">
        <f>VLOOKUP($F5,'5月工资表'!$F$5:$BI$23,51,FALSE)</f>
        <v>0</v>
      </c>
      <c r="BF5" s="135">
        <f t="shared" ref="BF5:BF12" si="10">IF(BD5="","",IF(BD5&lt;=BE5,0,BD5-BE5))</f>
        <v>0</v>
      </c>
      <c r="BG5" s="136">
        <v>0</v>
      </c>
      <c r="BH5" s="65"/>
      <c r="BI5" s="65"/>
    </row>
    <row r="6" spans="1:61" ht="20.149999999999999" customHeight="1" x14ac:dyDescent="0.25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2" si="11">IF(O6="",0,O6-P6)</f>
        <v>0</v>
      </c>
      <c r="R6" s="36">
        <f t="shared" ref="R6:R12" si="12">IF(O6="",0,ROUND(N6/21.75*Q6,2))</f>
        <v>0</v>
      </c>
      <c r="S6" s="36">
        <v>0</v>
      </c>
      <c r="T6" s="36">
        <v>0</v>
      </c>
      <c r="U6" s="2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f t="shared" si="1"/>
        <v>0</v>
      </c>
      <c r="AB6" s="36">
        <v>0</v>
      </c>
      <c r="AC6" s="36">
        <v>0</v>
      </c>
      <c r="AD6" s="36">
        <v>0</v>
      </c>
      <c r="AE6" s="36">
        <f t="shared" si="2"/>
        <v>0</v>
      </c>
      <c r="AF6" s="26">
        <v>0</v>
      </c>
      <c r="AG6" s="36">
        <v>0</v>
      </c>
      <c r="AH6" s="36">
        <v>0</v>
      </c>
      <c r="AI6" s="36">
        <f t="shared" si="3"/>
        <v>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0</v>
      </c>
      <c r="AQ6" s="63">
        <f t="shared" si="5"/>
        <v>0</v>
      </c>
      <c r="AR6" s="63">
        <f t="shared" si="6"/>
        <v>0</v>
      </c>
      <c r="AS6" s="63">
        <f t="shared" si="7"/>
        <v>0</v>
      </c>
      <c r="AT6" s="63">
        <f t="shared" si="8"/>
        <v>0</v>
      </c>
      <c r="AU6" s="63">
        <f>$AP6+VLOOKUP($F6,'5月工资表'!$F$5:$BI$23,42,FALSE)</f>
        <v>22834.799999999999</v>
      </c>
      <c r="AV6" s="63">
        <f>$AO6+VLOOKUP($F6,'5月工资表'!$F$5:$BI$23,43,FALSE)</f>
        <v>30000</v>
      </c>
      <c r="AW6" s="63">
        <f>AQ6+AR6+AS6+AT6+VLOOKUP($F6,'5月工资表'!$F$5:$BI$23,44,FALSE)</f>
        <v>3599.2</v>
      </c>
      <c r="AX6" s="63">
        <f>AJ6+VLOOKUP($F6,'5月工资表'!$F$5:$BI$23,45,FALSE)</f>
        <v>6000</v>
      </c>
      <c r="AY6" s="63">
        <f>AK6+VLOOKUP($F6,'5月工资表'!$F$5:$BI$23,46,FALSE)</f>
        <v>12000</v>
      </c>
      <c r="AZ6" s="63">
        <f>AL6+VLOOKUP($F6,'4月工资表'!$F$5:$BI$23,47,FALSE)</f>
        <v>0</v>
      </c>
      <c r="BA6" s="63">
        <f>AM6+VLOOKUP($F6,'5月工资表'!$F$5:$BI$23,48,FALSE)</f>
        <v>6000</v>
      </c>
      <c r="BB6" s="63">
        <f>AN6+VLOOKUP($F6,'4月工资表'!$F$5:$BI$23,49,FALSE)</f>
        <v>0</v>
      </c>
      <c r="BC6" s="63">
        <f t="shared" si="9"/>
        <v>-34764.400000000001</v>
      </c>
      <c r="BD6" s="63">
        <f>ROUND(IF(BC6="","",MAX(0,BC6*{3;10;20;25;30;35;45}%-{0;2520;16920;31920;52920;85920;181920})),2)</f>
        <v>0</v>
      </c>
      <c r="BE6" s="63">
        <f>VLOOKUP($F6,'5月工资表'!$F$5:$BI$23,51,FALSE)</f>
        <v>0</v>
      </c>
      <c r="BF6" s="135">
        <f t="shared" si="10"/>
        <v>0</v>
      </c>
      <c r="BG6" s="136">
        <v>0</v>
      </c>
      <c r="BH6" s="65"/>
      <c r="BI6" s="65"/>
    </row>
    <row r="7" spans="1:61" ht="20.149999999999999" customHeight="1" x14ac:dyDescent="0.25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11"/>
        <v>0</v>
      </c>
      <c r="R7" s="36">
        <f t="shared" si="12"/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2834.8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$AP7+VLOOKUP($F7,'5月工资表'!$F$5:$BI$23,42,FALSE)</f>
        <v>28504.399999999998</v>
      </c>
      <c r="AV7" s="63">
        <f>$AO7+VLOOKUP($F7,'5月工资表'!$F$5:$BI$23,43,FALSE)</f>
        <v>30000</v>
      </c>
      <c r="AW7" s="63">
        <f>AQ7+AR7+AS7+AT7+VLOOKUP($F7,'5月工资表'!$F$5:$BI$23,44,FALSE)</f>
        <v>5398.8</v>
      </c>
      <c r="AX7" s="63">
        <f>AJ7+VLOOKUP($F7,'5月工资表'!$F$5:$BI$23,45,FALSE)</f>
        <v>0</v>
      </c>
      <c r="AY7" s="63">
        <f>AK7+VLOOKUP($F7,'5月工资表'!$F$5:$BI$23,46,FALSE)</f>
        <v>12000</v>
      </c>
      <c r="AZ7" s="63">
        <f>AL7+VLOOKUP($F7,'4月工资表'!$F$5:$BI$23,47,FALSE)</f>
        <v>0</v>
      </c>
      <c r="BA7" s="63">
        <f>AM7+VLOOKUP($F7,'5月工资表'!$F$5:$BI$23,48,FALSE)</f>
        <v>6000</v>
      </c>
      <c r="BB7" s="63">
        <f>AN7+VLOOKUP($F7,'4月工资表'!$F$5:$BI$23,49,FALSE)</f>
        <v>0</v>
      </c>
      <c r="BC7" s="63">
        <f t="shared" si="9"/>
        <v>-24894.400000000001</v>
      </c>
      <c r="BD7" s="63">
        <f>ROUND(IF(BC7="","",MAX(0,BC7*{3;10;20;25;30;35;45}%-{0;2520;16920;31920;52920;85920;181920})),2)</f>
        <v>0</v>
      </c>
      <c r="BE7" s="63">
        <f>VLOOKUP($F7,'5月工资表'!$F$5:$BI$23,51,FALSE)</f>
        <v>0</v>
      </c>
      <c r="BF7" s="135">
        <f t="shared" si="10"/>
        <v>0</v>
      </c>
      <c r="BG7" s="136">
        <v>0</v>
      </c>
      <c r="BH7" s="65"/>
      <c r="BI7" s="65"/>
    </row>
    <row r="8" spans="1:61" ht="20.149999999999999" customHeight="1" x14ac:dyDescent="0.25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3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2509.5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$AP8+VLOOKUP($F8,'5月工资表'!$F$5:$BI$23,42,FALSE)</f>
        <v>45528.5</v>
      </c>
      <c r="AV8" s="63">
        <f>$AO8+VLOOKUP($F8,'5月工资表'!$F$5:$BI$23,43,FALSE)</f>
        <v>30000</v>
      </c>
      <c r="AW8" s="63">
        <f>AQ8+AR8+AS8+AT8+VLOOKUP($F8,'5月工资表'!$F$5:$BI$23,44,FALSE)</f>
        <v>4724.04</v>
      </c>
      <c r="AX8" s="63">
        <f>AJ8+VLOOKUP($F8,'5月工资表'!$F$5:$BI$23,45,FALSE)</f>
        <v>6000</v>
      </c>
      <c r="AY8" s="63">
        <f>AK8+VLOOKUP($F8,'5月工资表'!$F$5:$BI$23,46,FALSE)</f>
        <v>12000</v>
      </c>
      <c r="AZ8" s="63">
        <f>AL8+VLOOKUP($F8,'4月工资表'!$F$5:$BI$23,47,FALSE)</f>
        <v>0</v>
      </c>
      <c r="BA8" s="63">
        <f>AM8+VLOOKUP($F8,'5月工资表'!$F$5:$BI$23,48,FALSE)</f>
        <v>0</v>
      </c>
      <c r="BB8" s="63">
        <f>AN8+VLOOKUP($F8,'4月工资表'!$F$5:$BI$23,49,FALSE)</f>
        <v>0</v>
      </c>
      <c r="BC8" s="63">
        <f t="shared" si="9"/>
        <v>-7195.5400000000009</v>
      </c>
      <c r="BD8" s="63">
        <f>ROUND(IF(BC8="","",MAX(0,BC8*{3;10;20;25;30;35;45}%-{0;2520;16920;31920;52920;85920;181920})),2)</f>
        <v>0</v>
      </c>
      <c r="BE8" s="63">
        <f>VLOOKUP($F8,'5月工资表'!$F$5:$BI$23,51,FALSE)</f>
        <v>0</v>
      </c>
      <c r="BF8" s="135">
        <f>IF(BD8="","",IF(BD8&lt;BC9=BE8,0,BD8-BE8))</f>
        <v>0</v>
      </c>
      <c r="BG8" s="136">
        <v>0</v>
      </c>
      <c r="BH8" s="65"/>
      <c r="BI8" s="65"/>
    </row>
    <row r="9" spans="1:61" ht="20.149999999999999" customHeight="1" x14ac:dyDescent="0.25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11"/>
        <v>0</v>
      </c>
      <c r="R9" s="36">
        <f t="shared" si="12"/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2403.9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$AP9+VLOOKUP($F9,'5月工资表'!$F$5:$BI$23,42,FALSE)</f>
        <v>26211.700000000004</v>
      </c>
      <c r="AV9" s="63">
        <f>$AO9+VLOOKUP($F9,'5月工资表'!$F$5:$BI$23,43,FALSE)</f>
        <v>30000</v>
      </c>
      <c r="AW9" s="63">
        <f>AQ9+AR9+AS9+AT9+VLOOKUP($F9,'5月工资表'!$F$5:$BI$23,44,FALSE)</f>
        <v>4486.4399999999996</v>
      </c>
      <c r="AX9" s="63">
        <f>AJ9+VLOOKUP($F9,'5月工资表'!$F$5:$BI$23,45,FALSE)</f>
        <v>6000</v>
      </c>
      <c r="AY9" s="63">
        <f>AK9+VLOOKUP($F9,'5月工资表'!$F$5:$BI$23,46,FALSE)</f>
        <v>12000</v>
      </c>
      <c r="AZ9" s="63">
        <f>AL9+VLOOKUP($F9,'4月工资表'!$F$5:$BI$23,47,FALSE)</f>
        <v>0</v>
      </c>
      <c r="BA9" s="63">
        <f>AM9+VLOOKUP($F9,'5月工资表'!$F$5:$BI$23,48,FALSE)</f>
        <v>0</v>
      </c>
      <c r="BB9" s="63">
        <f>AN9+VLOOKUP($F9,'4月工资表'!$F$5:$BI$23,49,FALSE)</f>
        <v>0</v>
      </c>
      <c r="BC9" s="63">
        <f t="shared" si="9"/>
        <v>-26274.739999999994</v>
      </c>
      <c r="BD9" s="63">
        <f>ROUND(IF(BC9="","",MAX(0,BC9*{3;10;20;25;30;35;45}%-{0;2520;16920;31920;52920;85920;181920})),2)</f>
        <v>0</v>
      </c>
      <c r="BE9" s="63">
        <f>VLOOKUP($F9,'5月工资表'!$F$5:$BI$23,51,FALSE)</f>
        <v>0</v>
      </c>
      <c r="BF9" s="135">
        <f t="shared" si="10"/>
        <v>0</v>
      </c>
      <c r="BG9" s="136">
        <v>0</v>
      </c>
      <c r="BH9" s="65"/>
      <c r="BI9" s="65"/>
    </row>
    <row r="10" spans="1:61" s="122" customFormat="1" ht="20.149999999999999" customHeight="1" x14ac:dyDescent="0.25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4"/>
        <v>18900</v>
      </c>
      <c r="AQ10" s="121">
        <f t="shared" si="5"/>
        <v>416</v>
      </c>
      <c r="AR10" s="121">
        <f t="shared" si="6"/>
        <v>114.14</v>
      </c>
      <c r="AS10" s="121">
        <f t="shared" si="7"/>
        <v>0</v>
      </c>
      <c r="AT10" s="121">
        <f t="shared" si="8"/>
        <v>260</v>
      </c>
      <c r="AU10" s="63">
        <f>$AP10+VLOOKUP($F10,'5月工资表'!$F$5:$BI$23,42,FALSE)</f>
        <v>122850</v>
      </c>
      <c r="AV10" s="63">
        <f>$AO10+VLOOKUP($F10,'5月工资表'!$F$5:$BI$23,43,FALSE)</f>
        <v>30000</v>
      </c>
      <c r="AW10" s="63">
        <f>AQ10+AR10+AS10+AT10+VLOOKUP($F10,'5月工资表'!$F$5:$BI$23,44,FALSE)</f>
        <v>4740.84</v>
      </c>
      <c r="AX10" s="63">
        <f>AJ10+VLOOKUP($F10,'5月工资表'!$F$5:$BI$23,45,FALSE)</f>
        <v>0</v>
      </c>
      <c r="AY10" s="63">
        <f>AK10+VLOOKUP($F10,'5月工资表'!$F$5:$BI$23,46,FALSE)</f>
        <v>0</v>
      </c>
      <c r="AZ10" s="63">
        <f>AL10+VLOOKUP($F10,'4月工资表'!$F$5:$BI$23,47,FALSE)</f>
        <v>0</v>
      </c>
      <c r="BA10" s="63">
        <f>AM10+VLOOKUP($F10,'5月工资表'!$F$5:$BI$23,48,FALSE)</f>
        <v>0</v>
      </c>
      <c r="BB10" s="63">
        <f>AN10+VLOOKUP($F10,'4月工资表'!$F$5:$BI$23,49,FALSE)</f>
        <v>0</v>
      </c>
      <c r="BC10" s="121">
        <f t="shared" si="9"/>
        <v>88109.16</v>
      </c>
      <c r="BD10" s="121">
        <f>ROUND(IF(BC10="","",MAX(0,BC10*{3;10;20;25;30;35;45}%-{0;2520;16920;31920;52920;85920;181920})),2)</f>
        <v>6290.92</v>
      </c>
      <c r="BE10" s="63">
        <f>VLOOKUP($F10,'5月工资表'!$F$5:$BI$23,51,FALSE)</f>
        <v>4979.93</v>
      </c>
      <c r="BF10" s="137">
        <f t="shared" si="10"/>
        <v>1310.9899999999998</v>
      </c>
      <c r="BG10" s="138">
        <f t="shared" ref="BG10:BG12" si="14">IF(AP10="","",AP10-AQ10-AR10-AS10-AT10-BF10)</f>
        <v>16798.870000000003</v>
      </c>
      <c r="BH10" s="116"/>
      <c r="BI10" s="116"/>
    </row>
    <row r="11" spans="1:61" s="134" customFormat="1" ht="20.149999999999999" customHeight="1" x14ac:dyDescent="0.25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2" si="15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si="3"/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4"/>
        <v>11200</v>
      </c>
      <c r="AQ11" s="133">
        <f t="shared" si="5"/>
        <v>1024</v>
      </c>
      <c r="AR11" s="133">
        <f t="shared" si="6"/>
        <v>259</v>
      </c>
      <c r="AS11" s="133">
        <f t="shared" si="7"/>
        <v>0</v>
      </c>
      <c r="AT11" s="133">
        <f t="shared" si="8"/>
        <v>640</v>
      </c>
      <c r="AU11" s="63">
        <f>$AP11+VLOOKUP($F11,'5月工资表'!$F$5:$BI$23,42,FALSE)</f>
        <v>81600</v>
      </c>
      <c r="AV11" s="63">
        <f>$AO11+VLOOKUP($F11,'5月工资表'!$F$5:$BI$23,43,FALSE)</f>
        <v>30000</v>
      </c>
      <c r="AW11" s="63">
        <f>AQ11+AR11+AS11+AT11+VLOOKUP($F11,'5月工资表'!$F$5:$BI$23,44,FALSE)</f>
        <v>11538</v>
      </c>
      <c r="AX11" s="63">
        <f>AJ11+VLOOKUP($F11,'5月工资表'!$F$5:$BI$23,45,FALSE)</f>
        <v>0</v>
      </c>
      <c r="AY11" s="63">
        <f>AK11+VLOOKUP($F11,'5月工资表'!$F$5:$BI$23,46,FALSE)</f>
        <v>0</v>
      </c>
      <c r="AZ11" s="63">
        <f>AL11+VLOOKUP($F11,'4月工资表'!$F$5:$BI$23,47,FALSE)</f>
        <v>0</v>
      </c>
      <c r="BA11" s="63">
        <f>AM11+VLOOKUP($F11,'5月工资表'!$F$5:$BI$23,48,FALSE)</f>
        <v>0</v>
      </c>
      <c r="BB11" s="63">
        <f>AN11+VLOOKUP($F11,'4月工资表'!$F$5:$BI$23,49,FALSE)</f>
        <v>0</v>
      </c>
      <c r="BC11" s="133">
        <f t="shared" si="9"/>
        <v>40062</v>
      </c>
      <c r="BD11" s="133">
        <f>ROUND(IF(BC11="","",MAX(0,BC11*{3;10;20;25;30;35;45}%-{0;2520;16920;31920;52920;85920;181920})),2)</f>
        <v>1486.2</v>
      </c>
      <c r="BE11" s="63">
        <f>VLOOKUP($F11,'5月工资表'!$F$5:$BI$23,51,FALSE)</f>
        <v>1073.55</v>
      </c>
      <c r="BF11" s="139">
        <f t="shared" si="10"/>
        <v>412.65000000000009</v>
      </c>
      <c r="BG11" s="140">
        <f t="shared" si="14"/>
        <v>8864.35</v>
      </c>
      <c r="BH11" s="127"/>
      <c r="BI11" s="127"/>
    </row>
    <row r="12" spans="1:61" ht="20.149999999999999" customHeight="1" x14ac:dyDescent="0.25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5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3"/>
        <v>900</v>
      </c>
      <c r="AJ12" s="28"/>
      <c r="AK12" s="28"/>
      <c r="AL12" s="28"/>
      <c r="AM12" s="28"/>
      <c r="AN12" s="28"/>
      <c r="AO12" s="36">
        <v>5000</v>
      </c>
      <c r="AP12" s="63">
        <f t="shared" si="4"/>
        <v>12600</v>
      </c>
      <c r="AQ12" s="63">
        <f t="shared" si="5"/>
        <v>720</v>
      </c>
      <c r="AR12" s="63">
        <f t="shared" si="6"/>
        <v>183</v>
      </c>
      <c r="AS12" s="63">
        <f t="shared" si="7"/>
        <v>0</v>
      </c>
      <c r="AT12" s="63">
        <f t="shared" si="8"/>
        <v>450</v>
      </c>
      <c r="AU12" s="63">
        <f>$AP12+VLOOKUP($F12,'5月工资表'!$F$5:$BI$23,42,FALSE)</f>
        <v>91800</v>
      </c>
      <c r="AV12" s="63">
        <f>$AO12+VLOOKUP($F12,'5月工资表'!$F$5:$BI$23,43,FALSE)</f>
        <v>30000</v>
      </c>
      <c r="AW12" s="63">
        <f>AQ12+AR12+AS12+AT12+VLOOKUP($F12,'5月工资表'!$F$5:$BI$23,44,FALSE)</f>
        <v>8118</v>
      </c>
      <c r="AX12" s="63">
        <f>AJ12+VLOOKUP($F12,'5月工资表'!$F$5:$BI$23,45,FALSE)</f>
        <v>0</v>
      </c>
      <c r="AY12" s="63">
        <f>AK12+VLOOKUP($F12,'5月工资表'!$F$5:$BI$23,46,FALSE)</f>
        <v>0</v>
      </c>
      <c r="AZ12" s="63">
        <f>AL12+VLOOKUP($F12,'4月工资表'!$F$5:$BI$23,47,FALSE)</f>
        <v>0</v>
      </c>
      <c r="BA12" s="63">
        <f>AM12+VLOOKUP($F12,'5月工资表'!$F$5:$BI$23,48,FALSE)</f>
        <v>0</v>
      </c>
      <c r="BB12" s="63">
        <f>AN12+VLOOKUP($F12,'4月工资表'!$F$5:$BI$23,49,FALSE)</f>
        <v>0</v>
      </c>
      <c r="BC12" s="63">
        <f t="shared" si="9"/>
        <v>53682</v>
      </c>
      <c r="BD12" s="63">
        <f>ROUND(IF(BC12="","",MAX(0,BC12*{3;10;20;25;30;35;45}%-{0;2520;16920;31920;52920;85920;181920})),2)</f>
        <v>2848.2</v>
      </c>
      <c r="BE12" s="63">
        <f>VLOOKUP($F12,'5月工资表'!$F$5:$BI$23,51,FALSE)</f>
        <v>2223.5</v>
      </c>
      <c r="BF12" s="135">
        <f t="shared" si="10"/>
        <v>624.69999999999982</v>
      </c>
      <c r="BG12" s="136">
        <f t="shared" si="14"/>
        <v>10622.3</v>
      </c>
      <c r="BH12" s="65"/>
      <c r="BI12" s="65"/>
    </row>
    <row r="13" spans="1:61" ht="20.149999999999999" customHeight="1" x14ac:dyDescent="0.25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29" t="s">
        <v>94</v>
      </c>
      <c r="G13" s="83">
        <v>3000</v>
      </c>
      <c r="H13" s="83">
        <v>6000</v>
      </c>
      <c r="I13" s="117">
        <v>0</v>
      </c>
      <c r="J13" s="83">
        <v>1000</v>
      </c>
      <c r="K13" s="82">
        <v>0</v>
      </c>
      <c r="L13" s="83">
        <v>2000</v>
      </c>
      <c r="M13" s="83">
        <v>2000</v>
      </c>
      <c r="N13" s="36">
        <f>SUM(G13:M13)</f>
        <v>14000</v>
      </c>
      <c r="O13" s="28">
        <v>22</v>
      </c>
      <c r="P13" s="28">
        <v>16</v>
      </c>
      <c r="Q13" s="36">
        <f>IF(O13="",0,O13-P13)</f>
        <v>6</v>
      </c>
      <c r="R13" s="36">
        <f>IF(O13="",0,ROUND(N13/21.75*Q13,2))</f>
        <v>3862.07</v>
      </c>
      <c r="S13" s="36"/>
      <c r="T13" s="36">
        <f>N13-R13</f>
        <v>10137.93</v>
      </c>
      <c r="U13" s="165">
        <v>5500</v>
      </c>
      <c r="V13" s="36">
        <f>IF($U13="",0,ROUND(MAX('1-6月基数信息'!C$5,MIN($U13,'1-6月基数信息'!C$6))*V$3,2))</f>
        <v>880</v>
      </c>
      <c r="W13" s="36">
        <f>IF($U13="",0,ROUND(MAX('1-6月基数信息'!D$5,MIN($U13,'1-6月基数信息'!D$6))*W$3,2))</f>
        <v>44</v>
      </c>
      <c r="X13" s="36">
        <f>IF($U13="",0,ROUND(MAX('1-6月基数信息'!E$5,MIN($U13,'1-6月基数信息'!E$6))*X$3,2))</f>
        <v>11</v>
      </c>
      <c r="Y13" s="36">
        <f>IF($U13="",0,ROUND(MAX('1-6月基数信息'!F$5,MIN($U13,'1-6月基数信息'!F$6))*Y$3,2))</f>
        <v>555.70000000000005</v>
      </c>
      <c r="Z13" s="36">
        <f>IF($U13="",0,ROUND(MAX('1-6月基数信息'!G$5,MIN($U13,'1-6月基数信息'!G$6))*Z$3,2))</f>
        <v>44.46</v>
      </c>
      <c r="AA13" s="36">
        <f>IF($U13="",0,SUM(V13:Z13))</f>
        <v>1535.16</v>
      </c>
      <c r="AB13" s="36">
        <f>IF($U13="",0,ROUND(MAX('1-6月基数信息'!I$5,MIN($U13,'1-6月基数信息'!I$6))*AB$3,2))</f>
        <v>440</v>
      </c>
      <c r="AC13" s="36">
        <f>IF($E14="农村",0,IF($U13="",0,ROUND(MAX('1-6月基数信息'!J$5,MIN($U13,'1-6月基数信息'!J$6))*AC$3,2)))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114.14</v>
      </c>
      <c r="AE13" s="36">
        <f>IF($U13="",0,SUM(AB13:AD13))</f>
        <v>554.14</v>
      </c>
      <c r="AF13" s="165">
        <v>5500</v>
      </c>
      <c r="AG13" s="36">
        <f>IF($AF13="",0,ROUND(MAX('1-6月基数信息'!M$5,MIN($AF13,'1-6月基数信息'!M$6))*AG$3,0))</f>
        <v>275</v>
      </c>
      <c r="AH13" s="36">
        <f>IF($AF13="",0,ROUND(MAX('1-6月基数信息'!N$5,MIN($AF13,'1-6月基数信息'!N$6))*AH$3,0))</f>
        <v>275</v>
      </c>
      <c r="AI13" s="36">
        <f>IF($AF13="",0,SUM(AG13:AH13))</f>
        <v>550</v>
      </c>
      <c r="AJ13" s="28"/>
      <c r="AK13" s="28"/>
      <c r="AL13" s="28"/>
      <c r="AM13" s="28"/>
      <c r="AN13" s="28"/>
      <c r="AO13" s="36">
        <v>5000</v>
      </c>
      <c r="AP13" s="63">
        <f>$T13</f>
        <v>10137.93</v>
      </c>
      <c r="AQ13" s="63">
        <f>$AB13</f>
        <v>440</v>
      </c>
      <c r="AR13" s="63">
        <f>$AD13</f>
        <v>114.14</v>
      </c>
      <c r="AS13" s="63">
        <f>$AC13</f>
        <v>0</v>
      </c>
      <c r="AT13" s="63">
        <f>$AH13</f>
        <v>275</v>
      </c>
      <c r="AU13" s="63">
        <f>$AP13+VLOOKUP($F13,'5月工资表'!$F$5:$BI$23,42,FALSE)</f>
        <v>98137.93</v>
      </c>
      <c r="AV13" s="63">
        <f>$AO13+VLOOKUP($F13,'5月工资表'!$F$5:$BI$23,43,FALSE)</f>
        <v>30000</v>
      </c>
      <c r="AW13" s="63">
        <f>AQ13+AR13+AS13+AT13+VLOOKUP($F13,'5月工资表'!$F$5:$BI$23,44,FALSE)</f>
        <v>4974.84</v>
      </c>
      <c r="AX13" s="63">
        <f>AJ13+VLOOKUP($F13,'5月工资表'!$F$5:$BI$23,45,FALSE)</f>
        <v>0</v>
      </c>
      <c r="AY13" s="63">
        <f>AK13+VLOOKUP($F13,'5月工资表'!$F$5:$BI$23,46,FALSE)</f>
        <v>0</v>
      </c>
      <c r="AZ13" s="63">
        <f>AL13+VLOOKUP($F13,'4月工资表'!$F$5:$BI$23,47,FALSE)</f>
        <v>0</v>
      </c>
      <c r="BA13" s="63">
        <f>AM13+VLOOKUP($F13,'5月工资表'!$F$5:$BI$23,48,FALSE)</f>
        <v>0</v>
      </c>
      <c r="BB13" s="63">
        <f>AN13+VLOOKUP($F13,'4月工资表'!$F$5:$BI$23,49,FALSE)</f>
        <v>0</v>
      </c>
      <c r="BC13" s="63">
        <f>IF(AU13="","",AU13-AV13-AW13-AX13-AY13-AZ13-BA13-BB13)</f>
        <v>63163.09</v>
      </c>
      <c r="BD13" s="63">
        <f>ROUND(IF(BC13="","",MAX(0,BC13*{3;10;20;25;30;35;45}%-{0;2520;16920;31920;52920;85920;181920})),2)</f>
        <v>3796.31</v>
      </c>
      <c r="BE13" s="63">
        <f>VLOOKUP($F13,'5月工资表'!$F$5:$BI$23,51,FALSE)</f>
        <v>3365.43</v>
      </c>
      <c r="BF13" s="135">
        <f>IF(BD13="","",IF(BD13&lt;=BE13,0,BD13-BE13))</f>
        <v>430.88000000000011</v>
      </c>
      <c r="BG13" s="136">
        <f>IF(AP13="","",AP13-AQ13-AR13-AS13-AT13-BF13)</f>
        <v>8877.91</v>
      </c>
      <c r="BH13" s="155"/>
      <c r="BI13" s="111"/>
    </row>
    <row r="14" spans="1:61" ht="20.149999999999999" customHeight="1" x14ac:dyDescent="0.25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99</v>
      </c>
      <c r="G14" s="83">
        <v>2700</v>
      </c>
      <c r="H14" s="84">
        <v>5400</v>
      </c>
      <c r="I14" s="117">
        <v>0</v>
      </c>
      <c r="J14" s="84">
        <v>900</v>
      </c>
      <c r="K14" s="82">
        <v>0</v>
      </c>
      <c r="L14" s="83">
        <v>1800</v>
      </c>
      <c r="M14" s="83">
        <v>1800</v>
      </c>
      <c r="N14" s="36">
        <f>SUM(G14:M14)</f>
        <v>12600</v>
      </c>
      <c r="O14" s="28">
        <v>22</v>
      </c>
      <c r="P14" s="28">
        <v>22</v>
      </c>
      <c r="Q14" s="36">
        <f>IF(O14="",0,O14-P14)</f>
        <v>0</v>
      </c>
      <c r="R14" s="36">
        <f>IF(O14="",0,ROUND(N14/21.75*Q14,2))</f>
        <v>0</v>
      </c>
      <c r="S14" s="36"/>
      <c r="T14" s="36">
        <f>N14-R14</f>
        <v>12600</v>
      </c>
      <c r="U14" s="165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>IF($U14="",0,SUM(V14:Z14))</f>
        <v>1535.16</v>
      </c>
      <c r="AB14" s="36">
        <f>IF($U14="",0,ROUND(MAX('1-6月基数信息'!I$5,MIN($U14,'1-6月基数信息'!I$6))*AB$3,2))</f>
        <v>440</v>
      </c>
      <c r="AC14" s="36">
        <f>IF($E15="农村",0,IF($U14="",0,ROUND(MAX('1-6月基数信息'!J$5,MIN($U14,'1-6月基数信息'!J$6))*AC$3,2)))</f>
        <v>11</v>
      </c>
      <c r="AD14" s="36">
        <f>IF($U14="",0,ROUND(MAX('1-6月基数信息'!K$5,MIN($U14,'1-6月基数信息'!K$6))*2%+3,2))</f>
        <v>114.14</v>
      </c>
      <c r="AE14" s="36">
        <f>IF($U14="",0,SUM(AB14:AD14))</f>
        <v>565.14</v>
      </c>
      <c r="AF14" s="165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>IF($AF14="",0,SUM(AG14:AH14))</f>
        <v>550</v>
      </c>
      <c r="AJ14" s="28">
        <v>1000</v>
      </c>
      <c r="AK14" s="28">
        <v>1000</v>
      </c>
      <c r="AL14" s="28"/>
      <c r="AM14" s="28"/>
      <c r="AN14" s="28"/>
      <c r="AO14" s="36">
        <v>5000</v>
      </c>
      <c r="AP14" s="63">
        <f>$T14</f>
        <v>12600</v>
      </c>
      <c r="AQ14" s="63">
        <f>$AB14</f>
        <v>440</v>
      </c>
      <c r="AR14" s="63">
        <f>$AD14</f>
        <v>114.14</v>
      </c>
      <c r="AS14" s="63">
        <f>$AC14</f>
        <v>11</v>
      </c>
      <c r="AT14" s="63">
        <f>$AH14</f>
        <v>275</v>
      </c>
      <c r="AU14" s="63">
        <f>$AP14+VLOOKUP($F14,'5月工资表'!$F$5:$BI$23,42,FALSE)</f>
        <v>90972.41</v>
      </c>
      <c r="AV14" s="63">
        <f>$AO14+VLOOKUP($F14,'5月工资表'!$F$5:$BI$23,43,FALSE)</f>
        <v>30000</v>
      </c>
      <c r="AW14" s="63">
        <f>AQ14+AR14+AS14+AT14+VLOOKUP($F14,'5月工资表'!$F$5:$BI$23,44,FALSE)</f>
        <v>5040.84</v>
      </c>
      <c r="AX14" s="63">
        <f>AJ14+VLOOKUP($F14,'5月工资表'!$F$5:$BI$23,45,FALSE)</f>
        <v>6000</v>
      </c>
      <c r="AY14" s="63">
        <f>AK14+VLOOKUP($F14,'5月工资表'!$F$5:$BI$23,46,FALSE)</f>
        <v>6000</v>
      </c>
      <c r="AZ14" s="63">
        <f>AL14+VLOOKUP($F14,'4月工资表'!$F$5:$BI$23,47,FALSE)</f>
        <v>0</v>
      </c>
      <c r="BA14" s="63">
        <f>AM14+VLOOKUP($F14,'5月工资表'!$F$5:$BI$23,48,FALSE)</f>
        <v>0</v>
      </c>
      <c r="BB14" s="63">
        <f>AN14+VLOOKUP($F14,'4月工资表'!$F$5:$BI$23,49,FALSE)</f>
        <v>0</v>
      </c>
      <c r="BC14" s="63">
        <f>IF(AU14="","",AU14-AV14-AW14-AX14-AY14-AZ14-BA14-BB14)</f>
        <v>43931.570000000007</v>
      </c>
      <c r="BD14" s="63">
        <f>ROUND(IF(BC14="","",MAX(0,BC14*{3;10;20;25;30;35;45}%-{0;2520;16920;31920;52920;85920;181920})),2)</f>
        <v>1873.16</v>
      </c>
      <c r="BE14" s="63">
        <f>VLOOKUP($F14,'5月工资表'!$F$5:$BI$23,51,FALSE)</f>
        <v>1397.17</v>
      </c>
      <c r="BF14" s="135">
        <f>IF(BD14="","",IF(BD14&lt;=BE14,0,BD14-BE14))</f>
        <v>475.99</v>
      </c>
      <c r="BG14" s="136">
        <f>IF(AP14="","",AP14-AQ14-AR14-AS14-AT14-BF14)</f>
        <v>11283.87</v>
      </c>
      <c r="BH14" s="65"/>
      <c r="BI14" s="65"/>
    </row>
    <row r="15" spans="1:61" ht="20.149999999999999" customHeight="1" x14ac:dyDescent="0.25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104</v>
      </c>
      <c r="G15" s="83">
        <v>3750</v>
      </c>
      <c r="H15" s="85">
        <v>7500</v>
      </c>
      <c r="I15" s="117">
        <v>0</v>
      </c>
      <c r="J15" s="83">
        <v>1250</v>
      </c>
      <c r="K15" s="82">
        <v>0</v>
      </c>
      <c r="L15" s="83">
        <v>2500</v>
      </c>
      <c r="M15" s="83">
        <v>2500</v>
      </c>
      <c r="N15" s="36">
        <f>SUM(G15:M15)</f>
        <v>17500</v>
      </c>
      <c r="O15" s="28">
        <v>22</v>
      </c>
      <c r="P15" s="28">
        <v>22</v>
      </c>
      <c r="Q15" s="36">
        <f>IF(O15="",0,O15-P15)</f>
        <v>0</v>
      </c>
      <c r="R15" s="36">
        <f>IF(O15="",0,ROUND(N15/21.75*Q15,2))</f>
        <v>0</v>
      </c>
      <c r="S15" s="36"/>
      <c r="T15" s="36">
        <f>N15-R15</f>
        <v>17500</v>
      </c>
      <c r="U15" s="165">
        <v>8000</v>
      </c>
      <c r="V15" s="36">
        <f>IF($U15="",0,ROUND(MAX('1-6月基数信息'!C$5,MIN($U15,'1-6月基数信息'!C$6))*'4月工资表'!V$3,2))</f>
        <v>1280</v>
      </c>
      <c r="W15" s="36">
        <f>IF($U15="",0,ROUND(MAX('1-6月基数信息'!D$5,MIN($U15,'1-6月基数信息'!D$6))*'4月工资表'!W$3,2))</f>
        <v>64</v>
      </c>
      <c r="X15" s="36">
        <f>IF($U15="",0,ROUND(MAX('1-6月基数信息'!E$5,MIN($U15,'1-6月基数信息'!E$6))*'4月工资表'!X$3,2))</f>
        <v>16</v>
      </c>
      <c r="Y15" s="36">
        <f>IF($U15="",0,ROUND(MAX('1-6月基数信息'!F$5,MIN($U15,'1-6月基数信息'!F$6))*'4月工资表'!Y$3,2))</f>
        <v>800</v>
      </c>
      <c r="Z15" s="36">
        <f>IF($U15="",0,ROUND(MAX('1-6月基数信息'!G$5,MIN($U15,'1-6月基数信息'!G$6))*'4月工资表'!Z$3,2))</f>
        <v>64</v>
      </c>
      <c r="AA15" s="36">
        <f>IF($U15="",0,SUM(V15:Z15))</f>
        <v>2224</v>
      </c>
      <c r="AB15" s="36">
        <f>IF($U15="",0,ROUND(MAX('1-6月基数信息'!I$5,MIN($U15,'1-6月基数信息'!I$6))*'4月工资表'!AB$3,2))</f>
        <v>640</v>
      </c>
      <c r="AC15" s="36">
        <f>IF('4月工资表'!$E17="农村",0,IF($U15="",0,ROUND(MAX('1-6月基数信息'!J$5,MIN($U15,'1-6月基数信息'!J$6))*'4月工资表'!AC$3,2)))</f>
        <v>16</v>
      </c>
      <c r="AD15" s="36">
        <f>IF($U15="",0,ROUND(MAX('1-6月基数信息'!K$5,MIN($U15,'1-6月基数信息'!K$6))*2%+3,2))</f>
        <v>163</v>
      </c>
      <c r="AE15" s="36">
        <f>IF($U15="",0,SUM(AB15:AD15))</f>
        <v>819</v>
      </c>
      <c r="AF15" s="165">
        <v>8000</v>
      </c>
      <c r="AG15" s="36">
        <f>IF($AF15="",0,ROUND(MAX('1-6月基数信息'!M$5,MIN($AF15,'1-6月基数信息'!M$6))*'4月工资表'!AG$3,0))</f>
        <v>400</v>
      </c>
      <c r="AH15" s="36">
        <f>IF($AF15="",0,ROUND(MAX('1-6月基数信息'!N$5,MIN($AF15,'1-6月基数信息'!N$6))*'4月工资表'!AH$3,0))</f>
        <v>400</v>
      </c>
      <c r="AI15" s="36">
        <f>IF($AF15="",0,SUM(AG15:AH15))</f>
        <v>800</v>
      </c>
      <c r="AJ15" s="28"/>
      <c r="AK15" s="28"/>
      <c r="AL15" s="28"/>
      <c r="AM15" s="28">
        <v>1000</v>
      </c>
      <c r="AN15" s="28"/>
      <c r="AO15" s="36">
        <v>5000</v>
      </c>
      <c r="AP15" s="63">
        <f>$T15</f>
        <v>17500</v>
      </c>
      <c r="AQ15" s="63">
        <f>$AB15</f>
        <v>640</v>
      </c>
      <c r="AR15" s="63">
        <f>$AD15</f>
        <v>163</v>
      </c>
      <c r="AS15" s="63">
        <f>$AC15</f>
        <v>16</v>
      </c>
      <c r="AT15" s="63">
        <f>$AH15</f>
        <v>400</v>
      </c>
      <c r="AU15" s="63">
        <f>$AP15+VLOOKUP($F15,'5月工资表'!$F$5:$BI$23,42,FALSE)</f>
        <v>127500</v>
      </c>
      <c r="AV15" s="63">
        <f>$AO15+VLOOKUP($F15,'5月工资表'!$F$5:$BI$23,43,FALSE)</f>
        <v>30000</v>
      </c>
      <c r="AW15" s="63">
        <f>AQ15+AR15+AS15+AT15+VLOOKUP($F15,'5月工资表'!$F$5:$BI$23,44,FALSE)</f>
        <v>7314</v>
      </c>
      <c r="AX15" s="63">
        <f>AJ15+VLOOKUP($F15,'4月工资表'!$F$5:$BI$23,45,FALSE)</f>
        <v>0</v>
      </c>
      <c r="AY15" s="63">
        <f>AK15+VLOOKUP($F15,'4月工资表'!$F$5:$BI$23,46,FALSE)</f>
        <v>0</v>
      </c>
      <c r="AZ15" s="63">
        <f>AL15+VLOOKUP($F15,'4月工资表'!$F$5:$BI$23,47,FALSE)</f>
        <v>0</v>
      </c>
      <c r="BA15" s="63">
        <f>AM15+VLOOKUP($F15,'5月工资表'!$F$5:$BI$23,48,FALSE)</f>
        <v>6000</v>
      </c>
      <c r="BB15" s="63">
        <f>AN15+VLOOKUP($F15,'4月工资表'!$F$5:$BI$23,49,FALSE)</f>
        <v>0</v>
      </c>
      <c r="BC15" s="63">
        <f>IF(AU15="","",AU15-AV15-AW15-AX15-AY15-AZ15-BA15-BB15)</f>
        <v>84186</v>
      </c>
      <c r="BD15" s="63">
        <f>ROUND(IF(BC15="","",MAX(0,BC15*{3;10;20;25;30;35;45}%-{0;2520;16920;31920;52920;85920;181920})),2)</f>
        <v>5898.6</v>
      </c>
      <c r="BE15" s="63">
        <f>VLOOKUP($F15,'5月工资表'!$F$5:$BI$23,51,FALSE)</f>
        <v>4870.5</v>
      </c>
      <c r="BF15" s="135">
        <f>IF(BD15="","",IF(BD15&lt;=BE15,0,BD15-BE15))</f>
        <v>1028.1000000000004</v>
      </c>
      <c r="BG15" s="136">
        <f>IF(AP15="","",AP15-AQ15-AR15-AS15-AT15-BF15)</f>
        <v>15252.9</v>
      </c>
      <c r="BH15" s="65"/>
      <c r="BI15" s="65"/>
    </row>
    <row r="16" spans="1:61" s="42" customFormat="1" ht="20.149999999999999" customHeight="1" x14ac:dyDescent="0.25">
      <c r="A16" s="78" t="s">
        <v>105</v>
      </c>
      <c r="F16" s="50"/>
      <c r="G16" s="86">
        <f>SUM(G5:G15)</f>
        <v>33600</v>
      </c>
      <c r="H16" s="152">
        <f>SUM(H5:H15)</f>
        <v>37200</v>
      </c>
      <c r="I16" s="86">
        <f t="shared" ref="I16:N16" si="16">SUM(I5:I15)</f>
        <v>0</v>
      </c>
      <c r="J16" s="86">
        <f t="shared" si="16"/>
        <v>6200</v>
      </c>
      <c r="K16" s="86">
        <f t="shared" si="16"/>
        <v>0</v>
      </c>
      <c r="L16" s="86">
        <f>SUM(L10:L15)</f>
        <v>12400</v>
      </c>
      <c r="M16" s="86">
        <f t="shared" si="16"/>
        <v>12400</v>
      </c>
      <c r="N16" s="42">
        <f t="shared" si="16"/>
        <v>101800</v>
      </c>
      <c r="Q16" s="42">
        <f>SUM(Q5:Q15)</f>
        <v>6</v>
      </c>
      <c r="R16" s="42">
        <f>SUM(R5:R15)</f>
        <v>3862.07</v>
      </c>
      <c r="T16" s="42">
        <f>SUM(T5:T15)</f>
        <v>93569.13</v>
      </c>
      <c r="V16" s="42">
        <f t="shared" ref="V16:AE16" si="17">SUM(V5:V15)</f>
        <v>10848</v>
      </c>
      <c r="W16" s="42">
        <f t="shared" si="17"/>
        <v>542.4</v>
      </c>
      <c r="X16" s="154">
        <f t="shared" si="17"/>
        <v>135.6</v>
      </c>
      <c r="Y16" s="42">
        <f t="shared" si="17"/>
        <v>6948.5</v>
      </c>
      <c r="Z16" s="42">
        <f t="shared" si="17"/>
        <v>555.9</v>
      </c>
      <c r="AA16" s="42">
        <f>SUM(AA5:AA15)</f>
        <v>19030.400000000001</v>
      </c>
      <c r="AB16" s="42">
        <f t="shared" si="17"/>
        <v>5424</v>
      </c>
      <c r="AC16" s="42">
        <f t="shared" si="17"/>
        <v>70.599999999999994</v>
      </c>
      <c r="AD16" s="42">
        <f t="shared" si="17"/>
        <v>1419.7000000000003</v>
      </c>
      <c r="AE16" s="42">
        <f t="shared" si="17"/>
        <v>6914.3000000000011</v>
      </c>
      <c r="AG16" s="42">
        <f>SUM(AG5:AG15)</f>
        <v>3390</v>
      </c>
      <c r="AH16" s="42">
        <f>SUM(AH5:AH15)</f>
        <v>3390</v>
      </c>
      <c r="AI16" s="42">
        <f>SUM(AI5:AI15)</f>
        <v>9260</v>
      </c>
      <c r="AP16" s="42">
        <f t="shared" ref="AP16:BI16" si="18">SUM(AP5:AP15)</f>
        <v>93569.13</v>
      </c>
      <c r="AQ16" s="42">
        <f t="shared" si="18"/>
        <v>5424</v>
      </c>
      <c r="AR16" s="42">
        <f t="shared" si="18"/>
        <v>1419.7000000000003</v>
      </c>
      <c r="AS16" s="42">
        <f t="shared" si="18"/>
        <v>70.599999999999994</v>
      </c>
      <c r="AT16" s="42">
        <f t="shared" si="18"/>
        <v>3390</v>
      </c>
      <c r="AU16" s="42">
        <f t="shared" si="18"/>
        <v>773088.74000000011</v>
      </c>
      <c r="AV16" s="42">
        <f t="shared" si="18"/>
        <v>330000</v>
      </c>
      <c r="AW16" s="42">
        <f t="shared" si="18"/>
        <v>65425</v>
      </c>
      <c r="AX16" s="42">
        <f t="shared" si="18"/>
        <v>24000</v>
      </c>
      <c r="AY16" s="42">
        <f t="shared" si="18"/>
        <v>60000</v>
      </c>
      <c r="AZ16" s="42">
        <f t="shared" si="18"/>
        <v>0</v>
      </c>
      <c r="BA16" s="42">
        <f t="shared" si="18"/>
        <v>18000</v>
      </c>
      <c r="BB16" s="42">
        <f t="shared" si="18"/>
        <v>0</v>
      </c>
      <c r="BC16" s="42">
        <f t="shared" si="18"/>
        <v>275663.74</v>
      </c>
      <c r="BD16" s="42">
        <f t="shared" si="18"/>
        <v>22193.39</v>
      </c>
      <c r="BE16" s="42">
        <f t="shared" si="18"/>
        <v>17910.080000000002</v>
      </c>
      <c r="BF16" s="46">
        <f>SUM(BF10:BF15)</f>
        <v>4283.3100000000004</v>
      </c>
      <c r="BG16" s="46">
        <f>SUM(BG10:BG15)</f>
        <v>71700.200000000012</v>
      </c>
      <c r="BH16" s="154"/>
      <c r="BI16" s="42">
        <f t="shared" si="18"/>
        <v>0</v>
      </c>
    </row>
    <row r="18" spans="7:10" ht="20.149999999999999" customHeight="1" x14ac:dyDescent="0.25">
      <c r="G18" s="88" t="s">
        <v>106</v>
      </c>
      <c r="H18" s="42">
        <v>19030.400000000001</v>
      </c>
    </row>
    <row r="19" spans="7:10" ht="20.149999999999999" customHeight="1" x14ac:dyDescent="0.25">
      <c r="G19" s="88" t="s">
        <v>107</v>
      </c>
      <c r="H19" s="157">
        <v>3390</v>
      </c>
      <c r="J19" s="156"/>
    </row>
    <row r="20" spans="7:10" ht="20.149999999999999" customHeight="1" x14ac:dyDescent="0.25">
      <c r="G20" s="88" t="s">
        <v>108</v>
      </c>
      <c r="H20" s="157">
        <v>98288.14</v>
      </c>
    </row>
    <row r="21" spans="7:10" x14ac:dyDescent="0.25">
      <c r="H21" s="156"/>
    </row>
  </sheetData>
  <mergeCells count="38"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</mergeCells>
  <phoneticPr fontId="21" type="noConversion"/>
  <dataValidations count="1">
    <dataValidation type="list" allowBlank="1" showInputMessage="1" showErrorMessage="1" sqref="E5:E15" xr:uid="{6026F530-A4A6-4761-A68E-47EF3137BE55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7"/>
  <sheetViews>
    <sheetView topLeftCell="A46" workbookViewId="0">
      <selection activeCell="K10" sqref="K10"/>
    </sheetView>
  </sheetViews>
  <sheetFormatPr defaultColWidth="9" defaultRowHeight="20.149999999999999" customHeight="1" x14ac:dyDescent="0.25"/>
  <cols>
    <col min="1" max="1" width="4.7265625" style="16" customWidth="1"/>
    <col min="2" max="2" width="4.7265625" style="17" customWidth="1"/>
    <col min="3" max="3" width="6.36328125" style="16" customWidth="1"/>
    <col min="4" max="4" width="9" style="18" customWidth="1"/>
    <col min="5" max="5" width="9.453125" style="18" customWidth="1"/>
    <col min="6" max="6" width="9.6328125" style="18" customWidth="1"/>
    <col min="7" max="7" width="9.36328125" style="18" customWidth="1"/>
    <col min="8" max="8" width="9.26953125" style="18" customWidth="1"/>
    <col min="9" max="9" width="10.08984375" style="18" customWidth="1"/>
    <col min="10" max="10" width="9.08984375" style="18" customWidth="1"/>
    <col min="11" max="11" width="10.7265625" style="18" customWidth="1"/>
    <col min="12" max="12" width="6.36328125" style="19" customWidth="1"/>
    <col min="13" max="13" width="8" style="19" customWidth="1"/>
    <col min="14" max="14" width="5.90625" style="19" customWidth="1"/>
    <col min="15" max="15" width="9.90625" style="20" customWidth="1"/>
    <col min="16" max="16" width="10.36328125" style="20" customWidth="1"/>
    <col min="17" max="17" width="9.36328125" style="21" customWidth="1"/>
    <col min="18" max="18" width="6.90625" style="21" customWidth="1"/>
    <col min="19" max="19" width="8" style="21" customWidth="1"/>
    <col min="20" max="20" width="5.453125" style="21" customWidth="1"/>
    <col min="21" max="21" width="13.36328125" style="21" customWidth="1"/>
    <col min="22" max="22" width="8.26953125" style="21" customWidth="1"/>
    <col min="23" max="23" width="10.90625" style="21" customWidth="1"/>
    <col min="24" max="16384" width="9" style="16"/>
  </cols>
  <sheetData>
    <row r="1" spans="1:23" ht="20.149999999999999" customHeight="1" x14ac:dyDescent="0.25">
      <c r="A1" s="254" t="s">
        <v>109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</row>
    <row r="2" spans="1:23" ht="20.149999999999999" customHeight="1" x14ac:dyDescent="0.25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49999999999999" customHeight="1" x14ac:dyDescent="0.25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22</v>
      </c>
      <c r="M3" s="28">
        <v>22</v>
      </c>
      <c r="N3" s="36">
        <f>IF(L3="",0,L3-M3)</f>
        <v>0</v>
      </c>
      <c r="O3" s="36">
        <v>15000</v>
      </c>
      <c r="P3" s="36">
        <v>15000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242.55</v>
      </c>
      <c r="W3" s="28">
        <v>13842.45</v>
      </c>
    </row>
    <row r="5" spans="1:23" ht="20.149999999999999" customHeight="1" x14ac:dyDescent="0.25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49999999999999" customHeight="1" x14ac:dyDescent="0.25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22</v>
      </c>
      <c r="M6" s="28">
        <v>22</v>
      </c>
      <c r="N6" s="36">
        <f>IF(L6="",0,L6-M6)</f>
        <v>0</v>
      </c>
      <c r="O6" s="36">
        <v>10000</v>
      </c>
      <c r="P6" s="36">
        <f>K6-O6</f>
        <v>10000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>
        <v>3.01</v>
      </c>
      <c r="W6" s="28">
        <v>9097.19</v>
      </c>
    </row>
    <row r="8" spans="1:23" ht="20.149999999999999" customHeight="1" x14ac:dyDescent="0.25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49999999999999" customHeight="1" x14ac:dyDescent="0.25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22</v>
      </c>
      <c r="M9" s="28">
        <v>22</v>
      </c>
      <c r="N9" s="36">
        <f>IF(L9="",0,L9-M9)</f>
        <v>0</v>
      </c>
      <c r="O9" s="36">
        <v>10000</v>
      </c>
      <c r="P9" s="36">
        <f>K9-O9</f>
        <v>10000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>
        <v>33.01</v>
      </c>
      <c r="W9" s="28">
        <v>9067.19</v>
      </c>
    </row>
    <row r="11" spans="1:23" ht="20.149999999999999" customHeight="1" x14ac:dyDescent="0.25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49999999999999" customHeight="1" x14ac:dyDescent="0.25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22</v>
      </c>
      <c r="M12" s="28">
        <v>22</v>
      </c>
      <c r="N12" s="36">
        <f>IF(L12="",0,L12-M12)</f>
        <v>0</v>
      </c>
      <c r="O12" s="36">
        <f>IF(L12="",0,ROUND(K12/21.75*N12,2))</f>
        <v>0</v>
      </c>
      <c r="P12" s="36">
        <f>K12-O12</f>
        <v>20000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336.38</v>
      </c>
      <c r="W12" s="28">
        <v>18876.28</v>
      </c>
    </row>
    <row r="14" spans="1:23" ht="20.149999999999999" customHeight="1" x14ac:dyDescent="0.25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49999999999999" customHeight="1" x14ac:dyDescent="0.25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22</v>
      </c>
      <c r="M15" s="28">
        <v>22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49999999999999" customHeight="1" x14ac:dyDescent="0.25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49999999999999" customHeight="1" x14ac:dyDescent="0.25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22</v>
      </c>
      <c r="M18" s="28">
        <v>22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49999999999999" customHeight="1" x14ac:dyDescent="0.25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49999999999999" customHeight="1" x14ac:dyDescent="0.25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22</v>
      </c>
      <c r="M21" s="28">
        <v>21</v>
      </c>
      <c r="N21" s="36">
        <f>IF(L21="",0,L21-M21)</f>
        <v>1</v>
      </c>
      <c r="O21" s="36">
        <f>IF(L21="",0,ROUND(K21/21.75*N21,2))</f>
        <v>413.79</v>
      </c>
      <c r="P21" s="36">
        <f>K21-O21</f>
        <v>8586.2099999999991</v>
      </c>
      <c r="Q21" s="28">
        <v>640</v>
      </c>
      <c r="R21" s="28"/>
      <c r="S21" s="28">
        <v>163</v>
      </c>
      <c r="T21" s="32">
        <v>400</v>
      </c>
      <c r="U21" s="28"/>
      <c r="V21" s="28">
        <v>71.5</v>
      </c>
      <c r="W21" s="28">
        <v>7311.71</v>
      </c>
    </row>
    <row r="23" spans="1:23" ht="20.149999999999999" customHeight="1" x14ac:dyDescent="0.25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49999999999999" customHeight="1" x14ac:dyDescent="0.25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22</v>
      </c>
      <c r="M24" s="28">
        <v>22</v>
      </c>
      <c r="N24" s="36">
        <f>IF(L24="",0,L24-M24)</f>
        <v>0</v>
      </c>
      <c r="O24" s="36">
        <f>IF(L24="",0,ROUND(K24/21.75*N24,2))</f>
        <v>0</v>
      </c>
      <c r="P24" s="36">
        <f>K24-O24</f>
        <v>27000</v>
      </c>
      <c r="Q24" s="28">
        <v>416</v>
      </c>
      <c r="R24" s="28"/>
      <c r="S24" s="28">
        <v>114.14</v>
      </c>
      <c r="T24" s="32">
        <v>260</v>
      </c>
      <c r="U24" s="28"/>
      <c r="V24" s="28">
        <v>636.29999999999995</v>
      </c>
      <c r="W24" s="28">
        <v>25573.56</v>
      </c>
    </row>
    <row r="26" spans="1:23" ht="20.149999999999999" customHeight="1" x14ac:dyDescent="0.25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49999999999999" customHeight="1" x14ac:dyDescent="0.25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22</v>
      </c>
      <c r="M27" s="28">
        <v>22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49999999999999" customHeight="1" x14ac:dyDescent="0.25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49999999999999" customHeight="1" x14ac:dyDescent="0.25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22</v>
      </c>
      <c r="M30" s="28">
        <v>22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49999999999999" customHeight="1" x14ac:dyDescent="0.25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49999999999999" customHeight="1" x14ac:dyDescent="0.25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22</v>
      </c>
      <c r="M33" s="28">
        <v>19</v>
      </c>
      <c r="N33" s="36">
        <f>IF(L33="",0,L33-M33)</f>
        <v>3</v>
      </c>
      <c r="O33" s="36">
        <f>IF(L33="",0,ROUND(K33/21.75*N33,2))</f>
        <v>1517.24</v>
      </c>
      <c r="P33" s="36">
        <f>K33-O33</f>
        <v>9482.76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94.26</v>
      </c>
      <c r="W33" s="28">
        <v>8047.9</v>
      </c>
    </row>
    <row r="35" spans="1:23" ht="20.149999999999999" customHeight="1" x14ac:dyDescent="0.25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49999999999999" customHeight="1" x14ac:dyDescent="0.25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22</v>
      </c>
      <c r="M36" s="28">
        <v>20</v>
      </c>
      <c r="N36" s="36">
        <f>IF(L36="",0,L36-M36)</f>
        <v>2</v>
      </c>
      <c r="O36" s="36">
        <f>IF(L36="",0,ROUND(K36/21.75*N36,2))</f>
        <v>735.63</v>
      </c>
      <c r="P36" s="36">
        <f>K36-O36</f>
        <v>7264.37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 t="s">
        <v>113</v>
      </c>
      <c r="W36" s="28">
        <v>6288.57</v>
      </c>
    </row>
    <row r="38" spans="1:23" ht="20.149999999999999" customHeight="1" x14ac:dyDescent="0.25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49999999999999" customHeight="1" x14ac:dyDescent="0.25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22</v>
      </c>
      <c r="M39" s="28">
        <v>22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425.13</v>
      </c>
      <c r="W39" s="28">
        <v>18745.73</v>
      </c>
    </row>
    <row r="41" spans="1:23" ht="20.149999999999999" customHeight="1" x14ac:dyDescent="0.25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49999999999999" customHeight="1" x14ac:dyDescent="0.25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30">
        <v>22</v>
      </c>
      <c r="M42" s="30">
        <v>20</v>
      </c>
      <c r="N42" s="36">
        <f>IF(L42="",0,L42-M42)</f>
        <v>2</v>
      </c>
      <c r="O42" s="36">
        <f>IF(L42="",0,ROUND(K42/21.75*N42,2))</f>
        <v>1103.45</v>
      </c>
      <c r="P42" s="36">
        <f>K42-O42</f>
        <v>10896.55</v>
      </c>
      <c r="Q42" s="28">
        <v>440</v>
      </c>
      <c r="R42" s="28"/>
      <c r="S42" s="28">
        <v>114.14</v>
      </c>
      <c r="T42" s="32">
        <v>275</v>
      </c>
      <c r="U42" s="28"/>
      <c r="V42" s="28">
        <v>152.02000000000001</v>
      </c>
      <c r="W42" s="28">
        <v>9915.39</v>
      </c>
    </row>
    <row r="44" spans="1:23" ht="20.149999999999999" customHeight="1" x14ac:dyDescent="0.25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49999999999999" customHeight="1" x14ac:dyDescent="0.25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30">
        <v>22</v>
      </c>
      <c r="M45" s="30">
        <v>21</v>
      </c>
      <c r="N45" s="36">
        <f>IF(L45="",0,L45-M45)</f>
        <v>1</v>
      </c>
      <c r="O45" s="36">
        <f>IF(L45="",0,ROUND(K45/21.75*N45,2))</f>
        <v>827.59</v>
      </c>
      <c r="P45" s="36">
        <f>K45-O45</f>
        <v>17172.41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279.97000000000003</v>
      </c>
      <c r="W45" s="28">
        <v>16052.3</v>
      </c>
    </row>
    <row r="47" spans="1:23" ht="20.149999999999999" customHeight="1" x14ac:dyDescent="0.25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49999999999999" customHeight="1" x14ac:dyDescent="0.25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22</v>
      </c>
      <c r="M48" s="28">
        <v>22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49999999999999" customHeight="1" x14ac:dyDescent="0.25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49999999999999" customHeight="1" x14ac:dyDescent="0.25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22</v>
      </c>
      <c r="M51" s="28">
        <v>22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533.42999999999995</v>
      </c>
      <c r="W51" s="28">
        <v>23247.57</v>
      </c>
    </row>
    <row r="53" spans="1:23" ht="20.149999999999999" customHeight="1" x14ac:dyDescent="0.25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49999999999999" customHeight="1" x14ac:dyDescent="0.25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49999999999999" customHeight="1" x14ac:dyDescent="0.25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49999999999999" customHeight="1" x14ac:dyDescent="0.25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G27"/>
  <sheetViews>
    <sheetView topLeftCell="A13" workbookViewId="0">
      <selection activeCell="A12" sqref="A12:XFD12"/>
    </sheetView>
  </sheetViews>
  <sheetFormatPr defaultColWidth="9" defaultRowHeight="20.149999999999999" customHeight="1" outlineLevelCol="2" x14ac:dyDescent="0.25"/>
  <cols>
    <col min="1" max="1" width="4.7265625" style="41" customWidth="1"/>
    <col min="2" max="2" width="8.08984375" style="43" customWidth="1" outlineLevel="1"/>
    <col min="3" max="3" width="13.08984375" style="43" customWidth="1" outlineLevel="1"/>
    <col min="4" max="4" width="10.26953125" style="43" customWidth="1" outlineLevel="1"/>
    <col min="5" max="5" width="4.7265625" style="41" customWidth="1" outlineLevel="1"/>
    <col min="6" max="6" width="6.36328125" style="41" customWidth="1"/>
    <col min="7" max="7" width="8.90625" style="44" customWidth="1" outlineLevel="2"/>
    <col min="8" max="8" width="9.6328125" style="44" customWidth="1" outlineLevel="2"/>
    <col min="9" max="9" width="10" style="44" customWidth="1" outlineLevel="2"/>
    <col min="10" max="10" width="10.6328125" style="44" customWidth="1" outlineLevel="2"/>
    <col min="11" max="11" width="8" style="44" customWidth="1" outlineLevel="2"/>
    <col min="12" max="12" width="9.26953125" style="44" customWidth="1" outlineLevel="2"/>
    <col min="13" max="13" width="9.6328125" style="44" customWidth="1" outlineLevel="2"/>
    <col min="14" max="14" width="10" style="44" customWidth="1" outlineLevel="2"/>
    <col min="15" max="15" width="6.36328125" style="45" customWidth="1" outlineLevel="2"/>
    <col min="16" max="16" width="8" style="45" customWidth="1" outlineLevel="2"/>
    <col min="17" max="17" width="4.7265625" style="45" customWidth="1" outlineLevel="2"/>
    <col min="18" max="19" width="10.453125" style="46" customWidth="1" outlineLevel="2"/>
    <col min="20" max="20" width="10.453125" style="46" customWidth="1" outlineLevel="1"/>
    <col min="21" max="21" width="8" style="46" customWidth="1" outlineLevel="2"/>
    <col min="22" max="22" width="8.7265625" style="42" customWidth="1" outlineLevel="2"/>
    <col min="23" max="23" width="7.453125" style="42" customWidth="1" outlineLevel="2"/>
    <col min="24" max="24" width="6.6328125" style="42" customWidth="1" outlineLevel="2"/>
    <col min="25" max="25" width="9.90625" style="42" customWidth="1" outlineLevel="2"/>
    <col min="26" max="26" width="6.90625" style="42" customWidth="1" outlineLevel="2"/>
    <col min="27" max="27" width="8.90625" style="42" customWidth="1" outlineLevel="1"/>
    <col min="28" max="28" width="8.453125" style="42" customWidth="1" outlineLevel="2"/>
    <col min="29" max="29" width="7.36328125" style="42" customWidth="1" outlineLevel="2"/>
    <col min="30" max="30" width="8.36328125" style="42" customWidth="1" outlineLevel="2"/>
    <col min="31" max="31" width="8.6328125" style="42" customWidth="1" outlineLevel="1"/>
    <col min="32" max="32" width="9" style="44" customWidth="1" outlineLevel="2"/>
    <col min="33" max="33" width="7.7265625" style="42" customWidth="1" outlineLevel="2"/>
    <col min="34" max="34" width="7.453125" style="42" customWidth="1" outlineLevel="2"/>
    <col min="35" max="35" width="9.7265625" style="42" customWidth="1" outlineLevel="1"/>
    <col min="36" max="40" width="8.7265625" style="42" customWidth="1" outlineLevel="1"/>
    <col min="41" max="41" width="11.6328125" style="44" customWidth="1" outlineLevel="1"/>
    <col min="42" max="42" width="9.453125" style="42" customWidth="1"/>
    <col min="43" max="43" width="7.90625" style="42" customWidth="1"/>
    <col min="44" max="44" width="8.36328125" style="42" customWidth="1"/>
    <col min="45" max="45" width="7.26953125" style="42" customWidth="1"/>
    <col min="46" max="46" width="8.7265625" style="42" customWidth="1"/>
    <col min="47" max="47" width="9.7265625" style="42" customWidth="1" outlineLevel="1"/>
    <col min="48" max="49" width="11.36328125" style="42" customWidth="1" outlineLevel="1"/>
    <col min="50" max="54" width="8.7265625" style="42" customWidth="1" outlineLevel="1"/>
    <col min="55" max="55" width="15.36328125" style="42" customWidth="1" outlineLevel="1"/>
    <col min="56" max="57" width="11.7265625" style="42" customWidth="1" outlineLevel="1"/>
    <col min="58" max="58" width="11.7265625" style="42" customWidth="1"/>
    <col min="59" max="59" width="10.08984375" style="42" customWidth="1"/>
    <col min="60" max="60" width="9" style="41"/>
    <col min="61" max="61" width="11.08984375" style="41"/>
    <col min="62" max="16384" width="9" style="41"/>
  </cols>
  <sheetData>
    <row r="1" spans="1:59" ht="20.149999999999999" customHeight="1" x14ac:dyDescent="0.25">
      <c r="A1" s="222" t="s">
        <v>114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59" ht="20.149999999999999" customHeight="1" x14ac:dyDescent="0.25">
      <c r="A2" s="225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47" t="s">
        <v>6</v>
      </c>
      <c r="G2" s="236" t="s">
        <v>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212" t="s">
        <v>27</v>
      </c>
      <c r="AV2" s="212" t="s">
        <v>28</v>
      </c>
      <c r="AW2" s="240" t="s">
        <v>29</v>
      </c>
      <c r="AX2" s="241" t="s">
        <v>30</v>
      </c>
      <c r="AY2" s="242"/>
      <c r="AZ2" s="242"/>
      <c r="BA2" s="242"/>
      <c r="BB2" s="243"/>
      <c r="BC2" s="189" t="s">
        <v>31</v>
      </c>
      <c r="BD2" s="189" t="s">
        <v>32</v>
      </c>
      <c r="BE2" s="189" t="s">
        <v>33</v>
      </c>
      <c r="BF2" s="189" t="s">
        <v>34</v>
      </c>
      <c r="BG2" s="250" t="s">
        <v>35</v>
      </c>
    </row>
    <row r="3" spans="1:59" ht="20.149999999999999" customHeight="1" x14ac:dyDescent="0.25">
      <c r="A3" s="225"/>
      <c r="B3" s="225"/>
      <c r="C3" s="225"/>
      <c r="D3" s="227"/>
      <c r="E3" s="230"/>
      <c r="F3" s="248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56">
        <v>0.05</v>
      </c>
      <c r="AH3" s="56">
        <v>0.05</v>
      </c>
      <c r="AI3" s="56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213"/>
      <c r="AV3" s="213"/>
      <c r="AW3" s="213"/>
      <c r="AX3" s="244"/>
      <c r="AY3" s="245"/>
      <c r="AZ3" s="245"/>
      <c r="BA3" s="245"/>
      <c r="BB3" s="246"/>
      <c r="BC3" s="190"/>
      <c r="BD3" s="190"/>
      <c r="BE3" s="190"/>
      <c r="BF3" s="190"/>
      <c r="BG3" s="251"/>
    </row>
    <row r="4" spans="1:59" ht="20.149999999999999" customHeight="1" x14ac:dyDescent="0.25">
      <c r="A4" s="225"/>
      <c r="B4" s="225"/>
      <c r="C4" s="225"/>
      <c r="D4" s="228"/>
      <c r="E4" s="231"/>
      <c r="F4" s="249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02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214"/>
      <c r="AV4" s="214"/>
      <c r="AW4" s="214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191"/>
      <c r="BD4" s="191"/>
      <c r="BE4" s="191"/>
      <c r="BF4" s="191"/>
      <c r="BG4" s="252"/>
    </row>
    <row r="5" spans="1:59" ht="20.149999999999999" customHeight="1" x14ac:dyDescent="0.25">
      <c r="A5" s="14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 t="shared" ref="N5:N23" si="0">SUM(G5:M5)</f>
        <v>30000</v>
      </c>
      <c r="O5" s="28">
        <v>20</v>
      </c>
      <c r="P5" s="28">
        <v>20</v>
      </c>
      <c r="Q5" s="36"/>
      <c r="R5" s="36"/>
      <c r="S5" s="36">
        <v>19500</v>
      </c>
      <c r="T5" s="36">
        <f>N5-R5-S5</f>
        <v>10500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23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23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23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23" si="4">$T5</f>
        <v>10500</v>
      </c>
      <c r="AQ5" s="63">
        <f t="shared" ref="AQ5:AQ23" si="5">$AB5</f>
        <v>480</v>
      </c>
      <c r="AR5" s="63">
        <f t="shared" ref="AR5:AR23" si="6">$AD5</f>
        <v>123</v>
      </c>
      <c r="AS5" s="63">
        <f t="shared" ref="AS5:AS23" si="7">$AC5</f>
        <v>12</v>
      </c>
      <c r="AT5" s="63">
        <f t="shared" ref="AT5:AT23" si="8">$AH5</f>
        <v>300</v>
      </c>
      <c r="AU5" s="63">
        <f>$AP5+'1月工资表'!$AU5</f>
        <v>25500</v>
      </c>
      <c r="AV5" s="63">
        <f>$AO5+'1月工资表'!$AV5</f>
        <v>10000</v>
      </c>
      <c r="AW5" s="63">
        <f>AQ5+AR5+AS5+AT5+'1月工资表'!AW5</f>
        <v>1830</v>
      </c>
      <c r="AX5" s="63">
        <f>AJ5+'1月工资表'!AX5</f>
        <v>0</v>
      </c>
      <c r="AY5" s="63">
        <f>AK5+'1月工资表'!AY5</f>
        <v>2000</v>
      </c>
      <c r="AZ5" s="63">
        <f>AL5+'1月工资表'!AZ5</f>
        <v>0</v>
      </c>
      <c r="BA5" s="63">
        <f>AM5+'1月工资表'!BA5</f>
        <v>0</v>
      </c>
      <c r="BB5" s="63">
        <f>AN5+'1月工资表'!BB5</f>
        <v>0</v>
      </c>
      <c r="BC5" s="63">
        <f>IF(AU5="","",AU5-AV5-AW5-AX5-AY5-AZ5-BA5-BB5)</f>
        <v>11670</v>
      </c>
      <c r="BD5" s="63">
        <f>ROUND(IF(BC5="","",MAX(0,BC5*{3;10;20;25;30;35;45}%-{0;2520;16920;31920;52920;85920;181920})),2)</f>
        <v>350.1</v>
      </c>
      <c r="BE5" s="63">
        <f>'1月工资表'!BD5</f>
        <v>242.54999999999998</v>
      </c>
      <c r="BF5" s="63">
        <f t="shared" ref="BF5:BF23" si="9">IF(BD5="","",IF(BD5&lt;=BE5,0,BD5-BE5))</f>
        <v>107.55000000000004</v>
      </c>
      <c r="BG5" s="36">
        <f t="shared" ref="BG5:BG23" si="10">IF(AP5="","",AP5-AQ5-AR5-AS5-AT5-BF5)</f>
        <v>9477.4500000000007</v>
      </c>
    </row>
    <row r="6" spans="1:59" ht="20.149999999999999" customHeight="1" x14ac:dyDescent="0.25">
      <c r="A6" s="14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 t="shared" si="0"/>
        <v>20000</v>
      </c>
      <c r="O6" s="28">
        <v>20</v>
      </c>
      <c r="P6" s="28">
        <v>20</v>
      </c>
      <c r="Q6" s="36">
        <f t="shared" ref="Q6:Q23" si="11">IF(O6="",0,O6-P6)</f>
        <v>0</v>
      </c>
      <c r="R6" s="36">
        <f t="shared" ref="R6:R23" si="12">IF(O6="",0,ROUND(N6/21.75*Q6,2))</f>
        <v>0</v>
      </c>
      <c r="S6" s="36">
        <v>13000</v>
      </c>
      <c r="T6" s="36">
        <f>N6-R6-S6</f>
        <v>7000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1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2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si="3"/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7000</v>
      </c>
      <c r="AQ6" s="63">
        <f t="shared" si="5"/>
        <v>472</v>
      </c>
      <c r="AR6" s="63">
        <f t="shared" si="6"/>
        <v>121</v>
      </c>
      <c r="AS6" s="63">
        <f t="shared" si="7"/>
        <v>11.8</v>
      </c>
      <c r="AT6" s="63">
        <f t="shared" si="8"/>
        <v>295</v>
      </c>
      <c r="AU6" s="63">
        <f>$AP6+'1月工资表'!$AU6</f>
        <v>17000</v>
      </c>
      <c r="AV6" s="63">
        <f>$AO6+'1月工资表'!$AV6</f>
        <v>10000</v>
      </c>
      <c r="AW6" s="63">
        <f>AQ6+AR6+AS6+AT6+'1月工资表'!AW6</f>
        <v>1799.6</v>
      </c>
      <c r="AX6" s="63">
        <f>AJ6+'1月工资表'!AX6</f>
        <v>2000</v>
      </c>
      <c r="AY6" s="63">
        <f>AK6+'1月工资表'!AY6</f>
        <v>4000</v>
      </c>
      <c r="AZ6" s="63">
        <f>AL6+'1月工资表'!AZ6</f>
        <v>0</v>
      </c>
      <c r="BA6" s="63">
        <f>AM6+'1月工资表'!BA6</f>
        <v>2000</v>
      </c>
      <c r="BB6" s="63">
        <f>AN6+'1月工资表'!BB6</f>
        <v>0</v>
      </c>
      <c r="BC6" s="63">
        <f t="shared" ref="BC6:BC23" si="13">IF(AU6="","",AU6-AV6-AW6-AX6-AY6-AZ6-BA6-BB6)</f>
        <v>-2799.6000000000004</v>
      </c>
      <c r="BD6" s="63">
        <f>ROUND(IF(BC6="","",MAX(0,BC6*{3;10;20;25;30;35;45}%-{0;2520;16920;31920;52920;85920;181920})),2)</f>
        <v>0</v>
      </c>
      <c r="BE6" s="63">
        <f>'1月工资表'!BD6</f>
        <v>3.0059999999999945</v>
      </c>
      <c r="BF6" s="63">
        <f t="shared" si="9"/>
        <v>0</v>
      </c>
      <c r="BG6" s="36">
        <f t="shared" si="10"/>
        <v>6100.2</v>
      </c>
    </row>
    <row r="7" spans="1:59" ht="20.149999999999999" customHeight="1" x14ac:dyDescent="0.25">
      <c r="A7" s="14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si="0"/>
        <v>20000</v>
      </c>
      <c r="O7" s="28">
        <v>20</v>
      </c>
      <c r="P7" s="28">
        <v>20</v>
      </c>
      <c r="Q7" s="36">
        <f t="shared" si="11"/>
        <v>0</v>
      </c>
      <c r="R7" s="36">
        <f t="shared" si="12"/>
        <v>0</v>
      </c>
      <c r="S7" s="36">
        <v>13000</v>
      </c>
      <c r="T7" s="36">
        <f>N7-R7-S7</f>
        <v>7000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7000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$AP7+'1月工资表'!$AU7</f>
        <v>17000</v>
      </c>
      <c r="AV7" s="63">
        <f>$AO7+'1月工资表'!$AV7</f>
        <v>10000</v>
      </c>
      <c r="AW7" s="63">
        <f>AQ7+AR7+AS7+AT7+'1月工资表'!AW7</f>
        <v>1799.6</v>
      </c>
      <c r="AX7" s="63">
        <f>AJ7+'1月工资表'!AX7</f>
        <v>0</v>
      </c>
      <c r="AY7" s="63">
        <f>AK7+'1月工资表'!AY7</f>
        <v>4000</v>
      </c>
      <c r="AZ7" s="63">
        <f>AL7+'1月工资表'!AZ7</f>
        <v>0</v>
      </c>
      <c r="BA7" s="63">
        <f>AM7+'1月工资表'!BA7</f>
        <v>2000</v>
      </c>
      <c r="BB7" s="63">
        <f>AN7+'1月工资表'!BB7</f>
        <v>0</v>
      </c>
      <c r="BC7" s="63">
        <f t="shared" si="13"/>
        <v>-799.60000000000036</v>
      </c>
      <c r="BD7" s="63">
        <f>ROUND(IF(BC7="","",MAX(0,BC7*{3;10;20;25;30;35;45}%-{0;2520;16920;31920;52920;85920;181920})),2)</f>
        <v>0</v>
      </c>
      <c r="BE7" s="63">
        <f>'1月工资表'!BD7</f>
        <v>33.005999999999993</v>
      </c>
      <c r="BF7" s="63">
        <f t="shared" si="9"/>
        <v>0</v>
      </c>
      <c r="BG7" s="36">
        <f t="shared" si="10"/>
        <v>6100.2</v>
      </c>
    </row>
    <row r="8" spans="1:59" ht="20.149999999999999" customHeight="1" x14ac:dyDescent="0.25">
      <c r="A8" s="14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0"/>
        <v>20000</v>
      </c>
      <c r="O8" s="28">
        <v>20</v>
      </c>
      <c r="P8" s="28">
        <v>20</v>
      </c>
      <c r="Q8" s="36"/>
      <c r="R8" s="36"/>
      <c r="S8" s="36">
        <v>5000</v>
      </c>
      <c r="T8" s="36">
        <f>N8-R8-S8</f>
        <v>15000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15000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$AP8+'1月工资表'!$AU8</f>
        <v>35000</v>
      </c>
      <c r="AV8" s="63">
        <f>$AO8+'1月工资表'!$AV8</f>
        <v>10000</v>
      </c>
      <c r="AW8" s="63">
        <f>AQ8+AR8+AS8+AT8+'1月工资表'!AW8</f>
        <v>1574.68</v>
      </c>
      <c r="AX8" s="63">
        <f>AJ8+'1月工资表'!AX8</f>
        <v>2000</v>
      </c>
      <c r="AY8" s="63">
        <f>AK8+'1月工资表'!AY8</f>
        <v>4000</v>
      </c>
      <c r="AZ8" s="63">
        <f>AL8+'1月工资表'!AZ8</f>
        <v>0</v>
      </c>
      <c r="BA8" s="63">
        <f>AM8+'1月工资表'!BA8</f>
        <v>0</v>
      </c>
      <c r="BB8" s="63">
        <f>AN8+'1月工资表'!BB8</f>
        <v>0</v>
      </c>
      <c r="BC8" s="63">
        <f t="shared" si="13"/>
        <v>17425.32</v>
      </c>
      <c r="BD8" s="63">
        <f>ROUND(IF(BC8="","",MAX(0,BC8*{3;10;20;25;30;35;45}%-{0;2520;16920;31920;52920;85920;181920})),2)</f>
        <v>522.76</v>
      </c>
      <c r="BE8" s="63">
        <f>'1月工资表'!BD8</f>
        <v>336.37979999999999</v>
      </c>
      <c r="BF8" s="63">
        <f t="shared" si="9"/>
        <v>186.3802</v>
      </c>
      <c r="BG8" s="36">
        <f t="shared" si="10"/>
        <v>14026.2798</v>
      </c>
    </row>
    <row r="9" spans="1:59" ht="20.149999999999999" customHeight="1" x14ac:dyDescent="0.25">
      <c r="A9" s="14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0"/>
        <v>8000</v>
      </c>
      <c r="O9" s="28">
        <v>20</v>
      </c>
      <c r="P9" s="28">
        <v>20</v>
      </c>
      <c r="Q9" s="36">
        <f t="shared" si="11"/>
        <v>0</v>
      </c>
      <c r="R9" s="36">
        <f t="shared" si="12"/>
        <v>0</v>
      </c>
      <c r="S9" s="36"/>
      <c r="T9" s="36">
        <f t="shared" ref="T9:T23" si="14">N9-R9</f>
        <v>8000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8000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$AP9+'1月工资表'!$AU9</f>
        <v>16000</v>
      </c>
      <c r="AV9" s="63">
        <f>$AO9+'1月工资表'!$AV9</f>
        <v>10000</v>
      </c>
      <c r="AW9" s="63">
        <f>AQ9+AR9+AS9+AT9+'1月工资表'!AW9</f>
        <v>1495.48</v>
      </c>
      <c r="AX9" s="63">
        <f>AJ9+'1月工资表'!AX9</f>
        <v>2000</v>
      </c>
      <c r="AY9" s="63">
        <f>AK9+'1月工资表'!AY9</f>
        <v>4000</v>
      </c>
      <c r="AZ9" s="63">
        <f>AL9+'1月工资表'!AZ9</f>
        <v>0</v>
      </c>
      <c r="BA9" s="63">
        <f>AM9+'1月工资表'!BA9</f>
        <v>0</v>
      </c>
      <c r="BB9" s="63">
        <f>AN9+'1月工资表'!BB9</f>
        <v>0</v>
      </c>
      <c r="BC9" s="63">
        <f t="shared" si="13"/>
        <v>-1495.4799999999996</v>
      </c>
      <c r="BD9" s="63">
        <f>ROUND(IF(BC9="","",MAX(0,BC9*{3;10;20;25;30;35;45}%-{0;2520;16920;31920;52920;85920;181920})),2)</f>
        <v>0</v>
      </c>
      <c r="BE9" s="63">
        <f>'1月工资表'!BD9</f>
        <v>0</v>
      </c>
      <c r="BF9" s="63">
        <f t="shared" si="9"/>
        <v>0</v>
      </c>
      <c r="BG9" s="36">
        <f t="shared" si="10"/>
        <v>7252.2599999999993</v>
      </c>
    </row>
    <row r="10" spans="1:59" ht="20.149999999999999" customHeight="1" x14ac:dyDescent="0.25">
      <c r="A10" s="14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0"/>
        <v>7000</v>
      </c>
      <c r="O10" s="28">
        <v>20</v>
      </c>
      <c r="P10" s="28">
        <v>20</v>
      </c>
      <c r="Q10" s="36">
        <f t="shared" si="11"/>
        <v>0</v>
      </c>
      <c r="R10" s="36">
        <f t="shared" si="12"/>
        <v>0</v>
      </c>
      <c r="S10" s="36"/>
      <c r="T10" s="36">
        <f t="shared" si="14"/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1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2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3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4"/>
        <v>7000</v>
      </c>
      <c r="AQ10" s="63">
        <f t="shared" si="5"/>
        <v>448</v>
      </c>
      <c r="AR10" s="63">
        <f t="shared" si="6"/>
        <v>115</v>
      </c>
      <c r="AS10" s="63">
        <f t="shared" si="7"/>
        <v>11.2</v>
      </c>
      <c r="AT10" s="63">
        <f t="shared" si="8"/>
        <v>280</v>
      </c>
      <c r="AU10" s="63">
        <f>$AP10+'1月工资表'!$AU10</f>
        <v>14000</v>
      </c>
      <c r="AV10" s="63">
        <f>$AO10+'1月工资表'!$AV10</f>
        <v>10000</v>
      </c>
      <c r="AW10" s="63">
        <f>AQ10+AR10+AS10+AT10+'1月工资表'!AW10</f>
        <v>1708.4</v>
      </c>
      <c r="AX10" s="63">
        <f>AJ10+'1月工资表'!AX10</f>
        <v>0</v>
      </c>
      <c r="AY10" s="63">
        <f>AK10+'1月工资表'!AY10</f>
        <v>0</v>
      </c>
      <c r="AZ10" s="63">
        <f>AL10+'1月工资表'!AZ10</f>
        <v>800</v>
      </c>
      <c r="BA10" s="63">
        <f>AM10+'1月工资表'!BA10</f>
        <v>0</v>
      </c>
      <c r="BB10" s="63">
        <f>AN10+'1月工资表'!BB10</f>
        <v>0</v>
      </c>
      <c r="BC10" s="63">
        <f t="shared" si="13"/>
        <v>1491.6</v>
      </c>
      <c r="BD10" s="63">
        <f>ROUND(IF(BC10="","",MAX(0,BC10*{3;10;20;25;30;35;45}%-{0;2520;16920;31920;52920;85920;181920})),2)</f>
        <v>44.75</v>
      </c>
      <c r="BE10" s="63">
        <f>'1月工资表'!BD10</f>
        <v>22.373999999999999</v>
      </c>
      <c r="BF10" s="63">
        <f t="shared" si="9"/>
        <v>22.376000000000001</v>
      </c>
      <c r="BG10" s="36">
        <f t="shared" si="10"/>
        <v>6123.424</v>
      </c>
    </row>
    <row r="11" spans="1:59" ht="20.149999999999999" customHeight="1" x14ac:dyDescent="0.25">
      <c r="A11" s="14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0"/>
        <v>9000</v>
      </c>
      <c r="O11" s="28">
        <v>20</v>
      </c>
      <c r="P11" s="28">
        <v>20</v>
      </c>
      <c r="Q11" s="36">
        <f t="shared" si="11"/>
        <v>0</v>
      </c>
      <c r="R11" s="36">
        <f t="shared" si="12"/>
        <v>0</v>
      </c>
      <c r="S11" s="36"/>
      <c r="T11" s="36">
        <f t="shared" si="14"/>
        <v>9000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1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2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3"/>
        <v>800</v>
      </c>
      <c r="AJ11" s="28"/>
      <c r="AK11" s="28"/>
      <c r="AL11" s="28"/>
      <c r="AM11" s="28"/>
      <c r="AN11" s="28"/>
      <c r="AO11" s="36">
        <v>5000</v>
      </c>
      <c r="AP11" s="63">
        <f t="shared" si="4"/>
        <v>9000</v>
      </c>
      <c r="AQ11" s="63">
        <f t="shared" si="5"/>
        <v>640</v>
      </c>
      <c r="AR11" s="63">
        <f t="shared" si="6"/>
        <v>163</v>
      </c>
      <c r="AS11" s="63">
        <f t="shared" si="7"/>
        <v>0</v>
      </c>
      <c r="AT11" s="63">
        <f t="shared" si="8"/>
        <v>400</v>
      </c>
      <c r="AU11" s="63">
        <f>$AP11+'1月工资表'!$AU11</f>
        <v>17586.21</v>
      </c>
      <c r="AV11" s="63">
        <f>$AO11+'1月工资表'!$AV11</f>
        <v>10000</v>
      </c>
      <c r="AW11" s="63">
        <f>AQ11+AR11+AS11+AT11+'1月工资表'!AW11</f>
        <v>2406</v>
      </c>
      <c r="AX11" s="63">
        <f>AJ11+'1月工资表'!AX11</f>
        <v>0</v>
      </c>
      <c r="AY11" s="63">
        <f>AK11+'1月工资表'!AY11</f>
        <v>0</v>
      </c>
      <c r="AZ11" s="63">
        <f>AL11+'1月工资表'!AZ11</f>
        <v>0</v>
      </c>
      <c r="BA11" s="63">
        <f>AM11+'1月工资表'!BA11</f>
        <v>0</v>
      </c>
      <c r="BB11" s="63">
        <f>AN11+'1月工资表'!BB11</f>
        <v>0</v>
      </c>
      <c r="BC11" s="63">
        <f t="shared" si="13"/>
        <v>5180.2099999999991</v>
      </c>
      <c r="BD11" s="63">
        <f>ROUND(IF(BC11="","",MAX(0,BC11*{3;10;20;25;30;35;45}%-{0;2520;16920;31920;52920;85920;181920})),2)</f>
        <v>155.41</v>
      </c>
      <c r="BE11" s="63">
        <f>'1月工资表'!BD11</f>
        <v>71.496299999999977</v>
      </c>
      <c r="BF11" s="63">
        <f t="shared" si="9"/>
        <v>83.91370000000002</v>
      </c>
      <c r="BG11" s="36">
        <f t="shared" si="10"/>
        <v>7713.0862999999999</v>
      </c>
    </row>
    <row r="12" spans="1:59" ht="20.149999999999999" customHeight="1" x14ac:dyDescent="0.25">
      <c r="A12" s="14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0"/>
        <v>27000</v>
      </c>
      <c r="O12" s="28">
        <v>20</v>
      </c>
      <c r="P12" s="28">
        <v>20</v>
      </c>
      <c r="Q12" s="36">
        <f t="shared" si="11"/>
        <v>0</v>
      </c>
      <c r="R12" s="36">
        <f t="shared" si="12"/>
        <v>0</v>
      </c>
      <c r="S12" s="36">
        <v>6750</v>
      </c>
      <c r="T12" s="36">
        <f>N12-R12-S12</f>
        <v>20250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1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2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3"/>
        <v>520</v>
      </c>
      <c r="AJ12" s="28"/>
      <c r="AK12" s="28"/>
      <c r="AL12" s="28"/>
      <c r="AM12" s="28"/>
      <c r="AN12" s="28"/>
      <c r="AO12" s="36">
        <v>5000</v>
      </c>
      <c r="AP12" s="63">
        <f t="shared" si="4"/>
        <v>20250</v>
      </c>
      <c r="AQ12" s="63">
        <f t="shared" si="5"/>
        <v>416</v>
      </c>
      <c r="AR12" s="63">
        <f t="shared" si="6"/>
        <v>114.14</v>
      </c>
      <c r="AS12" s="63">
        <f t="shared" si="7"/>
        <v>0</v>
      </c>
      <c r="AT12" s="63">
        <f t="shared" si="8"/>
        <v>260</v>
      </c>
      <c r="AU12" s="63">
        <f>$AP12+'1月工资表'!$AU12</f>
        <v>47250</v>
      </c>
      <c r="AV12" s="63">
        <f>$AO12+'1月工资表'!$AV12</f>
        <v>10000</v>
      </c>
      <c r="AW12" s="63">
        <f>AQ12+AR12+AS12+AT12+'1月工资表'!AW12</f>
        <v>1580.28</v>
      </c>
      <c r="AX12" s="63">
        <f>AJ12+'1月工资表'!AX12</f>
        <v>0</v>
      </c>
      <c r="AY12" s="63">
        <f>AK12+'1月工资表'!AY12</f>
        <v>0</v>
      </c>
      <c r="AZ12" s="63">
        <f>AL12+'1月工资表'!AZ12</f>
        <v>0</v>
      </c>
      <c r="BA12" s="63">
        <f>AM12+'1月工资表'!BA12</f>
        <v>0</v>
      </c>
      <c r="BB12" s="63">
        <f>AN12+'1月工资表'!BB12</f>
        <v>0</v>
      </c>
      <c r="BC12" s="63">
        <f t="shared" si="13"/>
        <v>35669.72</v>
      </c>
      <c r="BD12" s="63">
        <f>ROUND(IF(BC12="","",MAX(0,BC12*{3;10;20;25;30;35;45}%-{0;2520;16920;31920;52920;85920;181920})),2)</f>
        <v>1070.0899999999999</v>
      </c>
      <c r="BE12" s="63">
        <f>'1月工资表'!BD12</f>
        <v>636.29579999999999</v>
      </c>
      <c r="BF12" s="63">
        <f t="shared" si="9"/>
        <v>433.79419999999993</v>
      </c>
      <c r="BG12" s="36">
        <f t="shared" si="10"/>
        <v>19026.0658</v>
      </c>
    </row>
    <row r="13" spans="1:59" ht="20.149999999999999" customHeight="1" x14ac:dyDescent="0.25">
      <c r="A13" s="14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0"/>
        <v>16000</v>
      </c>
      <c r="O13" s="28">
        <v>20</v>
      </c>
      <c r="P13" s="28">
        <v>20</v>
      </c>
      <c r="Q13" s="36">
        <f t="shared" si="11"/>
        <v>0</v>
      </c>
      <c r="R13" s="36">
        <f t="shared" si="12"/>
        <v>0</v>
      </c>
      <c r="S13" s="36"/>
      <c r="T13" s="36">
        <f t="shared" si="14"/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1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2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3"/>
        <v>1280</v>
      </c>
      <c r="AJ13" s="28"/>
      <c r="AK13" s="28"/>
      <c r="AL13" s="28"/>
      <c r="AM13" s="28"/>
      <c r="AN13" s="28"/>
      <c r="AO13" s="36">
        <v>5000</v>
      </c>
      <c r="AP13" s="63">
        <f t="shared" si="4"/>
        <v>16000</v>
      </c>
      <c r="AQ13" s="63">
        <f t="shared" si="5"/>
        <v>1024</v>
      </c>
      <c r="AR13" s="63">
        <f t="shared" si="6"/>
        <v>259</v>
      </c>
      <c r="AS13" s="63">
        <f t="shared" si="7"/>
        <v>0</v>
      </c>
      <c r="AT13" s="63">
        <f t="shared" si="8"/>
        <v>640</v>
      </c>
      <c r="AU13" s="63">
        <f>$AP13+'1月工资表'!$AU13</f>
        <v>32000</v>
      </c>
      <c r="AV13" s="63">
        <f>$AO13+'1月工资表'!$AV13</f>
        <v>10000</v>
      </c>
      <c r="AW13" s="63">
        <f>AQ13+AR13+AS13+AT13+'1月工资表'!AW13</f>
        <v>3846</v>
      </c>
      <c r="AX13" s="63">
        <f>AJ13+'1月工资表'!AX13</f>
        <v>0</v>
      </c>
      <c r="AY13" s="63">
        <f>AK13+'1月工资表'!AY13</f>
        <v>0</v>
      </c>
      <c r="AZ13" s="63">
        <f>AL13+'1月工资表'!AZ13</f>
        <v>0</v>
      </c>
      <c r="BA13" s="63">
        <f>AM13+'1月工资表'!BA13</f>
        <v>0</v>
      </c>
      <c r="BB13" s="63">
        <f>AN13+'1月工资表'!BB13</f>
        <v>0</v>
      </c>
      <c r="BC13" s="63">
        <f t="shared" si="13"/>
        <v>18154</v>
      </c>
      <c r="BD13" s="63">
        <f>ROUND(IF(BC13="","",MAX(0,BC13*{3;10;20;25;30;35;45}%-{0;2520;16920;31920;52920;85920;181920})),2)</f>
        <v>544.62</v>
      </c>
      <c r="BE13" s="63">
        <f>'1月工资表'!BD13</f>
        <v>272.31</v>
      </c>
      <c r="BF13" s="63">
        <f t="shared" si="9"/>
        <v>272.31</v>
      </c>
      <c r="BG13" s="36">
        <f t="shared" si="10"/>
        <v>13804.69</v>
      </c>
    </row>
    <row r="14" spans="1:59" ht="20.149999999999999" customHeight="1" x14ac:dyDescent="0.25">
      <c r="A14" s="14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0"/>
        <v>18000</v>
      </c>
      <c r="O14" s="28">
        <v>20</v>
      </c>
      <c r="P14" s="28">
        <v>20</v>
      </c>
      <c r="Q14" s="36">
        <f t="shared" si="11"/>
        <v>0</v>
      </c>
      <c r="R14" s="36">
        <f t="shared" si="12"/>
        <v>0</v>
      </c>
      <c r="S14" s="36"/>
      <c r="T14" s="36">
        <f t="shared" si="14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1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2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3"/>
        <v>900</v>
      </c>
      <c r="AJ14" s="28"/>
      <c r="AK14" s="28"/>
      <c r="AL14" s="28"/>
      <c r="AM14" s="28"/>
      <c r="AN14" s="28"/>
      <c r="AO14" s="36">
        <v>5000</v>
      </c>
      <c r="AP14" s="63">
        <f t="shared" si="4"/>
        <v>18000</v>
      </c>
      <c r="AQ14" s="63">
        <f t="shared" si="5"/>
        <v>720</v>
      </c>
      <c r="AR14" s="63">
        <f t="shared" si="6"/>
        <v>183</v>
      </c>
      <c r="AS14" s="63">
        <f t="shared" si="7"/>
        <v>0</v>
      </c>
      <c r="AT14" s="63">
        <f t="shared" si="8"/>
        <v>450</v>
      </c>
      <c r="AU14" s="63">
        <f>$AP14+'1月工资表'!$AU14</f>
        <v>36000</v>
      </c>
      <c r="AV14" s="63">
        <f>$AO14+'1月工资表'!$AV14</f>
        <v>10000</v>
      </c>
      <c r="AW14" s="63">
        <f>AQ14+AR14+AS14+AT14+'1月工资表'!AW14</f>
        <v>2706</v>
      </c>
      <c r="AX14" s="63">
        <f>AJ14+'1月工资表'!AX14</f>
        <v>0</v>
      </c>
      <c r="AY14" s="63">
        <f>AK14+'1月工资表'!AY14</f>
        <v>0</v>
      </c>
      <c r="AZ14" s="63">
        <f>AL14+'1月工资表'!AZ14</f>
        <v>0</v>
      </c>
      <c r="BA14" s="63">
        <f>AM14+'1月工资表'!BA14</f>
        <v>0</v>
      </c>
      <c r="BB14" s="63">
        <f>AN14+'1月工资表'!BB14</f>
        <v>0</v>
      </c>
      <c r="BC14" s="63">
        <f t="shared" si="13"/>
        <v>23294</v>
      </c>
      <c r="BD14" s="63">
        <f>ROUND(IF(BC14="","",MAX(0,BC14*{3;10;20;25;30;35;45}%-{0;2520;16920;31920;52920;85920;181920})),2)</f>
        <v>698.82</v>
      </c>
      <c r="BE14" s="63">
        <f>'1月工资表'!BD14</f>
        <v>349.40999999999997</v>
      </c>
      <c r="BF14" s="63">
        <f t="shared" si="9"/>
        <v>349.41000000000008</v>
      </c>
      <c r="BG14" s="36">
        <f t="shared" si="10"/>
        <v>16297.59</v>
      </c>
    </row>
    <row r="15" spans="1:59" ht="20.149999999999999" customHeight="1" x14ac:dyDescent="0.25">
      <c r="A15" s="14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0"/>
        <v>11000</v>
      </c>
      <c r="O15" s="28">
        <v>20</v>
      </c>
      <c r="P15" s="28">
        <v>20</v>
      </c>
      <c r="Q15" s="36">
        <f t="shared" si="11"/>
        <v>0</v>
      </c>
      <c r="R15" s="36">
        <f t="shared" si="12"/>
        <v>0</v>
      </c>
      <c r="S15" s="36"/>
      <c r="T15" s="36">
        <f t="shared" si="14"/>
        <v>11000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1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2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3"/>
        <v>880</v>
      </c>
      <c r="AJ15" s="28"/>
      <c r="AK15" s="28"/>
      <c r="AL15" s="28"/>
      <c r="AM15" s="28"/>
      <c r="AN15" s="28"/>
      <c r="AO15" s="36">
        <v>5000</v>
      </c>
      <c r="AP15" s="63">
        <f t="shared" si="4"/>
        <v>11000</v>
      </c>
      <c r="AQ15" s="63">
        <f t="shared" si="5"/>
        <v>704</v>
      </c>
      <c r="AR15" s="63">
        <f t="shared" si="6"/>
        <v>179</v>
      </c>
      <c r="AS15" s="63">
        <f t="shared" si="7"/>
        <v>17.600000000000001</v>
      </c>
      <c r="AT15" s="63">
        <f t="shared" si="8"/>
        <v>440</v>
      </c>
      <c r="AU15" s="63">
        <f>$AP15+'1月工资表'!$AU15</f>
        <v>20482.760000000002</v>
      </c>
      <c r="AV15" s="63">
        <f>$AO15+'1月工资表'!$AV15</f>
        <v>10000</v>
      </c>
      <c r="AW15" s="63">
        <f>AQ15+AR15+AS15+AT15+'1月工资表'!AW15</f>
        <v>2681.2</v>
      </c>
      <c r="AX15" s="63">
        <f>AJ15+'1月工资表'!AX15</f>
        <v>0</v>
      </c>
      <c r="AY15" s="63">
        <f>AK15+'1月工资表'!AY15</f>
        <v>0</v>
      </c>
      <c r="AZ15" s="63">
        <f>AL15+'1月工资表'!AZ15</f>
        <v>0</v>
      </c>
      <c r="BA15" s="63">
        <f>AM15+'1月工资表'!BA15</f>
        <v>0</v>
      </c>
      <c r="BB15" s="63">
        <f>AN15+'1月工资表'!BB15</f>
        <v>0</v>
      </c>
      <c r="BC15" s="63">
        <f t="shared" si="13"/>
        <v>7801.5600000000022</v>
      </c>
      <c r="BD15" s="63">
        <f>ROUND(IF(BC15="","",MAX(0,BC15*{3;10;20;25;30;35;45}%-{0;2520;16920;31920;52920;85920;181920})),2)</f>
        <v>234.05</v>
      </c>
      <c r="BE15" s="63">
        <f>'1月工资表'!BD15</f>
        <v>94.264800000000008</v>
      </c>
      <c r="BF15" s="63">
        <f t="shared" si="9"/>
        <v>139.7852</v>
      </c>
      <c r="BG15" s="36">
        <f t="shared" si="10"/>
        <v>9519.6147999999994</v>
      </c>
    </row>
    <row r="16" spans="1:59" ht="20.149999999999999" customHeight="1" x14ac:dyDescent="0.25">
      <c r="A16" s="14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0"/>
        <v>8000</v>
      </c>
      <c r="O16" s="28">
        <v>20</v>
      </c>
      <c r="P16" s="28">
        <v>20</v>
      </c>
      <c r="Q16" s="36">
        <f t="shared" si="11"/>
        <v>0</v>
      </c>
      <c r="R16" s="36">
        <f t="shared" si="12"/>
        <v>0</v>
      </c>
      <c r="S16" s="36"/>
      <c r="T16" s="36">
        <f t="shared" si="14"/>
        <v>8000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1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2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3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4"/>
        <v>8000</v>
      </c>
      <c r="AQ16" s="63">
        <f t="shared" si="5"/>
        <v>512</v>
      </c>
      <c r="AR16" s="63">
        <f t="shared" si="6"/>
        <v>131</v>
      </c>
      <c r="AS16" s="63">
        <f t="shared" si="7"/>
        <v>12.8</v>
      </c>
      <c r="AT16" s="63">
        <f t="shared" si="8"/>
        <v>320</v>
      </c>
      <c r="AU16" s="63">
        <f>$AP16+'1月工资表'!$AU16</f>
        <v>15264.369999999999</v>
      </c>
      <c r="AV16" s="63">
        <f>$AO16+'1月工资表'!$AV16</f>
        <v>10000</v>
      </c>
      <c r="AW16" s="63">
        <f>AQ16+AR16+AS16+AT16+'1月工资表'!AW16</f>
        <v>1951.6</v>
      </c>
      <c r="AX16" s="63">
        <f>AJ16+'1月工资表'!AX16</f>
        <v>0</v>
      </c>
      <c r="AY16" s="63">
        <f>AK16+'1月工资表'!AY16</f>
        <v>0</v>
      </c>
      <c r="AZ16" s="63">
        <f>AL16+'1月工资表'!AZ16</f>
        <v>0</v>
      </c>
      <c r="BA16" s="63">
        <f>AM16+'1月工资表'!BA16</f>
        <v>0</v>
      </c>
      <c r="BB16" s="63">
        <f>AN16+'1月工资表'!BB16</f>
        <v>3000</v>
      </c>
      <c r="BC16" s="63">
        <f t="shared" si="13"/>
        <v>312.76999999999907</v>
      </c>
      <c r="BD16" s="63">
        <f>ROUND(IF(BC16="","",MAX(0,BC16*{3;10;20;25;30;35;45}%-{0;2520;16920;31920;52920;85920;181920})),2)</f>
        <v>9.3800000000000008</v>
      </c>
      <c r="BE16" s="63">
        <f>'1月工资表'!BD16</f>
        <v>0</v>
      </c>
      <c r="BF16" s="63">
        <f t="shared" si="9"/>
        <v>9.3800000000000008</v>
      </c>
      <c r="BG16" s="36">
        <f t="shared" si="10"/>
        <v>7014.82</v>
      </c>
    </row>
    <row r="17" spans="1:59" ht="20.149999999999999" customHeight="1" x14ac:dyDescent="0.25">
      <c r="A17" s="14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0"/>
        <v>20000</v>
      </c>
      <c r="O17" s="28">
        <v>20</v>
      </c>
      <c r="P17" s="28">
        <v>20</v>
      </c>
      <c r="Q17" s="36">
        <f t="shared" si="11"/>
        <v>0</v>
      </c>
      <c r="R17" s="36">
        <f t="shared" si="12"/>
        <v>0</v>
      </c>
      <c r="S17" s="36"/>
      <c r="T17" s="36">
        <f t="shared" si="14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1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2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3"/>
        <v>550</v>
      </c>
      <c r="AJ17" s="28"/>
      <c r="AK17" s="28"/>
      <c r="AL17" s="28"/>
      <c r="AM17" s="28"/>
      <c r="AN17" s="28"/>
      <c r="AO17" s="36">
        <v>5000</v>
      </c>
      <c r="AP17" s="63">
        <f t="shared" si="4"/>
        <v>20000</v>
      </c>
      <c r="AQ17" s="63">
        <f t="shared" si="5"/>
        <v>440</v>
      </c>
      <c r="AR17" s="63">
        <f t="shared" si="6"/>
        <v>114.14</v>
      </c>
      <c r="AS17" s="63">
        <f t="shared" si="7"/>
        <v>0</v>
      </c>
      <c r="AT17" s="63">
        <f t="shared" si="8"/>
        <v>275</v>
      </c>
      <c r="AU17" s="63">
        <f>$AP17+'1月工资表'!$AU17</f>
        <v>40000</v>
      </c>
      <c r="AV17" s="63">
        <f>$AO17+'1月工资表'!$AV17</f>
        <v>10000</v>
      </c>
      <c r="AW17" s="63">
        <f>AQ17+AR17+AS17+AT17+'1月工资表'!AW17</f>
        <v>1658.28</v>
      </c>
      <c r="AX17" s="63">
        <f>AJ17+'1月工资表'!AX17</f>
        <v>0</v>
      </c>
      <c r="AY17" s="63">
        <f>AK17+'1月工资表'!AY17</f>
        <v>0</v>
      </c>
      <c r="AZ17" s="63">
        <f>AL17+'1月工资表'!AZ17</f>
        <v>0</v>
      </c>
      <c r="BA17" s="63">
        <f>AM17+'1月工资表'!BA17</f>
        <v>0</v>
      </c>
      <c r="BB17" s="63">
        <f>AN17+'1月工资表'!BB17</f>
        <v>0</v>
      </c>
      <c r="BC17" s="63">
        <f t="shared" si="13"/>
        <v>28341.72</v>
      </c>
      <c r="BD17" s="63">
        <f>ROUND(IF(BC17="","",MAX(0,BC17*{3;10;20;25;30;35;45}%-{0;2520;16920;31920;52920;85920;181920})),2)</f>
        <v>850.25</v>
      </c>
      <c r="BE17" s="63">
        <f>'1月工资表'!BD17</f>
        <v>425.12580000000003</v>
      </c>
      <c r="BF17" s="63">
        <f t="shared" si="9"/>
        <v>425.12419999999997</v>
      </c>
      <c r="BG17" s="36">
        <f t="shared" si="10"/>
        <v>18745.735800000002</v>
      </c>
    </row>
    <row r="18" spans="1:59" ht="20.149999999999999" customHeight="1" x14ac:dyDescent="0.25">
      <c r="A18" s="14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0"/>
        <v>12000</v>
      </c>
      <c r="O18" s="28">
        <v>20</v>
      </c>
      <c r="P18" s="28">
        <v>20</v>
      </c>
      <c r="Q18" s="36">
        <f t="shared" si="11"/>
        <v>0</v>
      </c>
      <c r="R18" s="36">
        <f t="shared" si="12"/>
        <v>0</v>
      </c>
      <c r="S18" s="36"/>
      <c r="T18" s="36">
        <f t="shared" si="14"/>
        <v>12000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1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2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3"/>
        <v>550</v>
      </c>
      <c r="AJ18" s="28"/>
      <c r="AK18" s="28"/>
      <c r="AL18" s="28"/>
      <c r="AM18" s="28"/>
      <c r="AN18" s="28"/>
      <c r="AO18" s="36">
        <v>5000</v>
      </c>
      <c r="AP18" s="63">
        <f t="shared" si="4"/>
        <v>12000</v>
      </c>
      <c r="AQ18" s="63">
        <f t="shared" si="5"/>
        <v>440</v>
      </c>
      <c r="AR18" s="63">
        <f t="shared" si="6"/>
        <v>114.14</v>
      </c>
      <c r="AS18" s="63">
        <f t="shared" si="7"/>
        <v>0</v>
      </c>
      <c r="AT18" s="63">
        <f t="shared" si="8"/>
        <v>275</v>
      </c>
      <c r="AU18" s="63">
        <f>$AP18+'1月工资表'!$AU18</f>
        <v>22896.55</v>
      </c>
      <c r="AV18" s="63">
        <f>$AO18+'1月工资表'!$AV18</f>
        <v>10000</v>
      </c>
      <c r="AW18" s="63">
        <f>AQ18+AR18+AS18+AT18+'1月工资表'!AW18</f>
        <v>1658.28</v>
      </c>
      <c r="AX18" s="63">
        <f>AJ18+'1月工资表'!AX18</f>
        <v>0</v>
      </c>
      <c r="AY18" s="63">
        <f>AK18+'1月工资表'!AY18</f>
        <v>0</v>
      </c>
      <c r="AZ18" s="63">
        <f>AL18+'1月工资表'!AZ18</f>
        <v>0</v>
      </c>
      <c r="BA18" s="63">
        <f>AM18+'1月工资表'!BA18</f>
        <v>0</v>
      </c>
      <c r="BB18" s="63">
        <f>AN18+'1月工资表'!BB18</f>
        <v>0</v>
      </c>
      <c r="BC18" s="63">
        <f t="shared" si="13"/>
        <v>11238.269999999999</v>
      </c>
      <c r="BD18" s="63">
        <f>ROUND(IF(BC18="","",MAX(0,BC18*{3;10;20;25;30;35;45}%-{0;2520;16920;31920;52920;85920;181920})),2)</f>
        <v>337.15</v>
      </c>
      <c r="BE18" s="63">
        <f>'1月工资表'!BD18</f>
        <v>152.02229999999997</v>
      </c>
      <c r="BF18" s="63">
        <f t="shared" si="9"/>
        <v>185.1277</v>
      </c>
      <c r="BG18" s="36">
        <f t="shared" si="10"/>
        <v>10985.7323</v>
      </c>
    </row>
    <row r="19" spans="1:59" ht="20.149999999999999" customHeight="1" x14ac:dyDescent="0.25">
      <c r="A19" s="14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0"/>
        <v>18000</v>
      </c>
      <c r="O19" s="28">
        <v>20</v>
      </c>
      <c r="P19" s="28">
        <v>20</v>
      </c>
      <c r="Q19" s="36">
        <f t="shared" si="11"/>
        <v>0</v>
      </c>
      <c r="R19" s="36">
        <f t="shared" si="12"/>
        <v>0</v>
      </c>
      <c r="S19" s="36"/>
      <c r="T19" s="36">
        <f t="shared" si="14"/>
        <v>18000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1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2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3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4"/>
        <v>18000</v>
      </c>
      <c r="AQ19" s="63">
        <f t="shared" si="5"/>
        <v>440</v>
      </c>
      <c r="AR19" s="63">
        <f t="shared" si="6"/>
        <v>114.14</v>
      </c>
      <c r="AS19" s="63">
        <f t="shared" si="7"/>
        <v>11</v>
      </c>
      <c r="AT19" s="63">
        <f t="shared" si="8"/>
        <v>275</v>
      </c>
      <c r="AU19" s="63">
        <f>$AP19+'1月工资表'!$AU19</f>
        <v>35172.410000000003</v>
      </c>
      <c r="AV19" s="63">
        <f>$AO19+'1月工资表'!$AV19</f>
        <v>10000</v>
      </c>
      <c r="AW19" s="63">
        <f>AQ19+AR19+AS19+AT19+'1月工资表'!AW19</f>
        <v>1680.28</v>
      </c>
      <c r="AX19" s="63">
        <f>AJ19+'1月工资表'!AX19</f>
        <v>2000</v>
      </c>
      <c r="AY19" s="63">
        <f>AK19+'1月工资表'!AY19</f>
        <v>2000</v>
      </c>
      <c r="AZ19" s="63">
        <f>AL19+'1月工资表'!AZ19</f>
        <v>0</v>
      </c>
      <c r="BA19" s="63">
        <f>AM19+'1月工资表'!BA19</f>
        <v>0</v>
      </c>
      <c r="BB19" s="63">
        <f>AN19+'1月工资表'!BB19</f>
        <v>0</v>
      </c>
      <c r="BC19" s="63">
        <f t="shared" si="13"/>
        <v>19492.130000000005</v>
      </c>
      <c r="BD19" s="63">
        <f>ROUND(IF(BC19="","",MAX(0,BC19*{3;10;20;25;30;35;45}%-{0;2520;16920;31920;52920;85920;181920})),2)</f>
        <v>584.76</v>
      </c>
      <c r="BE19" s="63">
        <f>'1月工资表'!BD19</f>
        <v>279.96809999999999</v>
      </c>
      <c r="BF19" s="63">
        <f t="shared" si="9"/>
        <v>304.7919</v>
      </c>
      <c r="BG19" s="36">
        <f t="shared" si="10"/>
        <v>16855.0681</v>
      </c>
    </row>
    <row r="20" spans="1:59" ht="20.149999999999999" customHeight="1" x14ac:dyDescent="0.25">
      <c r="A20" s="14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0"/>
        <v>8500</v>
      </c>
      <c r="O20" s="28">
        <v>20</v>
      </c>
      <c r="P20" s="28">
        <v>20</v>
      </c>
      <c r="Q20" s="36">
        <f t="shared" si="11"/>
        <v>0</v>
      </c>
      <c r="R20" s="36">
        <f t="shared" si="12"/>
        <v>0</v>
      </c>
      <c r="S20" s="36"/>
      <c r="T20" s="36">
        <f t="shared" si="14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1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2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3"/>
        <v>550</v>
      </c>
      <c r="AJ20" s="28"/>
      <c r="AK20" s="28"/>
      <c r="AL20" s="28"/>
      <c r="AM20" s="28"/>
      <c r="AN20" s="28"/>
      <c r="AO20" s="36">
        <v>5000</v>
      </c>
      <c r="AP20" s="63">
        <f t="shared" si="4"/>
        <v>8500</v>
      </c>
      <c r="AQ20" s="63">
        <f t="shared" si="5"/>
        <v>440</v>
      </c>
      <c r="AR20" s="63">
        <f t="shared" si="6"/>
        <v>114.14</v>
      </c>
      <c r="AS20" s="63">
        <f t="shared" si="7"/>
        <v>11</v>
      </c>
      <c r="AT20" s="63">
        <f t="shared" si="8"/>
        <v>275</v>
      </c>
      <c r="AU20" s="63">
        <f>$AP20+'1月工资表'!$AU20</f>
        <v>17000</v>
      </c>
      <c r="AV20" s="63">
        <f>$AO20+'1月工资表'!$AV20</f>
        <v>10000</v>
      </c>
      <c r="AW20" s="63">
        <f>AQ20+AR20+AS20+AT20+'1月工资表'!AW20</f>
        <v>1680.28</v>
      </c>
      <c r="AX20" s="63">
        <f>AJ20+'1月工资表'!AX20</f>
        <v>0</v>
      </c>
      <c r="AY20" s="63">
        <f>AK20</f>
        <v>0</v>
      </c>
      <c r="AZ20" s="63">
        <f>AL20+'1月工资表'!AZ20</f>
        <v>0</v>
      </c>
      <c r="BA20" s="63">
        <f>AM20+'1月工资表'!BA20</f>
        <v>0</v>
      </c>
      <c r="BB20" s="63">
        <f>AN20+'1月工资表'!BB20</f>
        <v>0</v>
      </c>
      <c r="BC20" s="63">
        <f t="shared" si="13"/>
        <v>5319.72</v>
      </c>
      <c r="BD20" s="63">
        <f>ROUND(IF(BC20="","",MAX(0,BC20*{3;10;20;25;30;35;45}%-{0;2520;16920;31920;52920;85920;181920})),2)</f>
        <v>159.59</v>
      </c>
      <c r="BE20" s="63">
        <f>'1月工资表'!BD20</f>
        <v>79.7958</v>
      </c>
      <c r="BF20" s="63">
        <f t="shared" si="9"/>
        <v>79.794200000000004</v>
      </c>
      <c r="BG20" s="36">
        <f t="shared" si="10"/>
        <v>7580.0657999999994</v>
      </c>
    </row>
    <row r="21" spans="1:59" ht="20.149999999999999" customHeight="1" x14ac:dyDescent="0.25">
      <c r="A21" s="14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0"/>
        <v>25000</v>
      </c>
      <c r="O21" s="28">
        <v>20</v>
      </c>
      <c r="P21" s="28">
        <v>20</v>
      </c>
      <c r="Q21" s="36">
        <f t="shared" si="11"/>
        <v>0</v>
      </c>
      <c r="R21" s="36">
        <f t="shared" si="12"/>
        <v>0</v>
      </c>
      <c r="S21" s="36"/>
      <c r="T21" s="36">
        <f t="shared" si="14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1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2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3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4"/>
        <v>25000</v>
      </c>
      <c r="AQ21" s="63">
        <f t="shared" si="5"/>
        <v>640</v>
      </c>
      <c r="AR21" s="63">
        <f t="shared" si="6"/>
        <v>163</v>
      </c>
      <c r="AS21" s="63">
        <f t="shared" si="7"/>
        <v>16</v>
      </c>
      <c r="AT21" s="63">
        <f t="shared" si="8"/>
        <v>400</v>
      </c>
      <c r="AU21" s="63">
        <f>$AP21+'1月工资表'!$AU21</f>
        <v>50000</v>
      </c>
      <c r="AV21" s="63">
        <f>$AO21+'1月工资表'!$AV21</f>
        <v>10000</v>
      </c>
      <c r="AW21" s="63">
        <f>AQ21+AR21+AS21+AT21+'1月工资表'!AW21</f>
        <v>2438</v>
      </c>
      <c r="AX21" s="63">
        <f>AJ21+'1月工资表'!AX21</f>
        <v>0</v>
      </c>
      <c r="AY21" s="63">
        <f>AK21</f>
        <v>0</v>
      </c>
      <c r="AZ21" s="63">
        <f>AL21+'1月工资表'!AZ21</f>
        <v>0</v>
      </c>
      <c r="BA21" s="63">
        <f>AM21+'1月工资表'!BA21</f>
        <v>2000</v>
      </c>
      <c r="BB21" s="63">
        <f>AN21+'1月工资表'!BB21</f>
        <v>0</v>
      </c>
      <c r="BC21" s="63">
        <f t="shared" si="13"/>
        <v>35562</v>
      </c>
      <c r="BD21" s="63">
        <f>ROUND(IF(BC21="","",MAX(0,BC21*{3;10;20;25;30;35;45}%-{0;2520;16920;31920;52920;85920;181920})),2)</f>
        <v>1066.8599999999999</v>
      </c>
      <c r="BE21" s="63">
        <f>'1月工资表'!BD21</f>
        <v>533.42999999999995</v>
      </c>
      <c r="BF21" s="63">
        <f t="shared" si="9"/>
        <v>533.42999999999995</v>
      </c>
      <c r="BG21" s="36">
        <f t="shared" si="10"/>
        <v>23247.57</v>
      </c>
    </row>
    <row r="22" spans="1:59" ht="20.149999999999999" customHeight="1" x14ac:dyDescent="0.25">
      <c r="A22" s="14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0"/>
        <v>0</v>
      </c>
      <c r="O22" s="28"/>
      <c r="P22" s="28"/>
      <c r="Q22" s="36">
        <f t="shared" si="11"/>
        <v>0</v>
      </c>
      <c r="R22" s="36">
        <f t="shared" si="12"/>
        <v>0</v>
      </c>
      <c r="S22" s="36"/>
      <c r="T22" s="36">
        <f t="shared" si="14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1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2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3"/>
        <v>0</v>
      </c>
      <c r="AJ22" s="28"/>
      <c r="AK22" s="28"/>
      <c r="AL22" s="28"/>
      <c r="AM22" s="28"/>
      <c r="AN22" s="28"/>
      <c r="AO22" s="36">
        <v>5000</v>
      </c>
      <c r="AP22" s="63">
        <f t="shared" si="4"/>
        <v>0</v>
      </c>
      <c r="AQ22" s="63">
        <f t="shared" si="5"/>
        <v>0</v>
      </c>
      <c r="AR22" s="63">
        <f t="shared" si="6"/>
        <v>0</v>
      </c>
      <c r="AS22" s="63">
        <f t="shared" si="7"/>
        <v>0</v>
      </c>
      <c r="AT22" s="63">
        <f t="shared" si="8"/>
        <v>0</v>
      </c>
      <c r="AU22" s="63">
        <f>$AP22</f>
        <v>0</v>
      </c>
      <c r="AV22" s="63">
        <f>$AO22+'1月工资表'!$AV22</f>
        <v>10000</v>
      </c>
      <c r="AW22" s="63">
        <f>AQ22+AR22+AS22+AT22</f>
        <v>0</v>
      </c>
      <c r="AX22" s="63">
        <f t="shared" ref="AX22:AY22" si="15">AJ22</f>
        <v>0</v>
      </c>
      <c r="AY22" s="63">
        <f t="shared" si="15"/>
        <v>0</v>
      </c>
      <c r="AZ22" s="63">
        <f>AL22+'1月工资表'!AZ22</f>
        <v>0</v>
      </c>
      <c r="BA22" s="63">
        <f>AM22+'1月工资表'!BA22</f>
        <v>0</v>
      </c>
      <c r="BB22" s="63">
        <f>AN22+'1月工资表'!BB22</f>
        <v>0</v>
      </c>
      <c r="BC22" s="63">
        <f t="shared" si="13"/>
        <v>-10000</v>
      </c>
      <c r="BD22" s="63">
        <f>IF(BC22="","",MAX(0,BC22*{3;10;20;25;30;35;45}%-{0;2520;16920;31920;52920;85920;181920}))</f>
        <v>0</v>
      </c>
      <c r="BE22" s="63"/>
      <c r="BF22" s="63">
        <f t="shared" si="9"/>
        <v>0</v>
      </c>
      <c r="BG22" s="36">
        <f t="shared" si="10"/>
        <v>0</v>
      </c>
    </row>
    <row r="23" spans="1:59" ht="20.149999999999999" customHeight="1" x14ac:dyDescent="0.25">
      <c r="A23" s="14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0"/>
        <v>0</v>
      </c>
      <c r="O23" s="28"/>
      <c r="P23" s="28"/>
      <c r="Q23" s="36">
        <f t="shared" si="11"/>
        <v>0</v>
      </c>
      <c r="R23" s="36">
        <f t="shared" si="12"/>
        <v>0</v>
      </c>
      <c r="S23" s="36"/>
      <c r="T23" s="36">
        <f t="shared" si="14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1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2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3"/>
        <v>0</v>
      </c>
      <c r="AJ23" s="28"/>
      <c r="AK23" s="28"/>
      <c r="AL23" s="28"/>
      <c r="AM23" s="28"/>
      <c r="AN23" s="28"/>
      <c r="AO23" s="36">
        <v>5000</v>
      </c>
      <c r="AP23" s="63">
        <f t="shared" si="4"/>
        <v>0</v>
      </c>
      <c r="AQ23" s="63">
        <f t="shared" si="5"/>
        <v>0</v>
      </c>
      <c r="AR23" s="63">
        <f t="shared" si="6"/>
        <v>0</v>
      </c>
      <c r="AS23" s="63">
        <f t="shared" si="7"/>
        <v>0</v>
      </c>
      <c r="AT23" s="63">
        <f t="shared" si="8"/>
        <v>0</v>
      </c>
      <c r="AU23" s="63">
        <f>$AP23</f>
        <v>0</v>
      </c>
      <c r="AV23" s="63">
        <f>$AO23+'1月工资表'!$AV23</f>
        <v>10000</v>
      </c>
      <c r="AW23" s="63">
        <f>AQ23+AR23+AS23+AT23</f>
        <v>0</v>
      </c>
      <c r="AX23" s="63">
        <f t="shared" ref="AX23:AY23" si="16">AJ23</f>
        <v>0</v>
      </c>
      <c r="AY23" s="63">
        <f t="shared" si="16"/>
        <v>0</v>
      </c>
      <c r="AZ23" s="63">
        <f>AL23+'1月工资表'!AZ23</f>
        <v>0</v>
      </c>
      <c r="BA23" s="63">
        <f>AM23+'1月工资表'!BA23</f>
        <v>0</v>
      </c>
      <c r="BB23" s="63">
        <f>AN23+'1月工资表'!BB23</f>
        <v>0</v>
      </c>
      <c r="BC23" s="63">
        <f t="shared" si="13"/>
        <v>-10000</v>
      </c>
      <c r="BD23" s="63">
        <f>IF(BC23="","",MAX(0,BC23*{3;10;20;25;30;35;45}%-{0;2520;16920;31920;52920;85920;181920}))</f>
        <v>0</v>
      </c>
      <c r="BE23" s="63"/>
      <c r="BF23" s="63">
        <f t="shared" si="9"/>
        <v>0</v>
      </c>
      <c r="BG23" s="36">
        <f t="shared" si="10"/>
        <v>0</v>
      </c>
    </row>
    <row r="24" spans="1:59" s="42" customFormat="1" ht="20.149999999999999" customHeight="1" x14ac:dyDescent="0.25">
      <c r="A24" s="50" t="s">
        <v>105</v>
      </c>
      <c r="G24" s="42">
        <f t="shared" ref="G24:N24" si="17">SUM(G5:G23)</f>
        <v>73600</v>
      </c>
      <c r="H24" s="42">
        <f t="shared" si="17"/>
        <v>21800</v>
      </c>
      <c r="I24" s="42">
        <f t="shared" si="17"/>
        <v>52800</v>
      </c>
      <c r="J24" s="42">
        <f t="shared" si="17"/>
        <v>35800</v>
      </c>
      <c r="K24" s="42">
        <f t="shared" si="17"/>
        <v>5000</v>
      </c>
      <c r="L24" s="42">
        <f t="shared" si="17"/>
        <v>37500</v>
      </c>
      <c r="M24" s="42">
        <f t="shared" si="17"/>
        <v>51000</v>
      </c>
      <c r="N24" s="42">
        <f t="shared" si="17"/>
        <v>277500</v>
      </c>
      <c r="Q24" s="42">
        <f>SUM(Q5:Q23)</f>
        <v>0</v>
      </c>
      <c r="R24" s="42">
        <f>SUM(R5:R23)</f>
        <v>0</v>
      </c>
      <c r="T24" s="42">
        <f>SUM(T5:T23)</f>
        <v>220250</v>
      </c>
      <c r="V24" s="42">
        <f t="shared" ref="V24:AE24" si="18">SUM(V5:V23)</f>
        <v>18160</v>
      </c>
      <c r="W24" s="42">
        <f t="shared" si="18"/>
        <v>908</v>
      </c>
      <c r="X24" s="42">
        <f t="shared" si="18"/>
        <v>227</v>
      </c>
      <c r="Y24" s="42">
        <f t="shared" si="18"/>
        <v>11529.900000000001</v>
      </c>
      <c r="Z24" s="42">
        <f t="shared" si="18"/>
        <v>922.42000000000019</v>
      </c>
      <c r="AA24" s="42">
        <f t="shared" si="18"/>
        <v>31747.32</v>
      </c>
      <c r="AB24" s="42">
        <f t="shared" si="18"/>
        <v>9080</v>
      </c>
      <c r="AC24" s="42">
        <f t="shared" si="18"/>
        <v>135</v>
      </c>
      <c r="AD24" s="42">
        <f t="shared" si="18"/>
        <v>2356.98</v>
      </c>
      <c r="AE24" s="42">
        <f t="shared" si="18"/>
        <v>11571.979999999998</v>
      </c>
      <c r="AG24" s="42">
        <f t="shared" ref="AG24:AI24" si="19">SUM(AG5:AG23)</f>
        <v>5675</v>
      </c>
      <c r="AH24" s="42">
        <f t="shared" si="19"/>
        <v>5675</v>
      </c>
      <c r="AI24" s="42">
        <f t="shared" si="19"/>
        <v>11350</v>
      </c>
      <c r="AP24" s="42">
        <f t="shared" ref="AP24:BG24" si="20">SUM(AP5:AP23)</f>
        <v>220250</v>
      </c>
      <c r="AQ24" s="42">
        <f t="shared" si="20"/>
        <v>9080</v>
      </c>
      <c r="AR24" s="42">
        <f t="shared" si="20"/>
        <v>2356.98</v>
      </c>
      <c r="AS24" s="42">
        <f t="shared" si="20"/>
        <v>135</v>
      </c>
      <c r="AT24" s="42">
        <f t="shared" si="20"/>
        <v>5675</v>
      </c>
      <c r="AU24" s="42">
        <f t="shared" si="20"/>
        <v>458152.29999999993</v>
      </c>
      <c r="AV24" s="42">
        <f t="shared" si="20"/>
        <v>190000</v>
      </c>
      <c r="AW24" s="42">
        <f t="shared" si="20"/>
        <v>34493.959999999992</v>
      </c>
      <c r="AX24" s="42">
        <f t="shared" si="20"/>
        <v>8000</v>
      </c>
      <c r="AY24" s="42">
        <f t="shared" si="20"/>
        <v>20000</v>
      </c>
      <c r="AZ24" s="42">
        <f t="shared" si="20"/>
        <v>800</v>
      </c>
      <c r="BA24" s="42">
        <f t="shared" si="20"/>
        <v>6000</v>
      </c>
      <c r="BB24" s="42">
        <f t="shared" si="20"/>
        <v>3000</v>
      </c>
      <c r="BC24" s="42">
        <f t="shared" si="20"/>
        <v>195858.34</v>
      </c>
      <c r="BD24" s="42">
        <f t="shared" si="20"/>
        <v>6628.5899999999992</v>
      </c>
      <c r="BE24" s="42">
        <f t="shared" si="20"/>
        <v>3531.4346999999998</v>
      </c>
      <c r="BF24" s="42">
        <f t="shared" si="20"/>
        <v>3133.1673000000001</v>
      </c>
      <c r="BG24" s="42">
        <f t="shared" si="20"/>
        <v>199869.85270000002</v>
      </c>
    </row>
    <row r="25" spans="1:59" ht="20.149999999999999" customHeight="1" x14ac:dyDescent="0.25">
      <c r="B25" s="51" t="s">
        <v>106</v>
      </c>
      <c r="C25" s="52">
        <f>AA24+AE24</f>
        <v>43319.299999999996</v>
      </c>
    </row>
    <row r="26" spans="1:59" ht="20.149999999999999" customHeight="1" x14ac:dyDescent="0.25">
      <c r="B26" s="51" t="s">
        <v>107</v>
      </c>
      <c r="C26" s="52">
        <f>AI24</f>
        <v>11350</v>
      </c>
    </row>
    <row r="27" spans="1:59" ht="20.149999999999999" customHeight="1" x14ac:dyDescent="0.25">
      <c r="B27" s="51" t="s">
        <v>108</v>
      </c>
      <c r="C27" s="52">
        <f>T24+AA24+AG24</f>
        <v>257672.32000000001</v>
      </c>
    </row>
  </sheetData>
  <mergeCells count="36">
    <mergeCell ref="BF2:BF4"/>
    <mergeCell ref="BG2:BG4"/>
    <mergeCell ref="AJ2:AN3"/>
    <mergeCell ref="AX2:BB3"/>
    <mergeCell ref="O2:R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  <mergeCell ref="AU2:AU4"/>
    <mergeCell ref="L2:L4"/>
    <mergeCell ref="M2:M4"/>
    <mergeCell ref="N2:N4"/>
    <mergeCell ref="S2:S4"/>
    <mergeCell ref="T2:T4"/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honeticPr fontId="21" type="noConversion"/>
  <dataValidations count="1">
    <dataValidation type="list" allowBlank="1" showInputMessage="1" showErrorMessage="1" sqref="E5:E23" xr:uid="{00000000-0002-0000-0600-000000000000}">
      <formula1>"城镇,农村"</formula1>
    </dataValidation>
  </dataValidations>
  <pageMargins left="0.75" right="0.75" top="1" bottom="1" header="0.5" footer="0.5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7"/>
  <sheetViews>
    <sheetView workbookViewId="0">
      <selection sqref="A1:XFD1048576"/>
    </sheetView>
  </sheetViews>
  <sheetFormatPr defaultColWidth="9" defaultRowHeight="20.149999999999999" customHeight="1" x14ac:dyDescent="0.25"/>
  <cols>
    <col min="1" max="1" width="4.7265625" style="16" customWidth="1"/>
    <col min="2" max="2" width="4.7265625" style="17" customWidth="1"/>
    <col min="3" max="3" width="6.36328125" style="16" customWidth="1"/>
    <col min="4" max="4" width="9" style="18" customWidth="1"/>
    <col min="5" max="5" width="9.453125" style="18" customWidth="1"/>
    <col min="6" max="6" width="9.6328125" style="18" customWidth="1"/>
    <col min="7" max="7" width="9.36328125" style="18" customWidth="1"/>
    <col min="8" max="8" width="9.26953125" style="18" customWidth="1"/>
    <col min="9" max="9" width="10.08984375" style="18" customWidth="1"/>
    <col min="10" max="10" width="9.08984375" style="18" customWidth="1"/>
    <col min="11" max="11" width="10.7265625" style="18" customWidth="1"/>
    <col min="12" max="12" width="6.36328125" style="19" customWidth="1"/>
    <col min="13" max="13" width="8" style="19" customWidth="1"/>
    <col min="14" max="14" width="5.90625" style="19" customWidth="1"/>
    <col min="15" max="15" width="9.90625" style="20" customWidth="1"/>
    <col min="16" max="16" width="10.36328125" style="20" customWidth="1"/>
    <col min="17" max="17" width="9.36328125" style="21" customWidth="1"/>
    <col min="18" max="18" width="6.90625" style="21" customWidth="1"/>
    <col min="19" max="19" width="8" style="21" customWidth="1"/>
    <col min="20" max="20" width="5.453125" style="21" customWidth="1"/>
    <col min="21" max="21" width="13.36328125" style="21" customWidth="1"/>
    <col min="22" max="22" width="8.26953125" style="21" customWidth="1"/>
    <col min="23" max="23" width="10.90625" style="21" customWidth="1"/>
    <col min="24" max="16384" width="9" style="16"/>
  </cols>
  <sheetData>
    <row r="1" spans="1:23" ht="20.149999999999999" customHeight="1" x14ac:dyDescent="0.25">
      <c r="A1" s="253" t="s">
        <v>115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</row>
    <row r="2" spans="1:23" ht="20.149999999999999" customHeight="1" x14ac:dyDescent="0.25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49999999999999" customHeight="1" x14ac:dyDescent="0.25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20</v>
      </c>
      <c r="M3" s="28">
        <v>20</v>
      </c>
      <c r="N3" s="36">
        <f>IF(L3="",0,L3-M3)</f>
        <v>0</v>
      </c>
      <c r="O3" s="36">
        <v>19500</v>
      </c>
      <c r="P3" s="36">
        <v>10500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107.55</v>
      </c>
      <c r="W3" s="28">
        <v>9477.4500000000007</v>
      </c>
    </row>
    <row r="5" spans="1:23" ht="20.149999999999999" customHeight="1" x14ac:dyDescent="0.25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49999999999999" customHeight="1" x14ac:dyDescent="0.25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20</v>
      </c>
      <c r="M6" s="28">
        <v>20</v>
      </c>
      <c r="N6" s="36">
        <f>IF(L6="",0,L6-M6)</f>
        <v>0</v>
      </c>
      <c r="O6" s="36">
        <v>13000</v>
      </c>
      <c r="P6" s="36">
        <f>K6-O6</f>
        <v>7000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/>
      <c r="W6" s="28">
        <v>6100.2</v>
      </c>
    </row>
    <row r="8" spans="1:23" ht="20.149999999999999" customHeight="1" x14ac:dyDescent="0.25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49999999999999" customHeight="1" x14ac:dyDescent="0.25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20</v>
      </c>
      <c r="M9" s="28">
        <v>20</v>
      </c>
      <c r="N9" s="36">
        <f>IF(L9="",0,L9-M9)</f>
        <v>0</v>
      </c>
      <c r="O9" s="36">
        <v>13000</v>
      </c>
      <c r="P9" s="36">
        <f>K9-O9</f>
        <v>7000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/>
      <c r="W9" s="28">
        <v>6100.2</v>
      </c>
    </row>
    <row r="11" spans="1:23" ht="20.149999999999999" customHeight="1" x14ac:dyDescent="0.25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49999999999999" customHeight="1" x14ac:dyDescent="0.25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20</v>
      </c>
      <c r="M12" s="28">
        <v>20</v>
      </c>
      <c r="N12" s="36">
        <f>IF(L12="",0,L12-M12)</f>
        <v>0</v>
      </c>
      <c r="O12" s="36">
        <v>5000</v>
      </c>
      <c r="P12" s="36">
        <f>K12-O12</f>
        <v>15000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186.38</v>
      </c>
      <c r="W12" s="28">
        <v>14026.28</v>
      </c>
    </row>
    <row r="14" spans="1:23" ht="20.149999999999999" customHeight="1" x14ac:dyDescent="0.25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49999999999999" customHeight="1" x14ac:dyDescent="0.25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20</v>
      </c>
      <c r="M15" s="28">
        <v>20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49999999999999" customHeight="1" x14ac:dyDescent="0.25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49999999999999" customHeight="1" x14ac:dyDescent="0.25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20</v>
      </c>
      <c r="M18" s="28">
        <v>20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49999999999999" customHeight="1" x14ac:dyDescent="0.25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49999999999999" customHeight="1" x14ac:dyDescent="0.25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20</v>
      </c>
      <c r="M21" s="28">
        <v>20</v>
      </c>
      <c r="N21" s="36">
        <f>IF(L21="",0,L21-M21)</f>
        <v>0</v>
      </c>
      <c r="O21" s="36">
        <f>IF(L21="",0,ROUND(K21/21.75*N21,2))</f>
        <v>0</v>
      </c>
      <c r="P21" s="36">
        <f>K21-O21</f>
        <v>9000</v>
      </c>
      <c r="Q21" s="28">
        <v>640</v>
      </c>
      <c r="R21" s="28"/>
      <c r="S21" s="28">
        <v>163</v>
      </c>
      <c r="T21" s="32">
        <v>400</v>
      </c>
      <c r="U21" s="28"/>
      <c r="V21" s="28">
        <v>83.91</v>
      </c>
      <c r="W21" s="28">
        <v>7713.09</v>
      </c>
    </row>
    <row r="23" spans="1:23" ht="20.149999999999999" customHeight="1" x14ac:dyDescent="0.25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49999999999999" customHeight="1" x14ac:dyDescent="0.25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20</v>
      </c>
      <c r="M24" s="28">
        <v>20</v>
      </c>
      <c r="N24" s="36">
        <f>IF(L24="",0,L24-M24)</f>
        <v>0</v>
      </c>
      <c r="O24" s="36">
        <v>6750</v>
      </c>
      <c r="P24" s="36">
        <f>K24-O24</f>
        <v>20250</v>
      </c>
      <c r="Q24" s="28">
        <v>416</v>
      </c>
      <c r="R24" s="28"/>
      <c r="S24" s="28">
        <v>114.14</v>
      </c>
      <c r="T24" s="32">
        <v>260</v>
      </c>
      <c r="U24" s="28"/>
      <c r="V24" s="28">
        <v>433.79</v>
      </c>
      <c r="W24" s="28">
        <v>19026.07</v>
      </c>
    </row>
    <row r="26" spans="1:23" ht="20.149999999999999" customHeight="1" x14ac:dyDescent="0.25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49999999999999" customHeight="1" x14ac:dyDescent="0.25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20</v>
      </c>
      <c r="M27" s="28">
        <v>20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49999999999999" customHeight="1" x14ac:dyDescent="0.25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49999999999999" customHeight="1" x14ac:dyDescent="0.25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20</v>
      </c>
      <c r="M30" s="28">
        <v>20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49999999999999" customHeight="1" x14ac:dyDescent="0.25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49999999999999" customHeight="1" x14ac:dyDescent="0.25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20</v>
      </c>
      <c r="M33" s="28">
        <v>20</v>
      </c>
      <c r="N33" s="36">
        <f>IF(L33="",0,L33-M33)</f>
        <v>0</v>
      </c>
      <c r="O33" s="36">
        <f>IF(L33="",0,ROUND(K33/21.75*N33,2))</f>
        <v>0</v>
      </c>
      <c r="P33" s="36">
        <f>K33-O33</f>
        <v>11000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139.78</v>
      </c>
      <c r="W33" s="28">
        <v>9519.6200000000008</v>
      </c>
    </row>
    <row r="35" spans="1:23" ht="20.149999999999999" customHeight="1" x14ac:dyDescent="0.25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49999999999999" customHeight="1" x14ac:dyDescent="0.25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20</v>
      </c>
      <c r="M36" s="28">
        <v>20</v>
      </c>
      <c r="N36" s="36">
        <f>IF(L36="",0,L36-M36)</f>
        <v>0</v>
      </c>
      <c r="O36" s="36">
        <f>IF(L36="",0,ROUND(K36/21.75*N36,2))</f>
        <v>0</v>
      </c>
      <c r="P36" s="36">
        <f>K36-O36</f>
        <v>8000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>
        <v>9.3800000000000008</v>
      </c>
      <c r="W36" s="28">
        <v>7014.82</v>
      </c>
    </row>
    <row r="38" spans="1:23" ht="20.149999999999999" customHeight="1" x14ac:dyDescent="0.25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49999999999999" customHeight="1" x14ac:dyDescent="0.25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20</v>
      </c>
      <c r="M39" s="28">
        <v>20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425.13</v>
      </c>
      <c r="W39" s="28">
        <v>18745.73</v>
      </c>
    </row>
    <row r="41" spans="1:23" ht="20.149999999999999" customHeight="1" x14ac:dyDescent="0.25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49999999999999" customHeight="1" x14ac:dyDescent="0.25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28">
        <v>20</v>
      </c>
      <c r="M42" s="28">
        <v>20</v>
      </c>
      <c r="N42" s="36">
        <f>IF(L42="",0,L42-M42)</f>
        <v>0</v>
      </c>
      <c r="O42" s="36">
        <f>IF(L42="",0,ROUND(K42/21.75*N42,2))</f>
        <v>0</v>
      </c>
      <c r="P42" s="36">
        <f>K42-O42</f>
        <v>12000</v>
      </c>
      <c r="Q42" s="28">
        <v>440</v>
      </c>
      <c r="R42" s="28"/>
      <c r="S42" s="28">
        <v>114.14</v>
      </c>
      <c r="T42" s="32">
        <v>275</v>
      </c>
      <c r="U42" s="28"/>
      <c r="V42" s="28">
        <v>185.13</v>
      </c>
      <c r="W42" s="28">
        <v>10985.73</v>
      </c>
    </row>
    <row r="44" spans="1:23" ht="20.149999999999999" customHeight="1" x14ac:dyDescent="0.25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49999999999999" customHeight="1" x14ac:dyDescent="0.25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28">
        <v>20</v>
      </c>
      <c r="M45" s="28">
        <v>20</v>
      </c>
      <c r="N45" s="36">
        <f>IF(L45="",0,L45-M45)</f>
        <v>0</v>
      </c>
      <c r="O45" s="36">
        <f>IF(L45="",0,ROUND(K45/21.75*N45,2))</f>
        <v>0</v>
      </c>
      <c r="P45" s="36">
        <f>K45-O45</f>
        <v>18000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304.8</v>
      </c>
      <c r="W45" s="28">
        <v>16855.060000000001</v>
      </c>
    </row>
    <row r="47" spans="1:23" ht="20.149999999999999" customHeight="1" x14ac:dyDescent="0.25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49999999999999" customHeight="1" x14ac:dyDescent="0.25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20</v>
      </c>
      <c r="M48" s="28">
        <v>20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49999999999999" customHeight="1" x14ac:dyDescent="0.25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49999999999999" customHeight="1" x14ac:dyDescent="0.25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20</v>
      </c>
      <c r="M51" s="28">
        <v>20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533.42999999999995</v>
      </c>
      <c r="W51" s="28">
        <v>23247.57</v>
      </c>
    </row>
    <row r="53" spans="1:23" ht="20.149999999999999" customHeight="1" x14ac:dyDescent="0.25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49999999999999" customHeight="1" x14ac:dyDescent="0.25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49999999999999" customHeight="1" x14ac:dyDescent="0.25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49999999999999" customHeight="1" x14ac:dyDescent="0.25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"/>
  <sheetViews>
    <sheetView workbookViewId="0">
      <pane ySplit="6" topLeftCell="A10" activePane="bottomLeft" state="frozen"/>
      <selection pane="bottomLeft" activeCell="E22" sqref="E22"/>
    </sheetView>
  </sheetViews>
  <sheetFormatPr defaultColWidth="9" defaultRowHeight="20.149999999999999" customHeight="1" x14ac:dyDescent="0.25"/>
  <cols>
    <col min="1" max="1" width="6" style="1" customWidth="1"/>
    <col min="2" max="16384" width="9" style="1"/>
  </cols>
  <sheetData>
    <row r="2" spans="2:14" ht="20.149999999999999" customHeight="1" x14ac:dyDescent="0.25">
      <c r="B2" s="260" t="s">
        <v>121</v>
      </c>
      <c r="C2" s="255" t="s">
        <v>122</v>
      </c>
      <c r="D2" s="256"/>
      <c r="E2" s="256"/>
      <c r="F2" s="256"/>
      <c r="G2" s="256"/>
      <c r="H2" s="257"/>
      <c r="I2" s="255" t="s">
        <v>123</v>
      </c>
      <c r="J2" s="256"/>
      <c r="K2" s="256"/>
      <c r="L2" s="257"/>
      <c r="M2" s="258" t="s">
        <v>110</v>
      </c>
      <c r="N2" s="259"/>
    </row>
    <row r="3" spans="2:14" ht="20.149999999999999" customHeight="1" x14ac:dyDescent="0.25">
      <c r="B3" s="260"/>
      <c r="C3" s="3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5" t="s">
        <v>129</v>
      </c>
      <c r="I3" s="4" t="s">
        <v>124</v>
      </c>
      <c r="J3" s="4" t="s">
        <v>125</v>
      </c>
      <c r="K3" s="12" t="s">
        <v>127</v>
      </c>
      <c r="L3" s="13" t="s">
        <v>129</v>
      </c>
      <c r="M3" s="5" t="s">
        <v>130</v>
      </c>
      <c r="N3" s="5" t="s">
        <v>131</v>
      </c>
    </row>
    <row r="4" spans="2:14" ht="20.149999999999999" customHeight="1" x14ac:dyDescent="0.25">
      <c r="B4" s="2" t="s">
        <v>132</v>
      </c>
      <c r="C4" s="3">
        <v>0.16</v>
      </c>
      <c r="D4" s="3">
        <v>8.0000000000000002E-3</v>
      </c>
      <c r="E4" s="6">
        <v>2E-3</v>
      </c>
      <c r="F4" s="3">
        <v>0.1</v>
      </c>
      <c r="G4" s="3">
        <v>8.0000000000000002E-3</v>
      </c>
      <c r="H4" s="3"/>
      <c r="I4" s="3">
        <v>0.08</v>
      </c>
      <c r="J4" s="3">
        <v>2E-3</v>
      </c>
      <c r="K4" s="14" t="s">
        <v>36</v>
      </c>
      <c r="L4" s="14"/>
      <c r="M4" s="3" t="s">
        <v>133</v>
      </c>
      <c r="N4" s="3" t="s">
        <v>133</v>
      </c>
    </row>
    <row r="5" spans="2:14" ht="20.149999999999999" customHeight="1" x14ac:dyDescent="0.25">
      <c r="B5" s="2" t="s">
        <v>134</v>
      </c>
      <c r="C5" s="7">
        <v>3613</v>
      </c>
      <c r="D5" s="7">
        <v>3613</v>
      </c>
      <c r="E5" s="8">
        <v>4713</v>
      </c>
      <c r="F5" s="9">
        <v>5557</v>
      </c>
      <c r="G5" s="9">
        <v>5557</v>
      </c>
      <c r="H5" s="9"/>
      <c r="I5" s="7">
        <v>3613</v>
      </c>
      <c r="J5" s="7">
        <v>3613</v>
      </c>
      <c r="K5" s="9">
        <v>5557</v>
      </c>
      <c r="L5" s="9"/>
      <c r="M5" s="15">
        <v>2200</v>
      </c>
      <c r="N5" s="15">
        <v>2200</v>
      </c>
    </row>
    <row r="6" spans="2:14" ht="20.149999999999999" customHeight="1" x14ac:dyDescent="0.25">
      <c r="B6" s="2" t="s">
        <v>135</v>
      </c>
      <c r="C6" s="10">
        <v>23565</v>
      </c>
      <c r="D6" s="10">
        <v>23565</v>
      </c>
      <c r="E6" s="10">
        <v>23565</v>
      </c>
      <c r="F6" s="11">
        <v>27786</v>
      </c>
      <c r="G6" s="11">
        <v>27786</v>
      </c>
      <c r="H6" s="11"/>
      <c r="I6" s="10">
        <v>23565</v>
      </c>
      <c r="J6" s="10">
        <v>23565</v>
      </c>
      <c r="K6" s="11">
        <v>27786</v>
      </c>
      <c r="L6" s="11"/>
      <c r="M6" s="11">
        <v>27786</v>
      </c>
      <c r="N6" s="11">
        <v>27786</v>
      </c>
    </row>
  </sheetData>
  <mergeCells count="4">
    <mergeCell ref="C2:H2"/>
    <mergeCell ref="I2:L2"/>
    <mergeCell ref="M2:N2"/>
    <mergeCell ref="B2:B3"/>
  </mergeCells>
  <phoneticPr fontId="2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6"/>
  <sheetViews>
    <sheetView workbookViewId="0">
      <pane ySplit="6" topLeftCell="A7" activePane="bottomLeft" state="frozen"/>
      <selection pane="bottomLeft" activeCell="E23" sqref="E23"/>
    </sheetView>
  </sheetViews>
  <sheetFormatPr defaultColWidth="9" defaultRowHeight="20.149999999999999" customHeight="1" x14ac:dyDescent="0.25"/>
  <cols>
    <col min="1" max="1" width="6" style="1" customWidth="1"/>
    <col min="2" max="16384" width="9" style="1"/>
  </cols>
  <sheetData>
    <row r="2" spans="2:14" ht="20.149999999999999" customHeight="1" x14ac:dyDescent="0.25">
      <c r="B2" s="260" t="s">
        <v>121</v>
      </c>
      <c r="C2" s="255" t="s">
        <v>122</v>
      </c>
      <c r="D2" s="256"/>
      <c r="E2" s="256"/>
      <c r="F2" s="256"/>
      <c r="G2" s="256"/>
      <c r="H2" s="257"/>
      <c r="I2" s="255" t="s">
        <v>123</v>
      </c>
      <c r="J2" s="256"/>
      <c r="K2" s="256"/>
      <c r="L2" s="257"/>
      <c r="M2" s="258" t="s">
        <v>110</v>
      </c>
      <c r="N2" s="259"/>
    </row>
    <row r="3" spans="2:14" ht="20.149999999999999" customHeight="1" x14ac:dyDescent="0.25">
      <c r="B3" s="260"/>
      <c r="C3" s="3" t="s">
        <v>124</v>
      </c>
      <c r="D3" s="4" t="s">
        <v>125</v>
      </c>
      <c r="E3" s="4" t="s">
        <v>126</v>
      </c>
      <c r="F3" s="4" t="s">
        <v>127</v>
      </c>
      <c r="G3" s="4" t="s">
        <v>128</v>
      </c>
      <c r="H3" s="5" t="s">
        <v>129</v>
      </c>
      <c r="I3" s="4" t="s">
        <v>124</v>
      </c>
      <c r="J3" s="4" t="s">
        <v>125</v>
      </c>
      <c r="K3" s="12" t="s">
        <v>127</v>
      </c>
      <c r="L3" s="13" t="s">
        <v>129</v>
      </c>
      <c r="M3" s="5" t="s">
        <v>130</v>
      </c>
      <c r="N3" s="5" t="s">
        <v>131</v>
      </c>
    </row>
    <row r="4" spans="2:14" ht="20.149999999999999" customHeight="1" x14ac:dyDescent="0.25">
      <c r="B4" s="2" t="s">
        <v>132</v>
      </c>
      <c r="C4" s="3">
        <v>0.16</v>
      </c>
      <c r="D4" s="3">
        <v>8.0000000000000002E-3</v>
      </c>
      <c r="E4" s="6">
        <v>2E-3</v>
      </c>
      <c r="F4" s="3">
        <v>0.1</v>
      </c>
      <c r="G4" s="3">
        <v>8.0000000000000002E-3</v>
      </c>
      <c r="H4" s="3"/>
      <c r="I4" s="3">
        <v>0.08</v>
      </c>
      <c r="J4" s="3">
        <v>2E-3</v>
      </c>
      <c r="K4" s="14" t="s">
        <v>36</v>
      </c>
      <c r="L4" s="14"/>
      <c r="M4" s="3" t="s">
        <v>133</v>
      </c>
      <c r="N4" s="3" t="s">
        <v>133</v>
      </c>
    </row>
    <row r="5" spans="2:14" ht="20.149999999999999" customHeight="1" x14ac:dyDescent="0.25">
      <c r="B5" s="2" t="s">
        <v>134</v>
      </c>
      <c r="C5" s="7">
        <v>3613</v>
      </c>
      <c r="D5" s="7">
        <v>3613</v>
      </c>
      <c r="E5" s="8">
        <v>4713</v>
      </c>
      <c r="F5" s="9">
        <v>5557</v>
      </c>
      <c r="G5" s="9">
        <v>5557</v>
      </c>
      <c r="H5" s="9"/>
      <c r="I5" s="7">
        <v>3613</v>
      </c>
      <c r="J5" s="7">
        <v>3613</v>
      </c>
      <c r="K5" s="9">
        <v>5557</v>
      </c>
      <c r="L5" s="9"/>
      <c r="M5" s="15">
        <v>2200</v>
      </c>
      <c r="N5" s="15">
        <v>2200</v>
      </c>
    </row>
    <row r="6" spans="2:14" ht="20.149999999999999" customHeight="1" x14ac:dyDescent="0.25">
      <c r="B6" s="2" t="s">
        <v>135</v>
      </c>
      <c r="C6" s="10">
        <v>23565</v>
      </c>
      <c r="D6" s="10">
        <v>23565</v>
      </c>
      <c r="E6" s="10">
        <v>23565</v>
      </c>
      <c r="F6" s="11">
        <v>27786</v>
      </c>
      <c r="G6" s="11">
        <v>27786</v>
      </c>
      <c r="H6" s="11"/>
      <c r="I6" s="10">
        <v>23565</v>
      </c>
      <c r="J6" s="10">
        <v>23565</v>
      </c>
      <c r="K6" s="11">
        <v>27786</v>
      </c>
      <c r="L6" s="11"/>
      <c r="M6" s="11">
        <v>27786</v>
      </c>
      <c r="N6" s="11">
        <v>27786</v>
      </c>
    </row>
  </sheetData>
  <mergeCells count="4">
    <mergeCell ref="C2:H2"/>
    <mergeCell ref="I2:L2"/>
    <mergeCell ref="M2:N2"/>
    <mergeCell ref="B2:B3"/>
  </mergeCells>
  <phoneticPr fontId="2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39E49-0F46-4CBA-9B53-DAF508A5242A}">
  <dimension ref="A1:S34"/>
  <sheetViews>
    <sheetView workbookViewId="0">
      <selection sqref="A1:XFD1048576"/>
    </sheetView>
  </sheetViews>
  <sheetFormatPr defaultRowHeight="14" x14ac:dyDescent="0.25"/>
  <cols>
    <col min="1" max="1" width="2.453125" style="166" customWidth="1"/>
    <col min="2" max="18" width="8.7265625" style="166"/>
    <col min="19" max="19" width="3.26953125" style="169" bestFit="1" customWidth="1"/>
    <col min="20" max="16384" width="8.7265625" style="166"/>
  </cols>
  <sheetData>
    <row r="1" spans="1:18" s="238" customFormat="1" ht="27.5" customHeight="1" x14ac:dyDescent="0.25">
      <c r="A1" s="238" t="s">
        <v>167</v>
      </c>
    </row>
    <row r="2" spans="1:18" x14ac:dyDescent="0.25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43</v>
      </c>
      <c r="K2" s="30" t="s">
        <v>45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169</v>
      </c>
      <c r="R2" s="92" t="s">
        <v>35</v>
      </c>
    </row>
    <row r="3" spans="1:18" x14ac:dyDescent="0.25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</v>
      </c>
      <c r="K3" s="28">
        <v>123</v>
      </c>
      <c r="L3" s="28">
        <v>300</v>
      </c>
      <c r="M3" s="28"/>
      <c r="N3" s="28">
        <v>1000</v>
      </c>
      <c r="O3" s="28"/>
      <c r="P3" s="28"/>
      <c r="Q3" s="165">
        <v>0</v>
      </c>
      <c r="R3" s="165">
        <v>0</v>
      </c>
    </row>
    <row r="4" spans="1:18" s="239" customFormat="1" ht="11" customHeight="1" x14ac:dyDescent="0.25"/>
    <row r="5" spans="1:18" x14ac:dyDescent="0.25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43</v>
      </c>
      <c r="K5" s="30" t="s">
        <v>45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169</v>
      </c>
      <c r="R5" s="92" t="s">
        <v>35</v>
      </c>
    </row>
    <row r="6" spans="1:18" x14ac:dyDescent="0.25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65">
        <v>0</v>
      </c>
      <c r="R6" s="165">
        <v>0</v>
      </c>
    </row>
    <row r="7" spans="1:18" x14ac:dyDescent="0.25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 x14ac:dyDescent="0.25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43</v>
      </c>
      <c r="K8" s="30" t="s">
        <v>45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169</v>
      </c>
      <c r="R8" s="92" t="s">
        <v>35</v>
      </c>
    </row>
    <row r="9" spans="1:18" x14ac:dyDescent="0.25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11.8</v>
      </c>
      <c r="K9" s="28">
        <v>121</v>
      </c>
      <c r="L9" s="28">
        <v>295</v>
      </c>
      <c r="M9" s="28"/>
      <c r="N9" s="28">
        <v>2000</v>
      </c>
      <c r="O9" s="28"/>
      <c r="P9" s="28">
        <v>1000</v>
      </c>
      <c r="Q9" s="165">
        <v>0</v>
      </c>
      <c r="R9" s="165">
        <v>0</v>
      </c>
    </row>
    <row r="10" spans="1:18" x14ac:dyDescent="0.25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 x14ac:dyDescent="0.25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43</v>
      </c>
      <c r="K11" s="30" t="s">
        <v>45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169</v>
      </c>
      <c r="R11" s="92" t="s">
        <v>35</v>
      </c>
    </row>
    <row r="12" spans="1:18" x14ac:dyDescent="0.25">
      <c r="B12" s="77">
        <v>4</v>
      </c>
      <c r="C12" s="29" t="s">
        <v>67</v>
      </c>
      <c r="D12" s="28">
        <v>3000</v>
      </c>
      <c r="E12" s="28"/>
      <c r="F12" s="28"/>
      <c r="G12" s="28">
        <v>490.5</v>
      </c>
      <c r="H12" s="28">
        <v>2509.5</v>
      </c>
      <c r="I12" s="28">
        <v>408</v>
      </c>
      <c r="J12" s="28">
        <v>10.199999999999999</v>
      </c>
      <c r="K12" s="28">
        <v>114.14</v>
      </c>
      <c r="L12" s="28">
        <v>255</v>
      </c>
      <c r="M12" s="28">
        <v>1000</v>
      </c>
      <c r="N12" s="28">
        <v>2000</v>
      </c>
      <c r="O12" s="28"/>
      <c r="P12" s="28"/>
      <c r="Q12" s="165">
        <v>0</v>
      </c>
      <c r="R12" s="165">
        <v>0</v>
      </c>
    </row>
    <row r="13" spans="1:18" x14ac:dyDescent="0.25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 x14ac:dyDescent="0.25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43</v>
      </c>
      <c r="K14" s="30" t="s">
        <v>45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169</v>
      </c>
      <c r="R14" s="92" t="s">
        <v>35</v>
      </c>
    </row>
    <row r="15" spans="1:18" x14ac:dyDescent="0.25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9.6</v>
      </c>
      <c r="K15" s="28">
        <v>114.14</v>
      </c>
      <c r="L15" s="28">
        <v>240</v>
      </c>
      <c r="M15" s="28">
        <v>1000</v>
      </c>
      <c r="N15" s="28">
        <v>2000</v>
      </c>
      <c r="O15" s="28"/>
      <c r="P15" s="28"/>
      <c r="Q15" s="165">
        <v>0</v>
      </c>
      <c r="R15" s="165">
        <v>0</v>
      </c>
    </row>
    <row r="16" spans="1:18" x14ac:dyDescent="0.25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18" x14ac:dyDescent="0.25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43</v>
      </c>
      <c r="K17" s="30" t="s">
        <v>45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169</v>
      </c>
      <c r="R17" s="92" t="s">
        <v>35</v>
      </c>
    </row>
    <row r="18" spans="2:18" x14ac:dyDescent="0.25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0</v>
      </c>
      <c r="K18" s="28">
        <v>114.14</v>
      </c>
      <c r="L18" s="28">
        <v>260</v>
      </c>
      <c r="M18" s="28"/>
      <c r="N18" s="28"/>
      <c r="O18" s="28"/>
      <c r="P18" s="28"/>
      <c r="Q18" s="165">
        <v>1310.9900000000002</v>
      </c>
      <c r="R18" s="165">
        <v>16798.87</v>
      </c>
    </row>
    <row r="19" spans="2:18" x14ac:dyDescent="0.25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18" x14ac:dyDescent="0.25">
      <c r="B20" s="80" t="s">
        <v>1</v>
      </c>
      <c r="C20" s="71" t="s">
        <v>6</v>
      </c>
      <c r="D20" s="103" t="s">
        <v>14</v>
      </c>
      <c r="E20" s="80" t="s">
        <v>40</v>
      </c>
      <c r="F20" s="34" t="s">
        <v>141</v>
      </c>
      <c r="G20" s="90" t="s">
        <v>142</v>
      </c>
      <c r="H20" s="104" t="s">
        <v>145</v>
      </c>
      <c r="I20" s="30" t="s">
        <v>42</v>
      </c>
      <c r="J20" s="30" t="s">
        <v>43</v>
      </c>
      <c r="K20" s="30" t="s">
        <v>45</v>
      </c>
      <c r="L20" s="30" t="s">
        <v>143</v>
      </c>
      <c r="M20" s="30" t="s">
        <v>161</v>
      </c>
      <c r="N20" s="30" t="s">
        <v>162</v>
      </c>
      <c r="O20" s="30" t="s">
        <v>163</v>
      </c>
      <c r="P20" s="30" t="s">
        <v>164</v>
      </c>
      <c r="Q20" s="158" t="s">
        <v>169</v>
      </c>
      <c r="R20" s="92" t="s">
        <v>35</v>
      </c>
    </row>
    <row r="21" spans="2:18" x14ac:dyDescent="0.25">
      <c r="B21" s="77">
        <v>7</v>
      </c>
      <c r="C21" s="29" t="s">
        <v>80</v>
      </c>
      <c r="D21" s="28">
        <v>11200</v>
      </c>
      <c r="E21" s="28">
        <v>0</v>
      </c>
      <c r="F21" s="28">
        <v>0</v>
      </c>
      <c r="G21" s="28"/>
      <c r="H21" s="28">
        <v>11200</v>
      </c>
      <c r="I21" s="28">
        <v>1024</v>
      </c>
      <c r="J21" s="28">
        <v>0</v>
      </c>
      <c r="K21" s="28">
        <v>259</v>
      </c>
      <c r="L21" s="28">
        <v>640</v>
      </c>
      <c r="M21" s="28"/>
      <c r="N21" s="28"/>
      <c r="O21" s="28"/>
      <c r="P21" s="28"/>
      <c r="Q21" s="165">
        <v>412.65</v>
      </c>
      <c r="R21" s="165">
        <v>8864.35</v>
      </c>
    </row>
    <row r="22" spans="2:18" x14ac:dyDescent="0.25">
      <c r="B22" s="167"/>
      <c r="C22" s="16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0"/>
      <c r="R22" s="20"/>
    </row>
    <row r="23" spans="2:18" x14ac:dyDescent="0.25">
      <c r="B23" s="80" t="s">
        <v>1</v>
      </c>
      <c r="C23" s="71" t="s">
        <v>6</v>
      </c>
      <c r="D23" s="103" t="s">
        <v>14</v>
      </c>
      <c r="E23" s="80" t="s">
        <v>40</v>
      </c>
      <c r="F23" s="34" t="s">
        <v>141</v>
      </c>
      <c r="G23" s="90" t="s">
        <v>142</v>
      </c>
      <c r="H23" s="104" t="s">
        <v>145</v>
      </c>
      <c r="I23" s="30" t="s">
        <v>42</v>
      </c>
      <c r="J23" s="30" t="s">
        <v>43</v>
      </c>
      <c r="K23" s="30" t="s">
        <v>45</v>
      </c>
      <c r="L23" s="30" t="s">
        <v>143</v>
      </c>
      <c r="M23" s="30" t="s">
        <v>161</v>
      </c>
      <c r="N23" s="30" t="s">
        <v>162</v>
      </c>
      <c r="O23" s="30" t="s">
        <v>163</v>
      </c>
      <c r="P23" s="30" t="s">
        <v>164</v>
      </c>
      <c r="Q23" s="158" t="s">
        <v>169</v>
      </c>
      <c r="R23" s="92" t="s">
        <v>35</v>
      </c>
    </row>
    <row r="24" spans="2:18" x14ac:dyDescent="0.25">
      <c r="B24" s="77">
        <v>8</v>
      </c>
      <c r="C24" s="29" t="s">
        <v>83</v>
      </c>
      <c r="D24" s="28">
        <v>12600</v>
      </c>
      <c r="E24" s="28">
        <v>0</v>
      </c>
      <c r="F24" s="28">
        <v>0</v>
      </c>
      <c r="G24" s="28"/>
      <c r="H24" s="28">
        <v>12600</v>
      </c>
      <c r="I24" s="28">
        <v>720</v>
      </c>
      <c r="J24" s="28">
        <v>0</v>
      </c>
      <c r="K24" s="28">
        <v>183</v>
      </c>
      <c r="L24" s="28">
        <v>450</v>
      </c>
      <c r="M24" s="28"/>
      <c r="N24" s="28"/>
      <c r="O24" s="28"/>
      <c r="P24" s="28"/>
      <c r="Q24" s="165">
        <v>624.70000000000005</v>
      </c>
      <c r="R24" s="165">
        <v>10622.3</v>
      </c>
    </row>
    <row r="25" spans="2:18" x14ac:dyDescent="0.25">
      <c r="B25" s="167"/>
      <c r="C25" s="16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0"/>
      <c r="R25" s="20"/>
    </row>
    <row r="26" spans="2:18" x14ac:dyDescent="0.25">
      <c r="B26" s="80" t="s">
        <v>1</v>
      </c>
      <c r="C26" s="71" t="s">
        <v>6</v>
      </c>
      <c r="D26" s="103" t="s">
        <v>14</v>
      </c>
      <c r="E26" s="80" t="s">
        <v>40</v>
      </c>
      <c r="F26" s="34" t="s">
        <v>141</v>
      </c>
      <c r="G26" s="90" t="s">
        <v>142</v>
      </c>
      <c r="H26" s="104" t="s">
        <v>145</v>
      </c>
      <c r="I26" s="30" t="s">
        <v>42</v>
      </c>
      <c r="J26" s="30" t="s">
        <v>43</v>
      </c>
      <c r="K26" s="30" t="s">
        <v>45</v>
      </c>
      <c r="L26" s="30" t="s">
        <v>143</v>
      </c>
      <c r="M26" s="30" t="s">
        <v>161</v>
      </c>
      <c r="N26" s="30" t="s">
        <v>162</v>
      </c>
      <c r="O26" s="30" t="s">
        <v>163</v>
      </c>
      <c r="P26" s="30" t="s">
        <v>164</v>
      </c>
      <c r="Q26" s="158" t="s">
        <v>169</v>
      </c>
      <c r="R26" s="92" t="s">
        <v>35</v>
      </c>
    </row>
    <row r="27" spans="2:18" x14ac:dyDescent="0.25">
      <c r="B27" s="77">
        <v>9</v>
      </c>
      <c r="C27" s="29" t="s">
        <v>94</v>
      </c>
      <c r="D27" s="28">
        <v>14000</v>
      </c>
      <c r="E27" s="28">
        <v>7</v>
      </c>
      <c r="F27" s="28">
        <v>4505.75</v>
      </c>
      <c r="G27" s="28"/>
      <c r="H27" s="28">
        <v>14000</v>
      </c>
      <c r="I27" s="28">
        <v>440</v>
      </c>
      <c r="J27" s="28">
        <v>0</v>
      </c>
      <c r="K27" s="28">
        <v>114.14</v>
      </c>
      <c r="L27" s="28">
        <v>275</v>
      </c>
      <c r="M27" s="28"/>
      <c r="N27" s="28"/>
      <c r="O27" s="28"/>
      <c r="P27" s="28"/>
      <c r="Q27" s="165">
        <v>430.88</v>
      </c>
      <c r="R27" s="165">
        <v>8877.91</v>
      </c>
    </row>
    <row r="28" spans="2:18" x14ac:dyDescent="0.25">
      <c r="B28" s="167"/>
      <c r="C28" s="16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0"/>
      <c r="R28" s="20"/>
    </row>
    <row r="29" spans="2:18" x14ac:dyDescent="0.25">
      <c r="B29" s="80" t="s">
        <v>1</v>
      </c>
      <c r="C29" s="71" t="s">
        <v>6</v>
      </c>
      <c r="D29" s="103" t="s">
        <v>14</v>
      </c>
      <c r="E29" s="80" t="s">
        <v>40</v>
      </c>
      <c r="F29" s="34" t="s">
        <v>141</v>
      </c>
      <c r="G29" s="90" t="s">
        <v>142</v>
      </c>
      <c r="H29" s="104" t="s">
        <v>145</v>
      </c>
      <c r="I29" s="30" t="s">
        <v>42</v>
      </c>
      <c r="J29" s="30" t="s">
        <v>43</v>
      </c>
      <c r="K29" s="30" t="s">
        <v>45</v>
      </c>
      <c r="L29" s="30" t="s">
        <v>143</v>
      </c>
      <c r="M29" s="30" t="s">
        <v>161</v>
      </c>
      <c r="N29" s="30" t="s">
        <v>162</v>
      </c>
      <c r="O29" s="30" t="s">
        <v>163</v>
      </c>
      <c r="P29" s="30" t="s">
        <v>164</v>
      </c>
      <c r="Q29" s="158" t="s">
        <v>169</v>
      </c>
      <c r="R29" s="92" t="s">
        <v>35</v>
      </c>
    </row>
    <row r="30" spans="2:18" x14ac:dyDescent="0.25">
      <c r="B30" s="77">
        <v>10</v>
      </c>
      <c r="C30" s="29" t="s">
        <v>99</v>
      </c>
      <c r="D30" s="28">
        <v>12600</v>
      </c>
      <c r="E30" s="28">
        <v>0</v>
      </c>
      <c r="F30" s="28">
        <v>0</v>
      </c>
      <c r="G30" s="28"/>
      <c r="H30" s="28">
        <v>12600</v>
      </c>
      <c r="I30" s="28">
        <v>440</v>
      </c>
      <c r="J30" s="28">
        <v>11</v>
      </c>
      <c r="K30" s="28">
        <v>114.14</v>
      </c>
      <c r="L30" s="28">
        <v>275</v>
      </c>
      <c r="M30" s="28">
        <v>1000</v>
      </c>
      <c r="N30" s="28">
        <v>1000</v>
      </c>
      <c r="O30" s="28"/>
      <c r="P30" s="28"/>
      <c r="Q30" s="165">
        <v>475.99</v>
      </c>
      <c r="R30" s="165">
        <v>11283.87</v>
      </c>
    </row>
    <row r="31" spans="2:18" x14ac:dyDescent="0.25">
      <c r="B31" s="167"/>
      <c r="C31" s="16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0"/>
      <c r="R31" s="20"/>
    </row>
    <row r="32" spans="2:18" x14ac:dyDescent="0.25">
      <c r="B32" s="80" t="s">
        <v>1</v>
      </c>
      <c r="C32" s="71" t="s">
        <v>6</v>
      </c>
      <c r="D32" s="103" t="s">
        <v>14</v>
      </c>
      <c r="E32" s="80" t="s">
        <v>40</v>
      </c>
      <c r="F32" s="34" t="s">
        <v>141</v>
      </c>
      <c r="G32" s="90" t="s">
        <v>142</v>
      </c>
      <c r="H32" s="104" t="s">
        <v>145</v>
      </c>
      <c r="I32" s="30" t="s">
        <v>42</v>
      </c>
      <c r="J32" s="30" t="s">
        <v>43</v>
      </c>
      <c r="K32" s="30" t="s">
        <v>45</v>
      </c>
      <c r="L32" s="30" t="s">
        <v>143</v>
      </c>
      <c r="M32" s="30" t="s">
        <v>161</v>
      </c>
      <c r="N32" s="30" t="s">
        <v>162</v>
      </c>
      <c r="O32" s="30" t="s">
        <v>163</v>
      </c>
      <c r="P32" s="30" t="s">
        <v>164</v>
      </c>
      <c r="Q32" s="158" t="s">
        <v>169</v>
      </c>
      <c r="R32" s="92" t="s">
        <v>35</v>
      </c>
    </row>
    <row r="33" spans="2:18" x14ac:dyDescent="0.25">
      <c r="B33" s="77">
        <v>11</v>
      </c>
      <c r="C33" s="29" t="s">
        <v>104</v>
      </c>
      <c r="D33" s="28">
        <v>17500</v>
      </c>
      <c r="E33" s="28">
        <v>0</v>
      </c>
      <c r="F33" s="28">
        <v>0</v>
      </c>
      <c r="G33" s="28"/>
      <c r="H33" s="28">
        <v>17500</v>
      </c>
      <c r="I33" s="28">
        <v>640</v>
      </c>
      <c r="J33" s="28">
        <v>16</v>
      </c>
      <c r="K33" s="28">
        <v>163</v>
      </c>
      <c r="L33" s="28">
        <v>400</v>
      </c>
      <c r="M33" s="28"/>
      <c r="N33" s="28"/>
      <c r="O33" s="28"/>
      <c r="P33" s="28">
        <v>1000</v>
      </c>
      <c r="Q33" s="165">
        <v>1028.0999999999999</v>
      </c>
      <c r="R33" s="165">
        <v>15252.9</v>
      </c>
    </row>
    <row r="34" spans="2:18" x14ac:dyDescent="0.25">
      <c r="B34" s="167"/>
      <c r="C34" s="16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0"/>
      <c r="R34" s="20"/>
    </row>
  </sheetData>
  <mergeCells count="2">
    <mergeCell ref="A1:XFD1"/>
    <mergeCell ref="A4:XFD4"/>
  </mergeCells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98C3-CC19-44DE-A6B6-9B9161B2D15F}">
  <dimension ref="A1:BI21"/>
  <sheetViews>
    <sheetView topLeftCell="AU4" workbookViewId="0">
      <selection activeCell="BG11" sqref="BG11"/>
    </sheetView>
  </sheetViews>
  <sheetFormatPr defaultColWidth="9" defaultRowHeight="13" outlineLevelCol="2" x14ac:dyDescent="0.25"/>
  <cols>
    <col min="1" max="1" width="4.7265625" style="79" customWidth="1"/>
    <col min="2" max="2" width="8.08984375" style="43" hidden="1" customWidth="1" outlineLevel="1"/>
    <col min="3" max="3" width="13.08984375" style="43" hidden="1" customWidth="1" outlineLevel="1"/>
    <col min="4" max="4" width="10.26953125" style="43" hidden="1" customWidth="1" outlineLevel="1"/>
    <col min="5" max="5" width="7.54296875" style="41" hidden="1" customWidth="1" outlineLevel="1"/>
    <col min="6" max="6" width="6.36328125" style="150" customWidth="1" collapsed="1"/>
    <col min="7" max="7" width="8.90625" style="87" hidden="1" customWidth="1" outlineLevel="2"/>
    <col min="8" max="8" width="9.6328125" style="87" hidden="1" customWidth="1" outlineLevel="2"/>
    <col min="9" max="9" width="10" style="87" hidden="1" customWidth="1" outlineLevel="2"/>
    <col min="10" max="10" width="10.6328125" style="87" hidden="1" customWidth="1" outlineLevel="2"/>
    <col min="11" max="11" width="8" style="87" hidden="1" customWidth="1" outlineLevel="2"/>
    <col min="12" max="12" width="9.26953125" style="87" hidden="1" customWidth="1" outlineLevel="2"/>
    <col min="13" max="13" width="9.6328125" style="87" hidden="1" customWidth="1" outlineLevel="2"/>
    <col min="14" max="14" width="8.26953125" style="44" hidden="1" customWidth="1" outlineLevel="2"/>
    <col min="15" max="15" width="8.453125" style="45" hidden="1" customWidth="1" outlineLevel="2"/>
    <col min="16" max="16" width="8.1796875" style="45" hidden="1" customWidth="1" outlineLevel="2"/>
    <col min="17" max="17" width="4.7265625" style="45" hidden="1" customWidth="1" outlineLevel="2"/>
    <col min="18" max="19" width="10.453125" style="46" hidden="1" customWidth="1" outlineLevel="2"/>
    <col min="20" max="20" width="9.81640625" style="46" hidden="1" customWidth="1" outlineLevel="1" collapsed="1"/>
    <col min="21" max="21" width="11.1796875" style="46" hidden="1" customWidth="1" outlineLevel="2"/>
    <col min="22" max="22" width="7.54296875" style="42" hidden="1" customWidth="1" outlineLevel="2"/>
    <col min="23" max="23" width="8.81640625" style="42" hidden="1" customWidth="1" outlineLevel="2"/>
    <col min="24" max="24" width="7.6328125" style="42" hidden="1" customWidth="1" outlineLevel="2"/>
    <col min="25" max="25" width="8.90625" style="42" hidden="1" customWidth="1" outlineLevel="2"/>
    <col min="26" max="26" width="8.81640625" style="42" hidden="1" customWidth="1" outlineLevel="2"/>
    <col min="27" max="27" width="10.36328125" style="42" hidden="1" customWidth="1" outlineLevel="1" collapsed="1"/>
    <col min="28" max="28" width="8.453125" style="42" hidden="1" customWidth="1" outlineLevel="2"/>
    <col min="29" max="29" width="7.36328125" style="42" hidden="1" customWidth="1" outlineLevel="2"/>
    <col min="30" max="30" width="8.36328125" style="42" hidden="1" customWidth="1" outlineLevel="2"/>
    <col min="31" max="31" width="8" style="42" hidden="1" customWidth="1" outlineLevel="1" collapsed="1"/>
    <col min="32" max="32" width="8.1796875" style="44" hidden="1" customWidth="1" outlineLevel="2"/>
    <col min="33" max="33" width="9.26953125" style="42" hidden="1" customWidth="1" outlineLevel="2"/>
    <col min="34" max="34" width="7.453125" style="42" hidden="1" customWidth="1" outlineLevel="2"/>
    <col min="35" max="35" width="8.81640625" style="42" hidden="1" customWidth="1" outlineLevel="1" collapsed="1"/>
    <col min="36" max="39" width="8.7265625" style="42" hidden="1" customWidth="1" outlineLevel="1"/>
    <col min="40" max="40" width="7.54296875" style="42" hidden="1" customWidth="1" outlineLevel="1"/>
    <col min="41" max="41" width="8.6328125" style="44" hidden="1" customWidth="1" outlineLevel="1"/>
    <col min="42" max="42" width="9.7265625" style="42" customWidth="1" collapsed="1"/>
    <col min="43" max="43" width="10" style="42" customWidth="1"/>
    <col min="44" max="44" width="8.6328125" style="42" customWidth="1"/>
    <col min="45" max="45" width="9.90625" style="42" customWidth="1"/>
    <col min="46" max="46" width="8.7265625" style="42" customWidth="1"/>
    <col min="47" max="47" width="13" style="42" customWidth="1" outlineLevel="1"/>
    <col min="48" max="48" width="9" style="42" customWidth="1" outlineLevel="1"/>
    <col min="49" max="49" width="11.453125" style="42" customWidth="1" outlineLevel="1"/>
    <col min="50" max="50" width="10.36328125" style="42" customWidth="1" outlineLevel="1"/>
    <col min="51" max="51" width="8.90625" style="42" customWidth="1" outlineLevel="1"/>
    <col min="52" max="52" width="6.6328125" style="42" customWidth="1" outlineLevel="1"/>
    <col min="53" max="53" width="10.54296875" style="42" customWidth="1" outlineLevel="1"/>
    <col min="54" max="54" width="6.26953125" style="42" customWidth="1" outlineLevel="1"/>
    <col min="55" max="55" width="11.81640625" style="42" customWidth="1" outlineLevel="1"/>
    <col min="56" max="56" width="13" style="42" customWidth="1" outlineLevel="1"/>
    <col min="57" max="57" width="9.453125" style="42" customWidth="1" outlineLevel="1"/>
    <col min="58" max="58" width="11.7265625" style="46" customWidth="1"/>
    <col min="59" max="59" width="10.08984375" style="46" customWidth="1"/>
    <col min="60" max="60" width="0" style="41" hidden="1" customWidth="1"/>
    <col min="61" max="61" width="9.6328125" style="41" hidden="1" customWidth="1"/>
    <col min="62" max="16384" width="9" style="41"/>
  </cols>
  <sheetData>
    <row r="1" spans="1:61" ht="20.149999999999999" customHeight="1" x14ac:dyDescent="0.25">
      <c r="A1" s="222" t="s">
        <v>151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61" ht="20.149999999999999" customHeight="1" x14ac:dyDescent="0.25">
      <c r="A2" s="224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32" t="s">
        <v>150</v>
      </c>
      <c r="G2" s="235" t="s">
        <v>117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179" t="s">
        <v>153</v>
      </c>
      <c r="AV2" s="179" t="s">
        <v>154</v>
      </c>
      <c r="AW2" s="182" t="s">
        <v>29</v>
      </c>
      <c r="AX2" s="183" t="s">
        <v>155</v>
      </c>
      <c r="AY2" s="184"/>
      <c r="AZ2" s="184"/>
      <c r="BA2" s="184"/>
      <c r="BB2" s="185"/>
      <c r="BC2" s="189" t="s">
        <v>31</v>
      </c>
      <c r="BD2" s="189" t="s">
        <v>32</v>
      </c>
      <c r="BE2" s="189" t="s">
        <v>33</v>
      </c>
      <c r="BF2" s="170" t="s">
        <v>34</v>
      </c>
      <c r="BG2" s="173" t="s">
        <v>35</v>
      </c>
      <c r="BH2" s="176" t="s">
        <v>118</v>
      </c>
      <c r="BI2" s="176" t="s">
        <v>119</v>
      </c>
    </row>
    <row r="3" spans="1:61" ht="20.149999999999999" customHeight="1" x14ac:dyDescent="0.25">
      <c r="A3" s="224"/>
      <c r="B3" s="225"/>
      <c r="C3" s="225"/>
      <c r="D3" s="227"/>
      <c r="E3" s="230"/>
      <c r="F3" s="233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141">
        <v>0.05</v>
      </c>
      <c r="AH3" s="141">
        <v>0.05</v>
      </c>
      <c r="AI3" s="141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180"/>
      <c r="AV3" s="180"/>
      <c r="AW3" s="180"/>
      <c r="AX3" s="186"/>
      <c r="AY3" s="187"/>
      <c r="AZ3" s="187"/>
      <c r="BA3" s="187"/>
      <c r="BB3" s="188"/>
      <c r="BC3" s="190"/>
      <c r="BD3" s="190"/>
      <c r="BE3" s="190"/>
      <c r="BF3" s="171"/>
      <c r="BG3" s="174"/>
      <c r="BH3" s="177"/>
      <c r="BI3" s="177"/>
    </row>
    <row r="4" spans="1:61" ht="20.149999999999999" customHeight="1" x14ac:dyDescent="0.25">
      <c r="A4" s="224"/>
      <c r="B4" s="225"/>
      <c r="C4" s="225"/>
      <c r="D4" s="228"/>
      <c r="E4" s="231"/>
      <c r="F4" s="234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141" t="s">
        <v>42</v>
      </c>
      <c r="W4" s="141" t="s">
        <v>43</v>
      </c>
      <c r="X4" s="141" t="s">
        <v>44</v>
      </c>
      <c r="Y4" s="141" t="s">
        <v>45</v>
      </c>
      <c r="Z4" s="141" t="s">
        <v>46</v>
      </c>
      <c r="AA4" s="141" t="s">
        <v>47</v>
      </c>
      <c r="AB4" s="141" t="s">
        <v>42</v>
      </c>
      <c r="AC4" s="141" t="s">
        <v>43</v>
      </c>
      <c r="AD4" s="141" t="s">
        <v>45</v>
      </c>
      <c r="AE4" s="141" t="s">
        <v>47</v>
      </c>
      <c r="AF4" s="202"/>
      <c r="AG4" s="141" t="s">
        <v>48</v>
      </c>
      <c r="AH4" s="141" t="s">
        <v>49</v>
      </c>
      <c r="AI4" s="141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181"/>
      <c r="AV4" s="181"/>
      <c r="AW4" s="181"/>
      <c r="AX4" s="159" t="s">
        <v>156</v>
      </c>
      <c r="AY4" s="159" t="s">
        <v>157</v>
      </c>
      <c r="AZ4" s="159" t="s">
        <v>158</v>
      </c>
      <c r="BA4" s="159" t="s">
        <v>159</v>
      </c>
      <c r="BB4" s="160" t="s">
        <v>160</v>
      </c>
      <c r="BC4" s="191"/>
      <c r="BD4" s="191"/>
      <c r="BE4" s="191"/>
      <c r="BF4" s="172"/>
      <c r="BG4" s="175"/>
      <c r="BH4" s="178"/>
      <c r="BI4" s="178"/>
    </row>
    <row r="5" spans="1:61" ht="20.149999999999999" customHeight="1" x14ac:dyDescent="0.25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2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2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2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12" si="3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2" si="4">$T5</f>
        <v>2883</v>
      </c>
      <c r="AQ5" s="63">
        <f t="shared" ref="AQ5:AQ12" si="5">$AB5</f>
        <v>480</v>
      </c>
      <c r="AR5" s="63">
        <f t="shared" ref="AR5:AR12" si="6">$AD5</f>
        <v>123</v>
      </c>
      <c r="AS5" s="63">
        <f t="shared" ref="AS5:AS12" si="7">$AC5</f>
        <v>12</v>
      </c>
      <c r="AT5" s="63">
        <f t="shared" ref="AT5:AT12" si="8">$AH5</f>
        <v>300</v>
      </c>
      <c r="AU5" s="63">
        <f>$AP5+VLOOKUP($F5,'4月工资表'!$F$5:$BI$23,42,FALSE)</f>
        <v>34266</v>
      </c>
      <c r="AV5" s="63">
        <f>$AO5+VLOOKUP($F5,'4月工资表'!$F$5:$BI$23,43,FALSE)</f>
        <v>25000</v>
      </c>
      <c r="AW5" s="63">
        <f>AQ5+AR5+AS5+AT5+VLOOKUP($F5,'4月工资表'!$F$5:$BI$23,44,FALSE)</f>
        <v>4575</v>
      </c>
      <c r="AX5" s="63">
        <f>AJ5+VLOOKUP($F5,'4月工资表'!$F$5:$BI$23,45,FALSE)</f>
        <v>0</v>
      </c>
      <c r="AY5" s="63">
        <f>AK5+VLOOKUP($F5,'4月工资表'!$F$5:$BI$23,46,FALSE)</f>
        <v>5000</v>
      </c>
      <c r="AZ5" s="63">
        <f>AL5+VLOOKUP($F5,'4月工资表'!$F$5:$BI$23,47,FALSE)</f>
        <v>0</v>
      </c>
      <c r="BA5" s="63">
        <f>AM5+VLOOKUP($F5,'4月工资表'!$F$5:$BI$23,48,FALSE)</f>
        <v>0</v>
      </c>
      <c r="BB5" s="63">
        <f>AN5+VLOOKUP($F5,'4月工资表'!$F$5:$BI$23,49,FALSE)</f>
        <v>0</v>
      </c>
      <c r="BC5" s="63">
        <f t="shared" ref="BC5:BC12" si="9">IF(AU5="","",AU5-AV5-AW5-AX5-AY5-AZ5-BA5-BB5)</f>
        <v>-309</v>
      </c>
      <c r="BD5" s="63">
        <f>ROUND(IF(BC5="","",MAX(0,BC5*{3;10;20;25;30;35;45}%-{0;2520;16920;31920;52920;85920;181920})),2)</f>
        <v>0</v>
      </c>
      <c r="BE5" s="63">
        <f>VLOOKUP($F5,'4月工资表'!$F$5:$BI$23,51,FALSE)</f>
        <v>111.69</v>
      </c>
      <c r="BF5" s="135">
        <f t="shared" ref="BF5:BF12" si="10">IF(BD5="","",IF(BD5&lt;=BE5,0,BD5-BE5))</f>
        <v>0</v>
      </c>
      <c r="BG5" s="136">
        <v>0</v>
      </c>
      <c r="BH5" s="65"/>
      <c r="BI5" s="65"/>
    </row>
    <row r="6" spans="1:61" ht="20.149999999999999" customHeight="1" x14ac:dyDescent="0.25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 t="shared" ref="Q6:Q12" si="11">IF(O6="",0,O6-P6)</f>
        <v>0</v>
      </c>
      <c r="R6" s="36">
        <f t="shared" ref="R6:R12" si="12">IF(O6="",0,ROUND(N6/21.75*Q6,2))</f>
        <v>0</v>
      </c>
      <c r="S6" s="36">
        <v>0</v>
      </c>
      <c r="T6" s="36">
        <v>0</v>
      </c>
      <c r="U6" s="26">
        <v>0</v>
      </c>
      <c r="V6" s="36">
        <v>0</v>
      </c>
      <c r="W6" s="36">
        <v>0</v>
      </c>
      <c r="X6" s="36">
        <v>0</v>
      </c>
      <c r="Y6" s="36">
        <v>0</v>
      </c>
      <c r="Z6" s="36">
        <v>0</v>
      </c>
      <c r="AA6" s="36">
        <f t="shared" si="1"/>
        <v>0</v>
      </c>
      <c r="AB6" s="36">
        <v>0</v>
      </c>
      <c r="AC6" s="36">
        <v>0</v>
      </c>
      <c r="AD6" s="36">
        <v>0</v>
      </c>
      <c r="AE6" s="36">
        <f t="shared" si="2"/>
        <v>0</v>
      </c>
      <c r="AF6" s="26">
        <v>0</v>
      </c>
      <c r="AG6" s="36">
        <v>0</v>
      </c>
      <c r="AH6" s="36">
        <v>0</v>
      </c>
      <c r="AI6" s="36">
        <f t="shared" si="3"/>
        <v>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4"/>
        <v>0</v>
      </c>
      <c r="AQ6" s="63">
        <f t="shared" si="5"/>
        <v>0</v>
      </c>
      <c r="AR6" s="63">
        <f t="shared" si="6"/>
        <v>0</v>
      </c>
      <c r="AS6" s="63">
        <f t="shared" si="7"/>
        <v>0</v>
      </c>
      <c r="AT6" s="63">
        <f t="shared" si="8"/>
        <v>0</v>
      </c>
      <c r="AU6" s="63">
        <f>$AP6+VLOOKUP($F6,'4月工资表'!$F$5:$BI$23,42,FALSE)</f>
        <v>22834.799999999999</v>
      </c>
      <c r="AV6" s="63">
        <f>$AO6+VLOOKUP($F6,'4月工资表'!$F$5:$BI$23,43,FALSE)</f>
        <v>25000</v>
      </c>
      <c r="AW6" s="63">
        <f>AQ6+AR6+AS6+AT6+VLOOKUP($F6,'4月工资表'!$F$5:$BI$23,44,FALSE)</f>
        <v>3599.2</v>
      </c>
      <c r="AX6" s="63">
        <f>AJ6+VLOOKUP($F6,'4月工资表'!$F$5:$BI$23,45,FALSE)</f>
        <v>5000</v>
      </c>
      <c r="AY6" s="63">
        <f>AK6+VLOOKUP($F6,'4月工资表'!$F$5:$BI$23,46,FALSE)</f>
        <v>10000</v>
      </c>
      <c r="AZ6" s="63">
        <f>AL6+VLOOKUP($F6,'4月工资表'!$F$5:$BI$23,47,FALSE)</f>
        <v>0</v>
      </c>
      <c r="BA6" s="63">
        <f>AM6+VLOOKUP($F6,'4月工资表'!$F$5:$BI$23,48,FALSE)</f>
        <v>5000</v>
      </c>
      <c r="BB6" s="63">
        <f>AN6+VLOOKUP($F6,'4月工资表'!$F$5:$BI$23,49,FALSE)</f>
        <v>0</v>
      </c>
      <c r="BC6" s="63">
        <f t="shared" si="9"/>
        <v>-25764.400000000001</v>
      </c>
      <c r="BD6" s="63">
        <f>ROUND(IF(BC6="","",MAX(0,BC6*{3;10;20;25;30;35;45}%-{0;2520;16920;31920;52920;85920;181920})),2)</f>
        <v>0</v>
      </c>
      <c r="BE6" s="63">
        <f>VLOOKUP($F6,'4月工资表'!$F$5:$BI$23,51,FALSE)</f>
        <v>0</v>
      </c>
      <c r="BF6" s="135">
        <f t="shared" si="10"/>
        <v>0</v>
      </c>
      <c r="BG6" s="136">
        <v>0</v>
      </c>
      <c r="BH6" s="65"/>
      <c r="BI6" s="65"/>
    </row>
    <row r="7" spans="1:61" ht="20.149999999999999" customHeight="1" x14ac:dyDescent="0.25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 t="shared" si="11"/>
        <v>0</v>
      </c>
      <c r="R7" s="36">
        <f t="shared" si="12"/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3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4"/>
        <v>2834.8</v>
      </c>
      <c r="AQ7" s="63">
        <f t="shared" si="5"/>
        <v>472</v>
      </c>
      <c r="AR7" s="63">
        <f t="shared" si="6"/>
        <v>121</v>
      </c>
      <c r="AS7" s="63">
        <f t="shared" si="7"/>
        <v>11.8</v>
      </c>
      <c r="AT7" s="63">
        <f t="shared" si="8"/>
        <v>295</v>
      </c>
      <c r="AU7" s="63">
        <f>$AP7+VLOOKUP($F7,'4月工资表'!$F$5:$BI$23,42,FALSE)</f>
        <v>25669.599999999999</v>
      </c>
      <c r="AV7" s="63">
        <f>$AO7+VLOOKUP($F7,'4月工资表'!$F$5:$BI$23,43,FALSE)</f>
        <v>25000</v>
      </c>
      <c r="AW7" s="63">
        <f>AQ7+AR7+AS7+AT7+VLOOKUP($F7,'4月工资表'!$F$5:$BI$23,44,FALSE)</f>
        <v>4499</v>
      </c>
      <c r="AX7" s="63">
        <f>AJ7+VLOOKUP($F7,'4月工资表'!$F$5:$BI$23,45,FALSE)</f>
        <v>0</v>
      </c>
      <c r="AY7" s="63">
        <f>AK7+VLOOKUP($F7,'4月工资表'!$F$5:$BI$23,46,FALSE)</f>
        <v>10000</v>
      </c>
      <c r="AZ7" s="63">
        <f>AL7+VLOOKUP($F7,'4月工资表'!$F$5:$BI$23,47,FALSE)</f>
        <v>0</v>
      </c>
      <c r="BA7" s="63">
        <f>AM7+VLOOKUP($F7,'4月工资表'!$F$5:$BI$23,48,FALSE)</f>
        <v>5000</v>
      </c>
      <c r="BB7" s="63">
        <f>AN7+VLOOKUP($F7,'4月工资表'!$F$5:$BI$23,49,FALSE)</f>
        <v>0</v>
      </c>
      <c r="BC7" s="63">
        <f t="shared" si="9"/>
        <v>-18829.400000000001</v>
      </c>
      <c r="BD7" s="63">
        <f>ROUND(IF(BC7="","",MAX(0,BC7*{3;10;20;25;30;35;45}%-{0;2520;16920;31920;52920;85920;181920})),2)</f>
        <v>0</v>
      </c>
      <c r="BE7" s="63">
        <f>VLOOKUP($F7,'4月工资表'!$F$5:$BI$23,51,FALSE)</f>
        <v>0</v>
      </c>
      <c r="BF7" s="135">
        <f t="shared" si="10"/>
        <v>0</v>
      </c>
      <c r="BG7" s="136">
        <v>0</v>
      </c>
      <c r="BH7" s="65"/>
      <c r="BI7" s="65"/>
    </row>
    <row r="8" spans="1:61" ht="20.149999999999999" customHeight="1" x14ac:dyDescent="0.25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3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3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4"/>
        <v>2509.5</v>
      </c>
      <c r="AQ8" s="63">
        <f t="shared" si="5"/>
        <v>408</v>
      </c>
      <c r="AR8" s="63">
        <f t="shared" si="6"/>
        <v>114.14</v>
      </c>
      <c r="AS8" s="63">
        <f t="shared" si="7"/>
        <v>10.199999999999999</v>
      </c>
      <c r="AT8" s="63">
        <f t="shared" si="8"/>
        <v>255</v>
      </c>
      <c r="AU8" s="63">
        <f>$AP8+VLOOKUP($F8,'4月工资表'!$F$5:$BI$23,42,FALSE)</f>
        <v>43019</v>
      </c>
      <c r="AV8" s="63">
        <f>$AO8+VLOOKUP($F8,'4月工资表'!$F$5:$BI$23,43,FALSE)</f>
        <v>25000</v>
      </c>
      <c r="AW8" s="63">
        <f>AQ8+AR8+AS8+AT8+VLOOKUP($F8,'4月工资表'!$F$5:$BI$23,44,FALSE)</f>
        <v>3936.7000000000003</v>
      </c>
      <c r="AX8" s="63">
        <f>AJ8+VLOOKUP($F8,'4月工资表'!$F$5:$BI$23,45,FALSE)</f>
        <v>5000</v>
      </c>
      <c r="AY8" s="63">
        <f>AK8+VLOOKUP($F8,'4月工资表'!$F$5:$BI$23,46,FALSE)</f>
        <v>10000</v>
      </c>
      <c r="AZ8" s="63">
        <f>AL8+VLOOKUP($F8,'4月工资表'!$F$5:$BI$23,47,FALSE)</f>
        <v>0</v>
      </c>
      <c r="BA8" s="63">
        <f>AM8+VLOOKUP($F8,'4月工资表'!$F$5:$BI$23,48,FALSE)</f>
        <v>0</v>
      </c>
      <c r="BB8" s="63">
        <f>AN8+VLOOKUP($F8,'4月工资表'!$F$5:$BI$23,49,FALSE)</f>
        <v>0</v>
      </c>
      <c r="BC8" s="63">
        <f t="shared" si="9"/>
        <v>-917.70000000000073</v>
      </c>
      <c r="BD8" s="63">
        <f>ROUND(IF(BC8="","",MAX(0,BC8*{3;10;20;25;30;35;45}%-{0;2520;16920;31920;52920;85920;181920})),2)</f>
        <v>0</v>
      </c>
      <c r="BE8" s="63">
        <f>VLOOKUP($F8,'4月工资表'!$F$5:$BI$23,51,FALSE)</f>
        <v>160.80000000000001</v>
      </c>
      <c r="BF8" s="135">
        <f t="shared" si="10"/>
        <v>0</v>
      </c>
      <c r="BG8" s="136">
        <v>0</v>
      </c>
      <c r="BH8" s="65"/>
      <c r="BI8" s="65"/>
    </row>
    <row r="9" spans="1:61" ht="20.149999999999999" customHeight="1" x14ac:dyDescent="0.25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si="11"/>
        <v>0</v>
      </c>
      <c r="R9" s="36">
        <f t="shared" si="12"/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3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4"/>
        <v>2403.9</v>
      </c>
      <c r="AQ9" s="63">
        <f t="shared" si="5"/>
        <v>384</v>
      </c>
      <c r="AR9" s="63">
        <f t="shared" si="6"/>
        <v>114.14</v>
      </c>
      <c r="AS9" s="63">
        <f t="shared" si="7"/>
        <v>9.6</v>
      </c>
      <c r="AT9" s="63">
        <f t="shared" si="8"/>
        <v>240</v>
      </c>
      <c r="AU9" s="63">
        <f>$AP9+VLOOKUP($F9,'4月工资表'!$F$5:$BI$23,42,FALSE)</f>
        <v>23807.800000000003</v>
      </c>
      <c r="AV9" s="63">
        <f>$AO9+VLOOKUP($F9,'4月工资表'!$F$5:$BI$23,43,FALSE)</f>
        <v>25000</v>
      </c>
      <c r="AW9" s="63">
        <f>AQ9+AR9+AS9+AT9+VLOOKUP($F9,'4月工资表'!$F$5:$BI$23,44,FALSE)</f>
        <v>3738.7</v>
      </c>
      <c r="AX9" s="63">
        <f>AJ9+VLOOKUP($F9,'4月工资表'!$F$5:$BI$23,45,FALSE)</f>
        <v>5000</v>
      </c>
      <c r="AY9" s="63">
        <f>AK9+VLOOKUP($F9,'4月工资表'!$F$5:$BI$23,46,FALSE)</f>
        <v>10000</v>
      </c>
      <c r="AZ9" s="63">
        <f>AL9+VLOOKUP($F9,'4月工资表'!$F$5:$BI$23,47,FALSE)</f>
        <v>0</v>
      </c>
      <c r="BA9" s="63">
        <f>AM9+VLOOKUP($F9,'4月工资表'!$F$5:$BI$23,48,FALSE)</f>
        <v>0</v>
      </c>
      <c r="BB9" s="63">
        <f>AN9+VLOOKUP($F9,'4月工资表'!$F$5:$BI$23,49,FALSE)</f>
        <v>0</v>
      </c>
      <c r="BC9" s="63">
        <f t="shared" si="9"/>
        <v>-19930.899999999998</v>
      </c>
      <c r="BD9" s="63">
        <f>ROUND(IF(BC9="","",MAX(0,BC9*{3;10;20;25;30;35;45}%-{0;2520;16920;31920;52920;85920;181920})),2)</f>
        <v>0</v>
      </c>
      <c r="BE9" s="63">
        <f>VLOOKUP($F9,'4月工资表'!$F$5:$BI$23,51,FALSE)</f>
        <v>0</v>
      </c>
      <c r="BF9" s="135">
        <f t="shared" si="10"/>
        <v>0</v>
      </c>
      <c r="BG9" s="136">
        <v>0</v>
      </c>
      <c r="BH9" s="65"/>
      <c r="BI9" s="65"/>
    </row>
    <row r="10" spans="1:61" s="122" customFormat="1" ht="20.149999999999999" customHeight="1" x14ac:dyDescent="0.25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4"/>
        <v>18900</v>
      </c>
      <c r="AQ10" s="121">
        <f t="shared" si="5"/>
        <v>416</v>
      </c>
      <c r="AR10" s="121">
        <f t="shared" si="6"/>
        <v>114.14</v>
      </c>
      <c r="AS10" s="121">
        <f t="shared" si="7"/>
        <v>0</v>
      </c>
      <c r="AT10" s="121">
        <f t="shared" si="8"/>
        <v>260</v>
      </c>
      <c r="AU10" s="63">
        <f>$AP10+VLOOKUP($F10,'4月工资表'!$F$5:$BI$23,42,FALSE)</f>
        <v>103950</v>
      </c>
      <c r="AV10" s="63">
        <f>$AO10+VLOOKUP($F10,'4月工资表'!$F$5:$BI$23,43,FALSE)</f>
        <v>25000</v>
      </c>
      <c r="AW10" s="63">
        <f>AQ10+AR10+AS10+AT10+VLOOKUP($F10,'4月工资表'!$F$5:$BI$23,44,FALSE)</f>
        <v>3950.7</v>
      </c>
      <c r="AX10" s="63">
        <f>AJ10+VLOOKUP($F10,'4月工资表'!$F$5:$BI$23,45,FALSE)</f>
        <v>0</v>
      </c>
      <c r="AY10" s="63">
        <f>AK10+VLOOKUP($F10,'4月工资表'!$F$5:$BI$23,46,FALSE)</f>
        <v>0</v>
      </c>
      <c r="AZ10" s="63">
        <f>AL10+VLOOKUP($F10,'4月工资表'!$F$5:$BI$23,47,FALSE)</f>
        <v>0</v>
      </c>
      <c r="BA10" s="63">
        <f>AM10+VLOOKUP($F10,'4月工资表'!$F$5:$BI$23,48,FALSE)</f>
        <v>0</v>
      </c>
      <c r="BB10" s="63">
        <f>AN10+VLOOKUP($F10,'4月工资表'!$F$5:$BI$23,49,FALSE)</f>
        <v>0</v>
      </c>
      <c r="BC10" s="121">
        <f t="shared" si="9"/>
        <v>74999.3</v>
      </c>
      <c r="BD10" s="121">
        <f>ROUND(IF(BC10="","",MAX(0,BC10*{3;10;20;25;30;35;45}%-{0;2520;16920;31920;52920;85920;181920})),2)</f>
        <v>4979.93</v>
      </c>
      <c r="BE10" s="63">
        <f>VLOOKUP($F10,'4月工资表'!$F$5:$BI$23,51,FALSE)</f>
        <v>3668.94</v>
      </c>
      <c r="BF10" s="137">
        <f t="shared" si="10"/>
        <v>1310.9900000000002</v>
      </c>
      <c r="BG10" s="138">
        <f t="shared" ref="BG10:BG12" si="14">IF(AP10="","",AP10-AQ10-AR10-AS10-AT10-BF10)</f>
        <v>16798.87</v>
      </c>
      <c r="BH10" s="116"/>
      <c r="BI10" s="116"/>
    </row>
    <row r="11" spans="1:61" s="134" customFormat="1" ht="20.149999999999999" customHeight="1" x14ac:dyDescent="0.25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2" si="15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si="3"/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4"/>
        <v>11200</v>
      </c>
      <c r="AQ11" s="133">
        <f t="shared" si="5"/>
        <v>1024</v>
      </c>
      <c r="AR11" s="133">
        <f t="shared" si="6"/>
        <v>259</v>
      </c>
      <c r="AS11" s="133">
        <f t="shared" si="7"/>
        <v>0</v>
      </c>
      <c r="AT11" s="133">
        <f t="shared" si="8"/>
        <v>640</v>
      </c>
      <c r="AU11" s="63">
        <f>$AP11+VLOOKUP($F11,'4月工资表'!$F$5:$BI$23,42,FALSE)</f>
        <v>70400</v>
      </c>
      <c r="AV11" s="63">
        <f>$AO11+VLOOKUP($F11,'4月工资表'!$F$5:$BI$23,43,FALSE)</f>
        <v>25000</v>
      </c>
      <c r="AW11" s="63">
        <f>AQ11+AR11+AS11+AT11+VLOOKUP($F11,'4月工资表'!$F$5:$BI$23,44,FALSE)</f>
        <v>9615</v>
      </c>
      <c r="AX11" s="63">
        <f>AJ11+VLOOKUP($F11,'4月工资表'!$F$5:$BI$23,45,FALSE)</f>
        <v>0</v>
      </c>
      <c r="AY11" s="63">
        <f>AK11+VLOOKUP($F11,'4月工资表'!$F$5:$BI$23,46,FALSE)</f>
        <v>0</v>
      </c>
      <c r="AZ11" s="63">
        <f>AL11+VLOOKUP($F11,'4月工资表'!$F$5:$BI$23,47,FALSE)</f>
        <v>0</v>
      </c>
      <c r="BA11" s="63">
        <f>AM11+VLOOKUP($F11,'4月工资表'!$F$5:$BI$23,48,FALSE)</f>
        <v>0</v>
      </c>
      <c r="BB11" s="63">
        <f>AN11+VLOOKUP($F11,'4月工资表'!$F$5:$BI$23,49,FALSE)</f>
        <v>0</v>
      </c>
      <c r="BC11" s="133">
        <f t="shared" si="9"/>
        <v>35785</v>
      </c>
      <c r="BD11" s="133">
        <f>ROUND(IF(BC11="","",MAX(0,BC11*{3;10;20;25;30;35;45}%-{0;2520;16920;31920;52920;85920;181920})),2)</f>
        <v>1073.55</v>
      </c>
      <c r="BE11" s="63">
        <f>VLOOKUP($F11,'4月工资表'!$F$5:$BI$23,51,FALSE)</f>
        <v>945.24</v>
      </c>
      <c r="BF11" s="139">
        <f t="shared" si="10"/>
        <v>128.30999999999995</v>
      </c>
      <c r="BG11" s="140">
        <f t="shared" si="14"/>
        <v>9148.69</v>
      </c>
      <c r="BH11" s="127"/>
      <c r="BI11" s="127"/>
    </row>
    <row r="12" spans="1:61" ht="20.149999999999999" customHeight="1" x14ac:dyDescent="0.25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5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3"/>
        <v>900</v>
      </c>
      <c r="AJ12" s="28"/>
      <c r="AK12" s="28"/>
      <c r="AL12" s="28"/>
      <c r="AM12" s="28"/>
      <c r="AN12" s="28"/>
      <c r="AO12" s="36">
        <v>5000</v>
      </c>
      <c r="AP12" s="63">
        <f t="shared" si="4"/>
        <v>12600</v>
      </c>
      <c r="AQ12" s="63">
        <f t="shared" si="5"/>
        <v>720</v>
      </c>
      <c r="AR12" s="63">
        <f t="shared" si="6"/>
        <v>183</v>
      </c>
      <c r="AS12" s="63">
        <f t="shared" si="7"/>
        <v>0</v>
      </c>
      <c r="AT12" s="63">
        <f t="shared" si="8"/>
        <v>450</v>
      </c>
      <c r="AU12" s="63">
        <f>$AP12+VLOOKUP($F12,'4月工资表'!$F$5:$BI$23,42,FALSE)</f>
        <v>79200</v>
      </c>
      <c r="AV12" s="63">
        <f>$AO12+VLOOKUP($F12,'4月工资表'!$F$5:$BI$23,43,FALSE)</f>
        <v>25000</v>
      </c>
      <c r="AW12" s="63">
        <f>AQ12+AR12+AS12+AT12+VLOOKUP($F12,'4月工资表'!$F$5:$BI$23,44,FALSE)</f>
        <v>6765</v>
      </c>
      <c r="AX12" s="63">
        <f>AJ12+VLOOKUP($F12,'4月工资表'!$F$5:$BI$23,45,FALSE)</f>
        <v>0</v>
      </c>
      <c r="AY12" s="63">
        <f>AK12+VLOOKUP($F12,'4月工资表'!$F$5:$BI$23,46,FALSE)</f>
        <v>0</v>
      </c>
      <c r="AZ12" s="63">
        <f>AL12+VLOOKUP($F12,'4月工资表'!$F$5:$BI$23,47,FALSE)</f>
        <v>0</v>
      </c>
      <c r="BA12" s="63">
        <f>AM12+VLOOKUP($F12,'4月工资表'!$F$5:$BI$23,48,FALSE)</f>
        <v>0</v>
      </c>
      <c r="BB12" s="63">
        <f>AN12+VLOOKUP($F12,'4月工资表'!$F$5:$BI$23,49,FALSE)</f>
        <v>0</v>
      </c>
      <c r="BC12" s="63">
        <f t="shared" si="9"/>
        <v>47435</v>
      </c>
      <c r="BD12" s="63">
        <f>ROUND(IF(BC12="","",MAX(0,BC12*{3;10;20;25;30;35;45}%-{0;2520;16920;31920;52920;85920;181920})),2)</f>
        <v>2223.5</v>
      </c>
      <c r="BE12" s="63">
        <f>VLOOKUP($F12,'4月工资表'!$F$5:$BI$23,51,FALSE)</f>
        <v>1598.8</v>
      </c>
      <c r="BF12" s="135">
        <f t="shared" si="10"/>
        <v>624.70000000000005</v>
      </c>
      <c r="BG12" s="136">
        <f t="shared" si="14"/>
        <v>10622.3</v>
      </c>
      <c r="BH12" s="65"/>
      <c r="BI12" s="65"/>
    </row>
    <row r="13" spans="1:61" ht="20.149999999999999" customHeight="1" x14ac:dyDescent="0.25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29" t="s">
        <v>94</v>
      </c>
      <c r="G13" s="83">
        <v>3000</v>
      </c>
      <c r="H13" s="83">
        <v>6000</v>
      </c>
      <c r="I13" s="117">
        <v>0</v>
      </c>
      <c r="J13" s="83">
        <v>1000</v>
      </c>
      <c r="K13" s="82">
        <v>0</v>
      </c>
      <c r="L13" s="83">
        <v>2000</v>
      </c>
      <c r="M13" s="83">
        <v>2000</v>
      </c>
      <c r="N13" s="36">
        <f>SUM(G13:M13)</f>
        <v>14000</v>
      </c>
      <c r="O13" s="28">
        <v>22</v>
      </c>
      <c r="P13" s="28">
        <v>22</v>
      </c>
      <c r="Q13" s="36">
        <f>IF(O13="",0,O13-P13)</f>
        <v>0</v>
      </c>
      <c r="R13" s="36">
        <f>IF(O13="",0,ROUND(N13/21.75*Q13,2))</f>
        <v>0</v>
      </c>
      <c r="S13" s="36"/>
      <c r="T13" s="36">
        <f>N13-R13</f>
        <v>14000</v>
      </c>
      <c r="U13" s="142">
        <v>5500</v>
      </c>
      <c r="V13" s="36">
        <f>IF($U13="",0,ROUND(MAX('1-6月基数信息'!C$5,MIN($U13,'1-6月基数信息'!C$6))*V$3,2))</f>
        <v>880</v>
      </c>
      <c r="W13" s="36">
        <f>IF($U13="",0,ROUND(MAX('1-6月基数信息'!D$5,MIN($U13,'1-6月基数信息'!D$6))*W$3,2))</f>
        <v>44</v>
      </c>
      <c r="X13" s="36">
        <f>IF($U13="",0,ROUND(MAX('1-6月基数信息'!E$5,MIN($U13,'1-6月基数信息'!E$6))*X$3,2))</f>
        <v>11</v>
      </c>
      <c r="Y13" s="36">
        <f>IF($U13="",0,ROUND(MAX('1-6月基数信息'!F$5,MIN($U13,'1-6月基数信息'!F$6))*Y$3,2))</f>
        <v>555.70000000000005</v>
      </c>
      <c r="Z13" s="36">
        <f>IF($U13="",0,ROUND(MAX('1-6月基数信息'!G$5,MIN($U13,'1-6月基数信息'!G$6))*Z$3,2))</f>
        <v>44.46</v>
      </c>
      <c r="AA13" s="36">
        <f>IF($U13="",0,SUM(V13:Z13))</f>
        <v>1535.16</v>
      </c>
      <c r="AB13" s="36">
        <f>IF($U13="",0,ROUND(MAX('1-6月基数信息'!I$5,MIN($U13,'1-6月基数信息'!I$6))*AB$3,2))</f>
        <v>440</v>
      </c>
      <c r="AC13" s="36">
        <f>IF($E14="农村",0,IF($U13="",0,ROUND(MAX('1-6月基数信息'!J$5,MIN($U13,'1-6月基数信息'!J$6))*AC$3,2)))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114.14</v>
      </c>
      <c r="AE13" s="36">
        <f>IF($U13="",0,SUM(AB13:AD13))</f>
        <v>554.14</v>
      </c>
      <c r="AF13" s="142">
        <v>5500</v>
      </c>
      <c r="AG13" s="36">
        <f>IF($AF13="",0,ROUND(MAX('1-6月基数信息'!M$5,MIN($AF13,'1-6月基数信息'!M$6))*AG$3,0))</f>
        <v>275</v>
      </c>
      <c r="AH13" s="36">
        <f>IF($AF13="",0,ROUND(MAX('1-6月基数信息'!N$5,MIN($AF13,'1-6月基数信息'!N$6))*AH$3,0))</f>
        <v>275</v>
      </c>
      <c r="AI13" s="36">
        <f>IF($AF13="",0,SUM(AG13:AH13))</f>
        <v>550</v>
      </c>
      <c r="AJ13" s="28"/>
      <c r="AK13" s="28"/>
      <c r="AL13" s="28"/>
      <c r="AM13" s="28"/>
      <c r="AN13" s="28"/>
      <c r="AO13" s="36">
        <v>5000</v>
      </c>
      <c r="AP13" s="63">
        <f>$T13</f>
        <v>14000</v>
      </c>
      <c r="AQ13" s="63">
        <f>$AB13</f>
        <v>440</v>
      </c>
      <c r="AR13" s="63">
        <f>$AD13</f>
        <v>114.14</v>
      </c>
      <c r="AS13" s="63">
        <f>$AC13</f>
        <v>0</v>
      </c>
      <c r="AT13" s="63">
        <f>$AH13</f>
        <v>275</v>
      </c>
      <c r="AU13" s="63">
        <f>$AP13+VLOOKUP($F13,'4月工资表'!$F$5:$BI$23,42,FALSE)</f>
        <v>88000</v>
      </c>
      <c r="AV13" s="63">
        <f>$AO13+VLOOKUP($F13,'4月工资表'!$F$5:$BI$23,43,FALSE)</f>
        <v>25000</v>
      </c>
      <c r="AW13" s="63">
        <f>AQ13+AR13+AS13+AT13+VLOOKUP($F13,'4月工资表'!$F$5:$BI$23,44,FALSE)</f>
        <v>4145.7</v>
      </c>
      <c r="AX13" s="63">
        <f>AJ13+VLOOKUP($F13,'4月工资表'!$F$5:$BI$23,45,FALSE)</f>
        <v>0</v>
      </c>
      <c r="AY13" s="63">
        <f>AK13+VLOOKUP($F13,'4月工资表'!$F$5:$BI$23,46,FALSE)</f>
        <v>0</v>
      </c>
      <c r="AZ13" s="63">
        <f>AL13+VLOOKUP($F13,'4月工资表'!$F$5:$BI$23,47,FALSE)</f>
        <v>0</v>
      </c>
      <c r="BA13" s="63">
        <f>AM13+VLOOKUP($F13,'4月工资表'!$F$5:$BI$23,48,FALSE)</f>
        <v>0</v>
      </c>
      <c r="BB13" s="63">
        <f>AN13+VLOOKUP($F13,'4月工资表'!$F$5:$BI$23,49,FALSE)</f>
        <v>0</v>
      </c>
      <c r="BC13" s="63">
        <f>IF(AU13="","",AU13-AV13-AW13-AX13-AY13-AZ13-BA13-BB13)</f>
        <v>58854.3</v>
      </c>
      <c r="BD13" s="63">
        <f>ROUND(IF(BC13="","",MAX(0,BC13*{3;10;20;25;30;35;45}%-{0;2520;16920;31920;52920;85920;181920})),2)</f>
        <v>3365.43</v>
      </c>
      <c r="BE13" s="63">
        <f>VLOOKUP($F13,'4月工资表'!$F$5:$BI$23,51,FALSE)</f>
        <v>2548.34</v>
      </c>
      <c r="BF13" s="135">
        <f>IF(BD13="","",IF(BD13&lt;=BE13,0,BD13-BE13))</f>
        <v>817.08999999999969</v>
      </c>
      <c r="BG13" s="136">
        <f>IF(AP13="","",AP13-AQ13-AR13-AS13-AT13-BF13)</f>
        <v>12353.77</v>
      </c>
      <c r="BH13" s="155"/>
      <c r="BI13" s="111"/>
    </row>
    <row r="14" spans="1:61" ht="20.149999999999999" customHeight="1" x14ac:dyDescent="0.25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99</v>
      </c>
      <c r="G14" s="83">
        <v>2700</v>
      </c>
      <c r="H14" s="84">
        <v>5400</v>
      </c>
      <c r="I14" s="117">
        <v>0</v>
      </c>
      <c r="J14" s="84">
        <v>900</v>
      </c>
      <c r="K14" s="82">
        <v>0</v>
      </c>
      <c r="L14" s="83">
        <v>1800</v>
      </c>
      <c r="M14" s="83">
        <v>1800</v>
      </c>
      <c r="N14" s="36">
        <f>SUM(G14:M14)</f>
        <v>12600</v>
      </c>
      <c r="O14" s="28">
        <v>22</v>
      </c>
      <c r="P14" s="28">
        <v>22</v>
      </c>
      <c r="Q14" s="36">
        <f>IF(O14="",0,O14-P14)</f>
        <v>0</v>
      </c>
      <c r="R14" s="36">
        <f>IF(O14="",0,ROUND(N14/21.75*Q14,2))</f>
        <v>0</v>
      </c>
      <c r="S14" s="36"/>
      <c r="T14" s="36">
        <f>N14-R14</f>
        <v>12600</v>
      </c>
      <c r="U14" s="142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>IF($U14="",0,SUM(V14:Z14))</f>
        <v>1535.16</v>
      </c>
      <c r="AB14" s="36">
        <f>IF($U14="",0,ROUND(MAX('1-6月基数信息'!I$5,MIN($U14,'1-6月基数信息'!I$6))*AB$3,2))</f>
        <v>440</v>
      </c>
      <c r="AC14" s="36">
        <f>IF($E15="农村",0,IF($U14="",0,ROUND(MAX('1-6月基数信息'!J$5,MIN($U14,'1-6月基数信息'!J$6))*AC$3,2)))</f>
        <v>11</v>
      </c>
      <c r="AD14" s="36">
        <f>IF($U14="",0,ROUND(MAX('1-6月基数信息'!K$5,MIN($U14,'1-6月基数信息'!K$6))*2%+3,2))</f>
        <v>114.14</v>
      </c>
      <c r="AE14" s="36">
        <f>IF($U14="",0,SUM(AB14:AD14))</f>
        <v>565.14</v>
      </c>
      <c r="AF14" s="142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>IF($AF14="",0,SUM(AG14:AH14))</f>
        <v>550</v>
      </c>
      <c r="AJ14" s="28">
        <v>1000</v>
      </c>
      <c r="AK14" s="28">
        <v>1000</v>
      </c>
      <c r="AL14" s="28"/>
      <c r="AM14" s="28"/>
      <c r="AN14" s="28"/>
      <c r="AO14" s="36">
        <v>5000</v>
      </c>
      <c r="AP14" s="63">
        <f>$T14</f>
        <v>12600</v>
      </c>
      <c r="AQ14" s="63">
        <f>$AB14</f>
        <v>440</v>
      </c>
      <c r="AR14" s="63">
        <f>$AD14</f>
        <v>114.14</v>
      </c>
      <c r="AS14" s="63">
        <f>$AC14</f>
        <v>11</v>
      </c>
      <c r="AT14" s="63">
        <f>$AH14</f>
        <v>275</v>
      </c>
      <c r="AU14" s="63">
        <f>$AP14+VLOOKUP($F14,'4月工资表'!$F$5:$BI$23,42,FALSE)</f>
        <v>78372.41</v>
      </c>
      <c r="AV14" s="63">
        <f>$AO14+VLOOKUP($F14,'4月工资表'!$F$5:$BI$23,43,FALSE)</f>
        <v>25000</v>
      </c>
      <c r="AW14" s="63">
        <f>AQ14+AR14+AS14+AT14+VLOOKUP($F14,'4月工资表'!$F$5:$BI$23,44,FALSE)</f>
        <v>4200.7</v>
      </c>
      <c r="AX14" s="63">
        <f>AJ14+VLOOKUP($F14,'4月工资表'!$F$5:$BI$23,45,FALSE)</f>
        <v>5000</v>
      </c>
      <c r="AY14" s="63">
        <f>AK14+VLOOKUP($F14,'4月工资表'!$F$5:$BI$23,46,FALSE)</f>
        <v>5000</v>
      </c>
      <c r="AZ14" s="63">
        <f>AL14+VLOOKUP($F14,'4月工资表'!$F$5:$BI$23,47,FALSE)</f>
        <v>0</v>
      </c>
      <c r="BA14" s="63">
        <f>AM14+VLOOKUP($F14,'4月工资表'!$F$5:$BI$23,48,FALSE)</f>
        <v>0</v>
      </c>
      <c r="BB14" s="63">
        <f>AN14+VLOOKUP($F14,'4月工资表'!$F$5:$BI$23,49,FALSE)</f>
        <v>0</v>
      </c>
      <c r="BC14" s="63">
        <f>IF(AU14="","",AU14-AV14-AW14-AX14-AY14-AZ14-BA14-BB14)</f>
        <v>39171.710000000006</v>
      </c>
      <c r="BD14" s="63">
        <f>ROUND(IF(BC14="","",MAX(0,BC14*{3;10;20;25;30;35;45}%-{0;2520;16920;31920;52920;85920;181920})),2)</f>
        <v>1397.17</v>
      </c>
      <c r="BE14" s="63">
        <f>VLOOKUP($F14,'4月工资表'!$F$5:$BI$23,51,FALSE)</f>
        <v>1032.3599999999999</v>
      </c>
      <c r="BF14" s="135">
        <f>IF(BD14="","",IF(BD14&lt;=BE14,0,BD14-BE14))</f>
        <v>364.81000000000017</v>
      </c>
      <c r="BG14" s="136">
        <f>IF(AP14="","",AP14-AQ14-AR14-AS14-AT14-BF14)</f>
        <v>11395.050000000001</v>
      </c>
      <c r="BH14" s="65"/>
      <c r="BI14" s="65"/>
    </row>
    <row r="15" spans="1:61" ht="20.149999999999999" customHeight="1" x14ac:dyDescent="0.25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104</v>
      </c>
      <c r="G15" s="83">
        <v>3750</v>
      </c>
      <c r="H15" s="85">
        <v>7500</v>
      </c>
      <c r="I15" s="117">
        <v>0</v>
      </c>
      <c r="J15" s="83">
        <v>1250</v>
      </c>
      <c r="K15" s="82">
        <v>0</v>
      </c>
      <c r="L15" s="83">
        <v>2500</v>
      </c>
      <c r="M15" s="83">
        <v>2500</v>
      </c>
      <c r="N15" s="36">
        <f>SUM(G15:M15)</f>
        <v>17500</v>
      </c>
      <c r="O15" s="28">
        <v>22</v>
      </c>
      <c r="P15" s="28">
        <v>22</v>
      </c>
      <c r="Q15" s="36">
        <f>IF(O15="",0,O15-P15)</f>
        <v>0</v>
      </c>
      <c r="R15" s="36">
        <f>IF(O15="",0,ROUND(N15/21.75*Q15,2))</f>
        <v>0</v>
      </c>
      <c r="S15" s="36"/>
      <c r="T15" s="36">
        <f>N15-R15</f>
        <v>17500</v>
      </c>
      <c r="U15" s="69">
        <v>8000</v>
      </c>
      <c r="V15" s="36">
        <f>IF($U15="",0,ROUND(MAX('1-6月基数信息'!C$5,MIN($U15,'1-6月基数信息'!C$6))*'4月工资表'!V$3,2))</f>
        <v>1280</v>
      </c>
      <c r="W15" s="36">
        <f>IF($U15="",0,ROUND(MAX('1-6月基数信息'!D$5,MIN($U15,'1-6月基数信息'!D$6))*'4月工资表'!W$3,2))</f>
        <v>64</v>
      </c>
      <c r="X15" s="36">
        <f>IF($U15="",0,ROUND(MAX('1-6月基数信息'!E$5,MIN($U15,'1-6月基数信息'!E$6))*'4月工资表'!X$3,2))</f>
        <v>16</v>
      </c>
      <c r="Y15" s="36">
        <f>IF($U15="",0,ROUND(MAX('1-6月基数信息'!F$5,MIN($U15,'1-6月基数信息'!F$6))*'4月工资表'!Y$3,2))</f>
        <v>800</v>
      </c>
      <c r="Z15" s="36">
        <f>IF($U15="",0,ROUND(MAX('1-6月基数信息'!G$5,MIN($U15,'1-6月基数信息'!G$6))*'4月工资表'!Z$3,2))</f>
        <v>64</v>
      </c>
      <c r="AA15" s="36">
        <f>IF($U15="",0,SUM(V15:Z15))</f>
        <v>2224</v>
      </c>
      <c r="AB15" s="36">
        <f>IF($U15="",0,ROUND(MAX('1-6月基数信息'!I$5,MIN($U15,'1-6月基数信息'!I$6))*'4月工资表'!AB$3,2))</f>
        <v>640</v>
      </c>
      <c r="AC15" s="36">
        <f>IF('4月工资表'!$E17="农村",0,IF($U15="",0,ROUND(MAX('1-6月基数信息'!J$5,MIN($U15,'1-6月基数信息'!J$6))*'4月工资表'!AC$3,2)))</f>
        <v>16</v>
      </c>
      <c r="AD15" s="36">
        <f>IF($U15="",0,ROUND(MAX('1-6月基数信息'!K$5,MIN($U15,'1-6月基数信息'!K$6))*2%+3,2))</f>
        <v>163</v>
      </c>
      <c r="AE15" s="36">
        <f>IF($U15="",0,SUM(AB15:AD15))</f>
        <v>819</v>
      </c>
      <c r="AF15" s="69">
        <v>8000</v>
      </c>
      <c r="AG15" s="36">
        <f>IF($AF15="",0,ROUND(MAX('1-6月基数信息'!M$5,MIN($AF15,'1-6月基数信息'!M$6))*'4月工资表'!AG$3,0))</f>
        <v>400</v>
      </c>
      <c r="AH15" s="36">
        <f>IF($AF15="",0,ROUND(MAX('1-6月基数信息'!N$5,MIN($AF15,'1-6月基数信息'!N$6))*'4月工资表'!AH$3,0))</f>
        <v>400</v>
      </c>
      <c r="AI15" s="36">
        <f>IF($AF15="",0,SUM(AG15:AH15))</f>
        <v>800</v>
      </c>
      <c r="AJ15" s="28"/>
      <c r="AK15" s="28"/>
      <c r="AL15" s="28"/>
      <c r="AM15" s="28">
        <v>1000</v>
      </c>
      <c r="AN15" s="28"/>
      <c r="AO15" s="36">
        <v>5000</v>
      </c>
      <c r="AP15" s="63">
        <f>$T15</f>
        <v>17500</v>
      </c>
      <c r="AQ15" s="63">
        <f>$AB15</f>
        <v>640</v>
      </c>
      <c r="AR15" s="63">
        <f>$AD15</f>
        <v>163</v>
      </c>
      <c r="AS15" s="63">
        <f>$AC15</f>
        <v>16</v>
      </c>
      <c r="AT15" s="63">
        <f>$AH15</f>
        <v>400</v>
      </c>
      <c r="AU15" s="63">
        <f>$AP15+VLOOKUP($F15,'4月工资表'!$F$5:$BI$23,42,FALSE)</f>
        <v>110000</v>
      </c>
      <c r="AV15" s="63">
        <f>$AO15+VLOOKUP($F15,'4月工资表'!$F$5:$BI$23,43,FALSE)</f>
        <v>25000</v>
      </c>
      <c r="AW15" s="63">
        <f>AQ15+AR15+AS15+AT15+VLOOKUP($F15,'4月工资表'!$F$5:$BI$23,44,FALSE)</f>
        <v>6095</v>
      </c>
      <c r="AX15" s="63">
        <f>AJ15+VLOOKUP($F15,'4月工资表'!$F$5:$BI$23,45,FALSE)</f>
        <v>0</v>
      </c>
      <c r="AY15" s="63">
        <f>AK15+VLOOKUP($F15,'4月工资表'!$F$5:$BI$23,46,FALSE)</f>
        <v>0</v>
      </c>
      <c r="AZ15" s="63">
        <f>AL15+VLOOKUP($F15,'4月工资表'!$F$5:$BI$23,47,FALSE)</f>
        <v>0</v>
      </c>
      <c r="BA15" s="63">
        <f>AM15+VLOOKUP($F15,'4月工资表'!$F$5:$BI$23,48,FALSE)</f>
        <v>5000</v>
      </c>
      <c r="BB15" s="63">
        <f>AN15+VLOOKUP($F15,'4月工资表'!$F$5:$BI$23,49,FALSE)</f>
        <v>0</v>
      </c>
      <c r="BC15" s="63">
        <f>IF(AU15="","",AU15-AV15-AW15-AX15-AY15-AZ15-BA15-BB15)</f>
        <v>73905</v>
      </c>
      <c r="BD15" s="63">
        <f>ROUND(IF(BC15="","",MAX(0,BC15*{3;10;20;25;30;35;45}%-{0;2520;16920;31920;52920;85920;181920})),2)</f>
        <v>4870.5</v>
      </c>
      <c r="BE15" s="63">
        <f>VLOOKUP($F15,'4月工资表'!$F$5:$BI$23,51,FALSE)</f>
        <v>3842.4</v>
      </c>
      <c r="BF15" s="135">
        <f>IF(BD15="","",IF(BD15&lt;=BE15,0,BD15-BE15))</f>
        <v>1028.0999999999999</v>
      </c>
      <c r="BG15" s="136">
        <f>IF(AP15="","",AP15-AQ15-AR15-AS15-AT15-BF15)</f>
        <v>15252.9</v>
      </c>
      <c r="BH15" s="65"/>
      <c r="BI15" s="65"/>
    </row>
    <row r="16" spans="1:61" s="42" customFormat="1" ht="20.149999999999999" customHeight="1" x14ac:dyDescent="0.25">
      <c r="A16" s="78" t="s">
        <v>105</v>
      </c>
      <c r="F16" s="50"/>
      <c r="G16" s="86">
        <f>SUM(G5:G15)</f>
        <v>33600</v>
      </c>
      <c r="H16" s="152">
        <f>SUM(H5:H15)</f>
        <v>37200</v>
      </c>
      <c r="I16" s="86">
        <f t="shared" ref="I16:N16" si="16">SUM(I5:I15)</f>
        <v>0</v>
      </c>
      <c r="J16" s="86">
        <f t="shared" si="16"/>
        <v>6200</v>
      </c>
      <c r="K16" s="86">
        <f t="shared" si="16"/>
        <v>0</v>
      </c>
      <c r="L16" s="86">
        <f>SUM(L10:L15)</f>
        <v>12400</v>
      </c>
      <c r="M16" s="86">
        <f t="shared" si="16"/>
        <v>12400</v>
      </c>
      <c r="N16" s="42">
        <f t="shared" si="16"/>
        <v>101800</v>
      </c>
      <c r="Q16" s="42">
        <f>SUM(Q5:Q15)</f>
        <v>0</v>
      </c>
      <c r="R16" s="42">
        <f>SUM(R5:R15)</f>
        <v>0</v>
      </c>
      <c r="T16" s="42">
        <f>SUM(T5:T15)</f>
        <v>97431.2</v>
      </c>
      <c r="V16" s="42">
        <f t="shared" ref="V16:AE16" si="17">SUM(V5:V15)</f>
        <v>10848</v>
      </c>
      <c r="W16" s="42">
        <f t="shared" si="17"/>
        <v>542.4</v>
      </c>
      <c r="X16" s="154">
        <f t="shared" si="17"/>
        <v>135.6</v>
      </c>
      <c r="Y16" s="42">
        <f t="shared" si="17"/>
        <v>6948.5</v>
      </c>
      <c r="Z16" s="42">
        <f t="shared" si="17"/>
        <v>555.9</v>
      </c>
      <c r="AA16" s="42">
        <f>SUM(AA5:AA15)</f>
        <v>19030.400000000001</v>
      </c>
      <c r="AB16" s="42">
        <f t="shared" si="17"/>
        <v>5424</v>
      </c>
      <c r="AC16" s="42">
        <f t="shared" si="17"/>
        <v>70.599999999999994</v>
      </c>
      <c r="AD16" s="42">
        <f t="shared" si="17"/>
        <v>1419.7000000000003</v>
      </c>
      <c r="AE16" s="42">
        <f t="shared" si="17"/>
        <v>6914.3000000000011</v>
      </c>
      <c r="AG16" s="42">
        <f>SUM(AG5:AG15)</f>
        <v>3390</v>
      </c>
      <c r="AH16" s="42">
        <f>SUM(AH5:AH15)</f>
        <v>3390</v>
      </c>
      <c r="AI16" s="42">
        <f>SUM(AI5:AI15)</f>
        <v>9260</v>
      </c>
      <c r="AP16" s="42">
        <f t="shared" ref="AP16:BI16" si="18">SUM(AP5:AP15)</f>
        <v>97431.2</v>
      </c>
      <c r="AQ16" s="42">
        <f t="shared" si="18"/>
        <v>5424</v>
      </c>
      <c r="AR16" s="42">
        <f t="shared" si="18"/>
        <v>1419.7000000000003</v>
      </c>
      <c r="AS16" s="42">
        <f t="shared" si="18"/>
        <v>70.599999999999994</v>
      </c>
      <c r="AT16" s="42">
        <f t="shared" si="18"/>
        <v>3390</v>
      </c>
      <c r="AU16" s="42">
        <f t="shared" si="18"/>
        <v>679519.61</v>
      </c>
      <c r="AV16" s="42">
        <f t="shared" si="18"/>
        <v>275000</v>
      </c>
      <c r="AW16" s="42">
        <f t="shared" si="18"/>
        <v>55120.7</v>
      </c>
      <c r="AX16" s="42">
        <f t="shared" si="18"/>
        <v>20000</v>
      </c>
      <c r="AY16" s="42">
        <f t="shared" si="18"/>
        <v>50000</v>
      </c>
      <c r="AZ16" s="42">
        <f t="shared" si="18"/>
        <v>0</v>
      </c>
      <c r="BA16" s="42">
        <f t="shared" si="18"/>
        <v>15000</v>
      </c>
      <c r="BB16" s="42">
        <f t="shared" si="18"/>
        <v>0</v>
      </c>
      <c r="BC16" s="42">
        <f t="shared" si="18"/>
        <v>264398.91000000003</v>
      </c>
      <c r="BD16" s="42">
        <f t="shared" si="18"/>
        <v>17910.080000000002</v>
      </c>
      <c r="BE16" s="42">
        <f t="shared" si="18"/>
        <v>13908.570000000002</v>
      </c>
      <c r="BF16" s="46">
        <f>SUM(BF10:BF15)</f>
        <v>4274</v>
      </c>
      <c r="BG16" s="46">
        <f>SUM(BG10:BG15)</f>
        <v>75571.58</v>
      </c>
      <c r="BH16" s="154"/>
      <c r="BI16" s="42">
        <f t="shared" si="18"/>
        <v>0</v>
      </c>
    </row>
    <row r="18" spans="7:10" ht="20.149999999999999" customHeight="1" x14ac:dyDescent="0.25">
      <c r="G18" s="88" t="s">
        <v>106</v>
      </c>
      <c r="H18" s="42">
        <v>19030.400000000001</v>
      </c>
    </row>
    <row r="19" spans="7:10" ht="20.149999999999999" customHeight="1" x14ac:dyDescent="0.25">
      <c r="G19" s="88" t="s">
        <v>107</v>
      </c>
      <c r="H19" s="157">
        <v>3390</v>
      </c>
      <c r="J19" s="156"/>
    </row>
    <row r="20" spans="7:10" ht="20.149999999999999" customHeight="1" x14ac:dyDescent="0.25">
      <c r="G20" s="88" t="s">
        <v>108</v>
      </c>
      <c r="H20" s="157">
        <v>98288.14</v>
      </c>
    </row>
    <row r="21" spans="7:10" x14ac:dyDescent="0.25">
      <c r="H21" s="156"/>
    </row>
  </sheetData>
  <mergeCells count="38"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honeticPr fontId="21" type="noConversion"/>
  <dataValidations count="1">
    <dataValidation type="list" allowBlank="1" showInputMessage="1" showErrorMessage="1" sqref="E5:E15" xr:uid="{348AE79C-B0D3-428D-8D28-BAA03A3379C2}">
      <formula1>"城镇,农村"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BDEDB-F421-4782-8634-E1F96D359822}">
  <dimension ref="A1:S34"/>
  <sheetViews>
    <sheetView workbookViewId="0">
      <selection sqref="A1:XFD1048576"/>
    </sheetView>
  </sheetViews>
  <sheetFormatPr defaultRowHeight="14" x14ac:dyDescent="0.25"/>
  <cols>
    <col min="1" max="1" width="2.453125" style="166" customWidth="1"/>
    <col min="2" max="18" width="8.7265625" style="166"/>
    <col min="19" max="19" width="3.26953125" style="169" bestFit="1" customWidth="1"/>
    <col min="20" max="16384" width="8.7265625" style="166"/>
  </cols>
  <sheetData>
    <row r="1" spans="1:18" s="238" customFormat="1" ht="27.5" customHeight="1" x14ac:dyDescent="0.25">
      <c r="A1" s="238" t="s">
        <v>165</v>
      </c>
    </row>
    <row r="2" spans="1:18" x14ac:dyDescent="0.25">
      <c r="B2" s="80" t="s">
        <v>1</v>
      </c>
      <c r="C2" s="71" t="s">
        <v>6</v>
      </c>
      <c r="D2" s="103" t="s">
        <v>14</v>
      </c>
      <c r="E2" s="80" t="s">
        <v>40</v>
      </c>
      <c r="F2" s="34" t="s">
        <v>141</v>
      </c>
      <c r="G2" s="90" t="s">
        <v>142</v>
      </c>
      <c r="H2" s="104" t="s">
        <v>145</v>
      </c>
      <c r="I2" s="30" t="s">
        <v>42</v>
      </c>
      <c r="J2" s="30" t="s">
        <v>43</v>
      </c>
      <c r="K2" s="30" t="s">
        <v>45</v>
      </c>
      <c r="L2" s="30" t="s">
        <v>143</v>
      </c>
      <c r="M2" s="30" t="s">
        <v>161</v>
      </c>
      <c r="N2" s="30" t="s">
        <v>162</v>
      </c>
      <c r="O2" s="30" t="s">
        <v>163</v>
      </c>
      <c r="P2" s="30" t="s">
        <v>164</v>
      </c>
      <c r="Q2" s="158" t="s">
        <v>152</v>
      </c>
      <c r="R2" s="92" t="s">
        <v>35</v>
      </c>
    </row>
    <row r="3" spans="1:18" x14ac:dyDescent="0.25">
      <c r="B3" s="77">
        <v>1</v>
      </c>
      <c r="C3" s="29" t="s">
        <v>60</v>
      </c>
      <c r="D3" s="28">
        <v>3000</v>
      </c>
      <c r="E3" s="28"/>
      <c r="F3" s="28"/>
      <c r="G3" s="28">
        <v>117</v>
      </c>
      <c r="H3" s="28">
        <v>2883</v>
      </c>
      <c r="I3" s="28">
        <v>480</v>
      </c>
      <c r="J3" s="28">
        <v>12</v>
      </c>
      <c r="K3" s="28">
        <v>123</v>
      </c>
      <c r="L3" s="28">
        <v>300</v>
      </c>
      <c r="M3" s="28"/>
      <c r="N3" s="28">
        <v>1000</v>
      </c>
      <c r="O3" s="28"/>
      <c r="P3" s="28"/>
      <c r="Q3" s="161">
        <v>0</v>
      </c>
      <c r="R3" s="161">
        <v>0</v>
      </c>
    </row>
    <row r="4" spans="1:18" s="239" customFormat="1" ht="11" customHeight="1" x14ac:dyDescent="0.25"/>
    <row r="5" spans="1:18" x14ac:dyDescent="0.25">
      <c r="B5" s="80" t="s">
        <v>1</v>
      </c>
      <c r="C5" s="71" t="s">
        <v>6</v>
      </c>
      <c r="D5" s="103" t="s">
        <v>14</v>
      </c>
      <c r="E5" s="80" t="s">
        <v>40</v>
      </c>
      <c r="F5" s="34" t="s">
        <v>141</v>
      </c>
      <c r="G5" s="90" t="s">
        <v>142</v>
      </c>
      <c r="H5" s="104" t="s">
        <v>145</v>
      </c>
      <c r="I5" s="30" t="s">
        <v>42</v>
      </c>
      <c r="J5" s="30" t="s">
        <v>43</v>
      </c>
      <c r="K5" s="30" t="s">
        <v>45</v>
      </c>
      <c r="L5" s="30" t="s">
        <v>143</v>
      </c>
      <c r="M5" s="30" t="s">
        <v>161</v>
      </c>
      <c r="N5" s="30" t="s">
        <v>162</v>
      </c>
      <c r="O5" s="30" t="s">
        <v>163</v>
      </c>
      <c r="P5" s="30" t="s">
        <v>164</v>
      </c>
      <c r="Q5" s="158" t="s">
        <v>152</v>
      </c>
      <c r="R5" s="92" t="s">
        <v>35</v>
      </c>
    </row>
    <row r="6" spans="1:18" x14ac:dyDescent="0.25">
      <c r="B6" s="77">
        <v>2</v>
      </c>
      <c r="C6" s="29" t="s">
        <v>62</v>
      </c>
      <c r="D6" s="28">
        <v>3000</v>
      </c>
      <c r="E6" s="28">
        <v>0</v>
      </c>
      <c r="F6" s="28">
        <v>0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1000</v>
      </c>
      <c r="N6" s="28">
        <v>2000</v>
      </c>
      <c r="O6" s="28"/>
      <c r="P6" s="28">
        <v>1000</v>
      </c>
      <c r="Q6" s="161">
        <v>0</v>
      </c>
      <c r="R6" s="161">
        <v>0</v>
      </c>
    </row>
    <row r="7" spans="1:18" x14ac:dyDescent="0.25">
      <c r="B7" s="167"/>
      <c r="C7" s="168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0"/>
      <c r="R7" s="20"/>
    </row>
    <row r="8" spans="1:18" x14ac:dyDescent="0.25">
      <c r="B8" s="80" t="s">
        <v>1</v>
      </c>
      <c r="C8" s="71" t="s">
        <v>6</v>
      </c>
      <c r="D8" s="103" t="s">
        <v>14</v>
      </c>
      <c r="E8" s="80" t="s">
        <v>40</v>
      </c>
      <c r="F8" s="34" t="s">
        <v>141</v>
      </c>
      <c r="G8" s="90" t="s">
        <v>142</v>
      </c>
      <c r="H8" s="104" t="s">
        <v>145</v>
      </c>
      <c r="I8" s="30" t="s">
        <v>42</v>
      </c>
      <c r="J8" s="30" t="s">
        <v>43</v>
      </c>
      <c r="K8" s="30" t="s">
        <v>45</v>
      </c>
      <c r="L8" s="30" t="s">
        <v>143</v>
      </c>
      <c r="M8" s="30" t="s">
        <v>161</v>
      </c>
      <c r="N8" s="30" t="s">
        <v>162</v>
      </c>
      <c r="O8" s="30" t="s">
        <v>163</v>
      </c>
      <c r="P8" s="30" t="s">
        <v>164</v>
      </c>
      <c r="Q8" s="158" t="s">
        <v>152</v>
      </c>
      <c r="R8" s="92" t="s">
        <v>35</v>
      </c>
    </row>
    <row r="9" spans="1:18" x14ac:dyDescent="0.25">
      <c r="B9" s="77">
        <v>3</v>
      </c>
      <c r="C9" s="29" t="s">
        <v>64</v>
      </c>
      <c r="D9" s="28">
        <v>3000</v>
      </c>
      <c r="E9" s="28">
        <v>0</v>
      </c>
      <c r="F9" s="28">
        <v>0</v>
      </c>
      <c r="G9" s="28">
        <v>165.2</v>
      </c>
      <c r="H9" s="28">
        <v>2834.8</v>
      </c>
      <c r="I9" s="28">
        <v>472</v>
      </c>
      <c r="J9" s="28">
        <v>11.8</v>
      </c>
      <c r="K9" s="28">
        <v>121</v>
      </c>
      <c r="L9" s="28">
        <v>295</v>
      </c>
      <c r="M9" s="28"/>
      <c r="N9" s="28">
        <v>2000</v>
      </c>
      <c r="O9" s="28"/>
      <c r="P9" s="28">
        <v>1000</v>
      </c>
      <c r="Q9" s="161">
        <v>0</v>
      </c>
      <c r="R9" s="161">
        <v>0</v>
      </c>
    </row>
    <row r="10" spans="1:18" x14ac:dyDescent="0.25">
      <c r="B10" s="167"/>
      <c r="C10" s="168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0"/>
      <c r="R10" s="20"/>
    </row>
    <row r="11" spans="1:18" x14ac:dyDescent="0.25">
      <c r="B11" s="80" t="s">
        <v>1</v>
      </c>
      <c r="C11" s="71" t="s">
        <v>6</v>
      </c>
      <c r="D11" s="103" t="s">
        <v>14</v>
      </c>
      <c r="E11" s="80" t="s">
        <v>40</v>
      </c>
      <c r="F11" s="34" t="s">
        <v>141</v>
      </c>
      <c r="G11" s="90" t="s">
        <v>142</v>
      </c>
      <c r="H11" s="104" t="s">
        <v>145</v>
      </c>
      <c r="I11" s="30" t="s">
        <v>42</v>
      </c>
      <c r="J11" s="30" t="s">
        <v>43</v>
      </c>
      <c r="K11" s="30" t="s">
        <v>45</v>
      </c>
      <c r="L11" s="30" t="s">
        <v>143</v>
      </c>
      <c r="M11" s="30" t="s">
        <v>161</v>
      </c>
      <c r="N11" s="30" t="s">
        <v>162</v>
      </c>
      <c r="O11" s="30" t="s">
        <v>163</v>
      </c>
      <c r="P11" s="30" t="s">
        <v>164</v>
      </c>
      <c r="Q11" s="158" t="s">
        <v>152</v>
      </c>
      <c r="R11" s="92" t="s">
        <v>35</v>
      </c>
    </row>
    <row r="12" spans="1:18" x14ac:dyDescent="0.25">
      <c r="B12" s="77">
        <v>4</v>
      </c>
      <c r="C12" s="29" t="s">
        <v>67</v>
      </c>
      <c r="D12" s="28">
        <v>3000</v>
      </c>
      <c r="E12" s="28"/>
      <c r="F12" s="28"/>
      <c r="G12" s="28">
        <v>490.5</v>
      </c>
      <c r="H12" s="28">
        <v>2509.5</v>
      </c>
      <c r="I12" s="28">
        <v>408</v>
      </c>
      <c r="J12" s="28">
        <v>10.199999999999999</v>
      </c>
      <c r="K12" s="28">
        <v>114.14</v>
      </c>
      <c r="L12" s="28">
        <v>255</v>
      </c>
      <c r="M12" s="28">
        <v>1000</v>
      </c>
      <c r="N12" s="28">
        <v>2000</v>
      </c>
      <c r="O12" s="28"/>
      <c r="P12" s="28"/>
      <c r="Q12" s="161">
        <v>0</v>
      </c>
      <c r="R12" s="161">
        <v>0</v>
      </c>
    </row>
    <row r="13" spans="1:18" x14ac:dyDescent="0.25">
      <c r="B13" s="167"/>
      <c r="C13" s="168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0"/>
      <c r="R13" s="20"/>
    </row>
    <row r="14" spans="1:18" x14ac:dyDescent="0.25">
      <c r="B14" s="80" t="s">
        <v>1</v>
      </c>
      <c r="C14" s="71" t="s">
        <v>6</v>
      </c>
      <c r="D14" s="103" t="s">
        <v>14</v>
      </c>
      <c r="E14" s="80" t="s">
        <v>40</v>
      </c>
      <c r="F14" s="34" t="s">
        <v>141</v>
      </c>
      <c r="G14" s="90" t="s">
        <v>142</v>
      </c>
      <c r="H14" s="104" t="s">
        <v>145</v>
      </c>
      <c r="I14" s="30" t="s">
        <v>42</v>
      </c>
      <c r="J14" s="30" t="s">
        <v>43</v>
      </c>
      <c r="K14" s="30" t="s">
        <v>45</v>
      </c>
      <c r="L14" s="30" t="s">
        <v>143</v>
      </c>
      <c r="M14" s="30" t="s">
        <v>161</v>
      </c>
      <c r="N14" s="30" t="s">
        <v>162</v>
      </c>
      <c r="O14" s="30" t="s">
        <v>163</v>
      </c>
      <c r="P14" s="30" t="s">
        <v>164</v>
      </c>
      <c r="Q14" s="158" t="s">
        <v>152</v>
      </c>
      <c r="R14" s="92" t="s">
        <v>35</v>
      </c>
    </row>
    <row r="15" spans="1:18" x14ac:dyDescent="0.25">
      <c r="B15" s="77">
        <v>5</v>
      </c>
      <c r="C15" s="29" t="s">
        <v>70</v>
      </c>
      <c r="D15" s="28">
        <v>3000</v>
      </c>
      <c r="E15" s="28">
        <v>0</v>
      </c>
      <c r="F15" s="28">
        <v>0</v>
      </c>
      <c r="G15" s="28">
        <v>596.1</v>
      </c>
      <c r="H15" s="28">
        <v>2403.9</v>
      </c>
      <c r="I15" s="28">
        <v>384</v>
      </c>
      <c r="J15" s="28">
        <v>9.6</v>
      </c>
      <c r="K15" s="28">
        <v>114.14</v>
      </c>
      <c r="L15" s="28">
        <v>240</v>
      </c>
      <c r="M15" s="28">
        <v>1000</v>
      </c>
      <c r="N15" s="28">
        <v>2000</v>
      </c>
      <c r="O15" s="28"/>
      <c r="P15" s="28"/>
      <c r="Q15" s="161">
        <v>0</v>
      </c>
      <c r="R15" s="161">
        <v>0</v>
      </c>
    </row>
    <row r="16" spans="1:18" x14ac:dyDescent="0.25">
      <c r="B16" s="167"/>
      <c r="C16" s="168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0"/>
      <c r="R16" s="20"/>
    </row>
    <row r="17" spans="2:18" x14ac:dyDescent="0.25">
      <c r="B17" s="80" t="s">
        <v>1</v>
      </c>
      <c r="C17" s="71" t="s">
        <v>6</v>
      </c>
      <c r="D17" s="103" t="s">
        <v>14</v>
      </c>
      <c r="E17" s="80" t="s">
        <v>40</v>
      </c>
      <c r="F17" s="34" t="s">
        <v>141</v>
      </c>
      <c r="G17" s="90" t="s">
        <v>142</v>
      </c>
      <c r="H17" s="104" t="s">
        <v>145</v>
      </c>
      <c r="I17" s="30" t="s">
        <v>42</v>
      </c>
      <c r="J17" s="30" t="s">
        <v>43</v>
      </c>
      <c r="K17" s="30" t="s">
        <v>45</v>
      </c>
      <c r="L17" s="30" t="s">
        <v>143</v>
      </c>
      <c r="M17" s="30" t="s">
        <v>161</v>
      </c>
      <c r="N17" s="30" t="s">
        <v>162</v>
      </c>
      <c r="O17" s="30" t="s">
        <v>163</v>
      </c>
      <c r="P17" s="30" t="s">
        <v>164</v>
      </c>
      <c r="Q17" s="158" t="s">
        <v>152</v>
      </c>
      <c r="R17" s="92" t="s">
        <v>35</v>
      </c>
    </row>
    <row r="18" spans="2:18" x14ac:dyDescent="0.25">
      <c r="B18" s="77">
        <v>6</v>
      </c>
      <c r="C18" s="29" t="s">
        <v>78</v>
      </c>
      <c r="D18" s="28">
        <v>18900</v>
      </c>
      <c r="E18" s="28">
        <v>0</v>
      </c>
      <c r="F18" s="28">
        <v>0</v>
      </c>
      <c r="G18" s="28">
        <v>0</v>
      </c>
      <c r="H18" s="28">
        <v>18900</v>
      </c>
      <c r="I18" s="28">
        <v>416</v>
      </c>
      <c r="J18" s="28">
        <v>0</v>
      </c>
      <c r="K18" s="28">
        <v>114.14</v>
      </c>
      <c r="L18" s="28">
        <v>260</v>
      </c>
      <c r="M18" s="28"/>
      <c r="N18" s="28"/>
      <c r="O18" s="28"/>
      <c r="P18" s="28"/>
      <c r="Q18" s="161">
        <v>1310.9900000000002</v>
      </c>
      <c r="R18" s="161">
        <v>16798.87</v>
      </c>
    </row>
    <row r="19" spans="2:18" x14ac:dyDescent="0.25">
      <c r="B19" s="167"/>
      <c r="C19" s="168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0"/>
      <c r="R19" s="20"/>
    </row>
    <row r="20" spans="2:18" x14ac:dyDescent="0.25">
      <c r="B20" s="80" t="s">
        <v>1</v>
      </c>
      <c r="C20" s="71" t="s">
        <v>6</v>
      </c>
      <c r="D20" s="103" t="s">
        <v>14</v>
      </c>
      <c r="E20" s="80" t="s">
        <v>40</v>
      </c>
      <c r="F20" s="34" t="s">
        <v>141</v>
      </c>
      <c r="G20" s="90" t="s">
        <v>142</v>
      </c>
      <c r="H20" s="104" t="s">
        <v>145</v>
      </c>
      <c r="I20" s="30" t="s">
        <v>42</v>
      </c>
      <c r="J20" s="30" t="s">
        <v>43</v>
      </c>
      <c r="K20" s="30" t="s">
        <v>45</v>
      </c>
      <c r="L20" s="30" t="s">
        <v>143</v>
      </c>
      <c r="M20" s="30" t="s">
        <v>161</v>
      </c>
      <c r="N20" s="30" t="s">
        <v>162</v>
      </c>
      <c r="O20" s="30" t="s">
        <v>163</v>
      </c>
      <c r="P20" s="30" t="s">
        <v>164</v>
      </c>
      <c r="Q20" s="158" t="s">
        <v>152</v>
      </c>
      <c r="R20" s="92" t="s">
        <v>35</v>
      </c>
    </row>
    <row r="21" spans="2:18" x14ac:dyDescent="0.25">
      <c r="B21" s="77">
        <v>7</v>
      </c>
      <c r="C21" s="29" t="s">
        <v>80</v>
      </c>
      <c r="D21" s="28">
        <v>11200</v>
      </c>
      <c r="E21" s="28">
        <v>0</v>
      </c>
      <c r="F21" s="28">
        <v>0</v>
      </c>
      <c r="G21" s="28"/>
      <c r="H21" s="28">
        <v>11200</v>
      </c>
      <c r="I21" s="28">
        <v>1024</v>
      </c>
      <c r="J21" s="28">
        <v>0</v>
      </c>
      <c r="K21" s="28">
        <v>259</v>
      </c>
      <c r="L21" s="28">
        <v>640</v>
      </c>
      <c r="M21" s="28"/>
      <c r="N21" s="28"/>
      <c r="O21" s="28"/>
      <c r="P21" s="28"/>
      <c r="Q21" s="161">
        <v>128.30999999999995</v>
      </c>
      <c r="R21" s="161">
        <v>9148.69</v>
      </c>
    </row>
    <row r="22" spans="2:18" x14ac:dyDescent="0.25">
      <c r="B22" s="167"/>
      <c r="C22" s="168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0"/>
      <c r="R22" s="20"/>
    </row>
    <row r="23" spans="2:18" x14ac:dyDescent="0.25">
      <c r="B23" s="80" t="s">
        <v>1</v>
      </c>
      <c r="C23" s="71" t="s">
        <v>6</v>
      </c>
      <c r="D23" s="103" t="s">
        <v>14</v>
      </c>
      <c r="E23" s="80" t="s">
        <v>40</v>
      </c>
      <c r="F23" s="34" t="s">
        <v>141</v>
      </c>
      <c r="G23" s="90" t="s">
        <v>142</v>
      </c>
      <c r="H23" s="104" t="s">
        <v>145</v>
      </c>
      <c r="I23" s="30" t="s">
        <v>42</v>
      </c>
      <c r="J23" s="30" t="s">
        <v>43</v>
      </c>
      <c r="K23" s="30" t="s">
        <v>45</v>
      </c>
      <c r="L23" s="30" t="s">
        <v>143</v>
      </c>
      <c r="M23" s="30" t="s">
        <v>161</v>
      </c>
      <c r="N23" s="30" t="s">
        <v>162</v>
      </c>
      <c r="O23" s="30" t="s">
        <v>163</v>
      </c>
      <c r="P23" s="30" t="s">
        <v>164</v>
      </c>
      <c r="Q23" s="158" t="s">
        <v>152</v>
      </c>
      <c r="R23" s="92" t="s">
        <v>35</v>
      </c>
    </row>
    <row r="24" spans="2:18" x14ac:dyDescent="0.25">
      <c r="B24" s="77">
        <v>8</v>
      </c>
      <c r="C24" s="29" t="s">
        <v>83</v>
      </c>
      <c r="D24" s="28">
        <v>12600</v>
      </c>
      <c r="E24" s="28">
        <v>0</v>
      </c>
      <c r="F24" s="28">
        <v>0</v>
      </c>
      <c r="G24" s="28"/>
      <c r="H24" s="28">
        <v>12600</v>
      </c>
      <c r="I24" s="28">
        <v>720</v>
      </c>
      <c r="J24" s="28">
        <v>0</v>
      </c>
      <c r="K24" s="28">
        <v>183</v>
      </c>
      <c r="L24" s="28">
        <v>450</v>
      </c>
      <c r="M24" s="28"/>
      <c r="N24" s="28"/>
      <c r="O24" s="28"/>
      <c r="P24" s="28"/>
      <c r="Q24" s="161">
        <v>624.70000000000005</v>
      </c>
      <c r="R24" s="161">
        <v>10622.3</v>
      </c>
    </row>
    <row r="25" spans="2:18" x14ac:dyDescent="0.25">
      <c r="B25" s="167"/>
      <c r="C25" s="168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0"/>
      <c r="R25" s="20"/>
    </row>
    <row r="26" spans="2:18" x14ac:dyDescent="0.25">
      <c r="B26" s="80" t="s">
        <v>1</v>
      </c>
      <c r="C26" s="71" t="s">
        <v>6</v>
      </c>
      <c r="D26" s="103" t="s">
        <v>14</v>
      </c>
      <c r="E26" s="80" t="s">
        <v>40</v>
      </c>
      <c r="F26" s="34" t="s">
        <v>141</v>
      </c>
      <c r="G26" s="90" t="s">
        <v>142</v>
      </c>
      <c r="H26" s="104" t="s">
        <v>145</v>
      </c>
      <c r="I26" s="30" t="s">
        <v>42</v>
      </c>
      <c r="J26" s="30" t="s">
        <v>43</v>
      </c>
      <c r="K26" s="30" t="s">
        <v>45</v>
      </c>
      <c r="L26" s="30" t="s">
        <v>143</v>
      </c>
      <c r="M26" s="30" t="s">
        <v>161</v>
      </c>
      <c r="N26" s="30" t="s">
        <v>162</v>
      </c>
      <c r="O26" s="30" t="s">
        <v>163</v>
      </c>
      <c r="P26" s="30" t="s">
        <v>164</v>
      </c>
      <c r="Q26" s="158" t="s">
        <v>152</v>
      </c>
      <c r="R26" s="92" t="s">
        <v>35</v>
      </c>
    </row>
    <row r="27" spans="2:18" x14ac:dyDescent="0.25">
      <c r="B27" s="77">
        <v>9</v>
      </c>
      <c r="C27" s="29" t="s">
        <v>94</v>
      </c>
      <c r="D27" s="28">
        <v>14000</v>
      </c>
      <c r="E27" s="28">
        <v>0</v>
      </c>
      <c r="F27" s="28">
        <v>0</v>
      </c>
      <c r="G27" s="28"/>
      <c r="H27" s="28">
        <v>14000</v>
      </c>
      <c r="I27" s="28">
        <v>440</v>
      </c>
      <c r="J27" s="28">
        <v>0</v>
      </c>
      <c r="K27" s="28">
        <v>114.14</v>
      </c>
      <c r="L27" s="28">
        <v>275</v>
      </c>
      <c r="M27" s="28"/>
      <c r="N27" s="28"/>
      <c r="O27" s="28"/>
      <c r="P27" s="28"/>
      <c r="Q27" s="161">
        <v>817.08999999999969</v>
      </c>
      <c r="R27" s="161">
        <v>12353.77</v>
      </c>
    </row>
    <row r="28" spans="2:18" x14ac:dyDescent="0.25">
      <c r="B28" s="167"/>
      <c r="C28" s="168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0"/>
      <c r="R28" s="20"/>
    </row>
    <row r="29" spans="2:18" x14ac:dyDescent="0.25">
      <c r="B29" s="80" t="s">
        <v>1</v>
      </c>
      <c r="C29" s="71" t="s">
        <v>6</v>
      </c>
      <c r="D29" s="103" t="s">
        <v>14</v>
      </c>
      <c r="E29" s="80" t="s">
        <v>40</v>
      </c>
      <c r="F29" s="34" t="s">
        <v>141</v>
      </c>
      <c r="G29" s="90" t="s">
        <v>142</v>
      </c>
      <c r="H29" s="104" t="s">
        <v>145</v>
      </c>
      <c r="I29" s="30" t="s">
        <v>42</v>
      </c>
      <c r="J29" s="30" t="s">
        <v>43</v>
      </c>
      <c r="K29" s="30" t="s">
        <v>45</v>
      </c>
      <c r="L29" s="30" t="s">
        <v>143</v>
      </c>
      <c r="M29" s="30" t="s">
        <v>161</v>
      </c>
      <c r="N29" s="30" t="s">
        <v>162</v>
      </c>
      <c r="O29" s="30" t="s">
        <v>163</v>
      </c>
      <c r="P29" s="30" t="s">
        <v>164</v>
      </c>
      <c r="Q29" s="158" t="s">
        <v>152</v>
      </c>
      <c r="R29" s="92" t="s">
        <v>35</v>
      </c>
    </row>
    <row r="30" spans="2:18" x14ac:dyDescent="0.25">
      <c r="B30" s="77">
        <v>10</v>
      </c>
      <c r="C30" s="29" t="s">
        <v>99</v>
      </c>
      <c r="D30" s="28">
        <v>12600</v>
      </c>
      <c r="E30" s="28">
        <v>0</v>
      </c>
      <c r="F30" s="28">
        <v>0</v>
      </c>
      <c r="G30" s="28"/>
      <c r="H30" s="28">
        <v>12600</v>
      </c>
      <c r="I30" s="28">
        <v>440</v>
      </c>
      <c r="J30" s="28">
        <v>11</v>
      </c>
      <c r="K30" s="28">
        <v>114.14</v>
      </c>
      <c r="L30" s="28">
        <v>275</v>
      </c>
      <c r="M30" s="28">
        <v>1000</v>
      </c>
      <c r="N30" s="28">
        <v>1000</v>
      </c>
      <c r="O30" s="28"/>
      <c r="P30" s="28"/>
      <c r="Q30" s="161">
        <v>364.81000000000017</v>
      </c>
      <c r="R30" s="161">
        <v>11395.050000000001</v>
      </c>
    </row>
    <row r="31" spans="2:18" x14ac:dyDescent="0.25">
      <c r="B31" s="167"/>
      <c r="C31" s="168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0"/>
      <c r="R31" s="20"/>
    </row>
    <row r="32" spans="2:18" x14ac:dyDescent="0.25">
      <c r="B32" s="80" t="s">
        <v>1</v>
      </c>
      <c r="C32" s="71" t="s">
        <v>6</v>
      </c>
      <c r="D32" s="103" t="s">
        <v>14</v>
      </c>
      <c r="E32" s="80" t="s">
        <v>40</v>
      </c>
      <c r="F32" s="34" t="s">
        <v>141</v>
      </c>
      <c r="G32" s="90" t="s">
        <v>142</v>
      </c>
      <c r="H32" s="104" t="s">
        <v>145</v>
      </c>
      <c r="I32" s="30" t="s">
        <v>42</v>
      </c>
      <c r="J32" s="30" t="s">
        <v>43</v>
      </c>
      <c r="K32" s="30" t="s">
        <v>45</v>
      </c>
      <c r="L32" s="30" t="s">
        <v>143</v>
      </c>
      <c r="M32" s="30" t="s">
        <v>161</v>
      </c>
      <c r="N32" s="30" t="s">
        <v>162</v>
      </c>
      <c r="O32" s="30" t="s">
        <v>163</v>
      </c>
      <c r="P32" s="30" t="s">
        <v>164</v>
      </c>
      <c r="Q32" s="158" t="s">
        <v>152</v>
      </c>
      <c r="R32" s="92" t="s">
        <v>35</v>
      </c>
    </row>
    <row r="33" spans="2:18" x14ac:dyDescent="0.25">
      <c r="B33" s="77">
        <v>11</v>
      </c>
      <c r="C33" s="29" t="s">
        <v>104</v>
      </c>
      <c r="D33" s="28">
        <v>17500</v>
      </c>
      <c r="E33" s="28">
        <v>0</v>
      </c>
      <c r="F33" s="28">
        <v>0</v>
      </c>
      <c r="G33" s="28"/>
      <c r="H33" s="28">
        <v>17500</v>
      </c>
      <c r="I33" s="28">
        <v>640</v>
      </c>
      <c r="J33" s="28">
        <v>16</v>
      </c>
      <c r="K33" s="28">
        <v>163</v>
      </c>
      <c r="L33" s="28">
        <v>400</v>
      </c>
      <c r="M33" s="28"/>
      <c r="N33" s="28"/>
      <c r="O33" s="28"/>
      <c r="P33" s="28">
        <v>1000</v>
      </c>
      <c r="Q33" s="161">
        <v>1028.0999999999999</v>
      </c>
      <c r="R33" s="161">
        <v>15252.9</v>
      </c>
    </row>
    <row r="34" spans="2:18" x14ac:dyDescent="0.25">
      <c r="B34" s="167"/>
      <c r="C34" s="168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0"/>
      <c r="R34" s="20"/>
    </row>
  </sheetData>
  <sortState xmlns:xlrd2="http://schemas.microsoft.com/office/spreadsheetml/2017/richdata2" ref="B3:S33">
    <sortCondition ref="S3:S33"/>
  </sortState>
  <mergeCells count="2">
    <mergeCell ref="A4:XFD4"/>
    <mergeCell ref="A1:XFD1"/>
  </mergeCells>
  <phoneticPr fontId="3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4"/>
  <sheetViews>
    <sheetView zoomScaleNormal="100"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BE8" sqref="BE8"/>
    </sheetView>
  </sheetViews>
  <sheetFormatPr defaultColWidth="9" defaultRowHeight="20.149999999999999" customHeight="1" outlineLevelCol="2" x14ac:dyDescent="0.25"/>
  <cols>
    <col min="1" max="1" width="4.7265625" style="79" customWidth="1"/>
    <col min="2" max="2" width="8.08984375" style="43" hidden="1" customWidth="1" outlineLevel="1"/>
    <col min="3" max="3" width="13.08984375" style="43" hidden="1" customWidth="1" outlineLevel="1"/>
    <col min="4" max="4" width="10.26953125" style="43" hidden="1" customWidth="1" outlineLevel="1"/>
    <col min="5" max="5" width="4.7265625" style="41" hidden="1" customWidth="1" outlineLevel="1"/>
    <col min="6" max="6" width="6.36328125" style="150" customWidth="1" collapsed="1"/>
    <col min="7" max="7" width="8.90625" style="87" hidden="1" customWidth="1" outlineLevel="2"/>
    <col min="8" max="8" width="9.6328125" style="87" hidden="1" customWidth="1" outlineLevel="2"/>
    <col min="9" max="9" width="10" style="87" hidden="1" customWidth="1" outlineLevel="2"/>
    <col min="10" max="10" width="10.6328125" style="87" hidden="1" customWidth="1" outlineLevel="2"/>
    <col min="11" max="11" width="8" style="87" hidden="1" customWidth="1" outlineLevel="2"/>
    <col min="12" max="12" width="9.26953125" style="87" hidden="1" customWidth="1" outlineLevel="2"/>
    <col min="13" max="13" width="9.6328125" style="87" hidden="1" customWidth="1" outlineLevel="2"/>
    <col min="14" max="14" width="10" style="44" hidden="1" customWidth="1" outlineLevel="2"/>
    <col min="15" max="15" width="6.36328125" style="45" hidden="1" customWidth="1" outlineLevel="2"/>
    <col min="16" max="16" width="8" style="45" hidden="1" customWidth="1" outlineLevel="2"/>
    <col min="17" max="17" width="4.7265625" style="45" hidden="1" customWidth="1" outlineLevel="2"/>
    <col min="18" max="19" width="10.453125" style="46" hidden="1" customWidth="1" outlineLevel="2"/>
    <col min="20" max="20" width="10.453125" style="46" hidden="1" customWidth="1" outlineLevel="1" collapsed="1"/>
    <col min="21" max="21" width="8" style="46" hidden="1" customWidth="1" outlineLevel="2"/>
    <col min="22" max="22" width="8.7265625" style="42" hidden="1" customWidth="1" outlineLevel="2"/>
    <col min="23" max="23" width="7.453125" style="42" hidden="1" customWidth="1" outlineLevel="2"/>
    <col min="24" max="24" width="6.6328125" style="42" hidden="1" customWidth="1" outlineLevel="2"/>
    <col min="25" max="25" width="9.90625" style="42" hidden="1" customWidth="1" outlineLevel="2"/>
    <col min="26" max="26" width="6.90625" style="42" hidden="1" customWidth="1" outlineLevel="2"/>
    <col min="27" max="27" width="8.90625" style="42" hidden="1" customWidth="1" outlineLevel="1" collapsed="1"/>
    <col min="28" max="28" width="8.453125" style="42" hidden="1" customWidth="1" outlineLevel="2"/>
    <col min="29" max="29" width="7.36328125" style="42" hidden="1" customWidth="1" outlineLevel="2"/>
    <col min="30" max="30" width="8.36328125" style="42" hidden="1" customWidth="1" outlineLevel="2"/>
    <col min="31" max="31" width="8.6328125" style="42" hidden="1" customWidth="1" outlineLevel="1" collapsed="1"/>
    <col min="32" max="32" width="9" style="44" hidden="1" customWidth="1" outlineLevel="2"/>
    <col min="33" max="33" width="7.7265625" style="42" hidden="1" customWidth="1" outlineLevel="2"/>
    <col min="34" max="34" width="7.453125" style="42" hidden="1" customWidth="1" outlineLevel="2"/>
    <col min="35" max="35" width="9.7265625" style="42" hidden="1" customWidth="1" outlineLevel="1" collapsed="1"/>
    <col min="36" max="40" width="8.7265625" style="42" hidden="1" customWidth="1" outlineLevel="1"/>
    <col min="41" max="41" width="11.6328125" style="44" hidden="1" customWidth="1" outlineLevel="1"/>
    <col min="42" max="42" width="9.453125" style="42" customWidth="1" collapsed="1"/>
    <col min="43" max="43" width="7.90625" style="42" customWidth="1"/>
    <col min="44" max="44" width="8.36328125" style="42" customWidth="1"/>
    <col min="45" max="45" width="7.26953125" style="42" customWidth="1"/>
    <col min="46" max="46" width="8.7265625" style="42" customWidth="1"/>
    <col min="47" max="47" width="9.7265625" style="42" customWidth="1" outlineLevel="1"/>
    <col min="48" max="49" width="11.36328125" style="42" customWidth="1" outlineLevel="1"/>
    <col min="50" max="54" width="8.7265625" style="42" customWidth="1" outlineLevel="1"/>
    <col min="55" max="55" width="15.36328125" style="42" customWidth="1" outlineLevel="1"/>
    <col min="56" max="57" width="11.7265625" style="42" customWidth="1" outlineLevel="1"/>
    <col min="58" max="58" width="11.7265625" style="46" customWidth="1"/>
    <col min="59" max="59" width="10.08984375" style="46" customWidth="1"/>
    <col min="60" max="60" width="9" style="41"/>
    <col min="61" max="61" width="9.6328125" style="41" bestFit="1" customWidth="1"/>
    <col min="62" max="16384" width="9" style="41"/>
  </cols>
  <sheetData>
    <row r="1" spans="1:61" ht="20.149999999999999" customHeight="1" x14ac:dyDescent="0.25">
      <c r="A1" s="222" t="s">
        <v>139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61" ht="20.149999999999999" customHeight="1" x14ac:dyDescent="0.25">
      <c r="A2" s="224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32" t="s">
        <v>150</v>
      </c>
      <c r="G2" s="235" t="s">
        <v>117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212" t="s">
        <v>27</v>
      </c>
      <c r="AV2" s="212" t="s">
        <v>28</v>
      </c>
      <c r="AW2" s="240" t="s">
        <v>29</v>
      </c>
      <c r="AX2" s="241" t="s">
        <v>30</v>
      </c>
      <c r="AY2" s="242"/>
      <c r="AZ2" s="242"/>
      <c r="BA2" s="242"/>
      <c r="BB2" s="243"/>
      <c r="BC2" s="189" t="s">
        <v>31</v>
      </c>
      <c r="BD2" s="189" t="s">
        <v>32</v>
      </c>
      <c r="BE2" s="189" t="s">
        <v>33</v>
      </c>
      <c r="BF2" s="170" t="s">
        <v>34</v>
      </c>
      <c r="BG2" s="173" t="s">
        <v>35</v>
      </c>
      <c r="BH2" s="176" t="s">
        <v>118</v>
      </c>
      <c r="BI2" s="176" t="s">
        <v>119</v>
      </c>
    </row>
    <row r="3" spans="1:61" ht="20.149999999999999" customHeight="1" x14ac:dyDescent="0.25">
      <c r="A3" s="224"/>
      <c r="B3" s="225"/>
      <c r="C3" s="225"/>
      <c r="D3" s="227"/>
      <c r="E3" s="230"/>
      <c r="F3" s="233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68">
        <v>0.05</v>
      </c>
      <c r="AH3" s="68">
        <v>0.05</v>
      </c>
      <c r="AI3" s="68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213"/>
      <c r="AV3" s="213"/>
      <c r="AW3" s="213"/>
      <c r="AX3" s="244"/>
      <c r="AY3" s="245"/>
      <c r="AZ3" s="245"/>
      <c r="BA3" s="245"/>
      <c r="BB3" s="246"/>
      <c r="BC3" s="190"/>
      <c r="BD3" s="190"/>
      <c r="BE3" s="190"/>
      <c r="BF3" s="171"/>
      <c r="BG3" s="174"/>
      <c r="BH3" s="177"/>
      <c r="BI3" s="177"/>
    </row>
    <row r="4" spans="1:61" ht="20.149999999999999" customHeight="1" x14ac:dyDescent="0.25">
      <c r="A4" s="224"/>
      <c r="B4" s="225"/>
      <c r="C4" s="225"/>
      <c r="D4" s="228"/>
      <c r="E4" s="231"/>
      <c r="F4" s="234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68" t="s">
        <v>42</v>
      </c>
      <c r="W4" s="68" t="s">
        <v>43</v>
      </c>
      <c r="X4" s="68" t="s">
        <v>44</v>
      </c>
      <c r="Y4" s="68" t="s">
        <v>45</v>
      </c>
      <c r="Z4" s="68" t="s">
        <v>46</v>
      </c>
      <c r="AA4" s="68" t="s">
        <v>47</v>
      </c>
      <c r="AB4" s="68" t="s">
        <v>42</v>
      </c>
      <c r="AC4" s="68" t="s">
        <v>43</v>
      </c>
      <c r="AD4" s="68" t="s">
        <v>45</v>
      </c>
      <c r="AE4" s="68" t="s">
        <v>47</v>
      </c>
      <c r="AF4" s="202"/>
      <c r="AG4" s="68" t="s">
        <v>48</v>
      </c>
      <c r="AH4" s="68" t="s">
        <v>49</v>
      </c>
      <c r="AI4" s="68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214"/>
      <c r="AV4" s="214"/>
      <c r="AW4" s="214"/>
      <c r="AX4" s="67" t="s">
        <v>50</v>
      </c>
      <c r="AY4" s="67" t="s">
        <v>51</v>
      </c>
      <c r="AZ4" s="67" t="s">
        <v>52</v>
      </c>
      <c r="BA4" s="67" t="s">
        <v>53</v>
      </c>
      <c r="BB4" s="64" t="s">
        <v>55</v>
      </c>
      <c r="BC4" s="191"/>
      <c r="BD4" s="191"/>
      <c r="BE4" s="191"/>
      <c r="BF4" s="172"/>
      <c r="BG4" s="175"/>
      <c r="BH4" s="178"/>
      <c r="BI4" s="178"/>
    </row>
    <row r="5" spans="1:61" ht="20.149999999999999" customHeight="1" x14ac:dyDescent="0.25">
      <c r="A5" s="77">
        <v>1</v>
      </c>
      <c r="B5" s="47" t="s">
        <v>56</v>
      </c>
      <c r="C5" s="47" t="s">
        <v>57</v>
      </c>
      <c r="D5" s="25" t="s">
        <v>58</v>
      </c>
      <c r="E5" s="65" t="s">
        <v>59</v>
      </c>
      <c r="F5" s="145" t="s">
        <v>60</v>
      </c>
      <c r="G5" s="82">
        <v>3000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36">
        <f t="shared" ref="N5:N17" si="0">SUM(G5:M5)</f>
        <v>3000</v>
      </c>
      <c r="O5" s="28">
        <v>22</v>
      </c>
      <c r="P5" s="28">
        <v>22</v>
      </c>
      <c r="Q5" s="36"/>
      <c r="R5" s="36"/>
      <c r="S5" s="36">
        <v>117</v>
      </c>
      <c r="T5" s="36">
        <f>N5-R5-S5</f>
        <v>2883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17" si="1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17" si="2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17" si="3">$T5</f>
        <v>2883</v>
      </c>
      <c r="AQ5" s="63">
        <f t="shared" ref="AQ5:AQ17" si="4">$AB5</f>
        <v>480</v>
      </c>
      <c r="AR5" s="63">
        <f t="shared" ref="AR5:AR17" si="5">$AD5</f>
        <v>123</v>
      </c>
      <c r="AS5" s="63">
        <f t="shared" ref="AS5:AS17" si="6">$AC5</f>
        <v>12</v>
      </c>
      <c r="AT5" s="63">
        <f t="shared" ref="AT5:AT17" si="7">$AH5</f>
        <v>300</v>
      </c>
      <c r="AU5" s="63">
        <f>$AP5+VLOOKUP($F5,'3月工资表'!$F$5:$BI$23,42,FALSE)</f>
        <v>31383</v>
      </c>
      <c r="AV5" s="63">
        <f>$AO5+VLOOKUP($F5,'3月工资表'!$F$5:$BI$23,43,FALSE)</f>
        <v>20000</v>
      </c>
      <c r="AW5" s="63">
        <f>AQ5+AR5+AS5+AT5+VLOOKUP($F5,'3月工资表'!$F$5:$BI$23,44,FALSE)</f>
        <v>3660</v>
      </c>
      <c r="AX5" s="63">
        <f>AJ5+VLOOKUP($F5,'3月工资表'!$F$5:$BI$23,45,FALSE)</f>
        <v>0</v>
      </c>
      <c r="AY5" s="63">
        <f>AK5+VLOOKUP($F5,'3月工资表'!$F$5:$BI$23,46,FALSE)</f>
        <v>4000</v>
      </c>
      <c r="AZ5" s="63">
        <f>AL5+VLOOKUP($F5,'3月工资表'!$F$5:$BI$23,47,FALSE)</f>
        <v>0</v>
      </c>
      <c r="BA5" s="63">
        <f>AM5+VLOOKUP($F5,'3月工资表'!$F$5:$BI$23,48,FALSE)</f>
        <v>0</v>
      </c>
      <c r="BB5" s="63">
        <f>AN5+VLOOKUP($F5,'3月工资表'!$F$5:$BI$23,49,FALSE)</f>
        <v>0</v>
      </c>
      <c r="BC5" s="63">
        <f t="shared" ref="BC5:BC17" si="8">IF(AU5="","",AU5-AV5-AW5-AX5-AY5-AZ5-BA5-BB5)</f>
        <v>3723</v>
      </c>
      <c r="BD5" s="63">
        <f>ROUND(IF(BC5="","",MAX(0,BC5*{3;10;20;25;30;35;45}%-{0;2520;16920;31920;52920;85920;181920})),2)</f>
        <v>111.69</v>
      </c>
      <c r="BE5" s="63">
        <f>VLOOKUP($F5,'3月工资表'!$F$5:$BI$23,51,FALSE)</f>
        <v>232.65</v>
      </c>
      <c r="BF5" s="135">
        <f t="shared" ref="BF5:BF17" si="9">IF(BD5="","",IF(BD5&lt;=BE5,0,BD5-BE5))</f>
        <v>0</v>
      </c>
      <c r="BG5" s="136">
        <v>0</v>
      </c>
      <c r="BH5" s="65"/>
      <c r="BI5" s="65"/>
    </row>
    <row r="6" spans="1:61" ht="20.149999999999999" customHeight="1" x14ac:dyDescent="0.25">
      <c r="A6" s="77">
        <v>2</v>
      </c>
      <c r="B6" s="47" t="s">
        <v>56</v>
      </c>
      <c r="C6" s="47" t="s">
        <v>61</v>
      </c>
      <c r="D6" s="25" t="s">
        <v>58</v>
      </c>
      <c r="E6" s="65" t="s">
        <v>59</v>
      </c>
      <c r="F6" s="145" t="s">
        <v>62</v>
      </c>
      <c r="G6" s="82">
        <v>3000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36">
        <f t="shared" si="0"/>
        <v>3000</v>
      </c>
      <c r="O6" s="28">
        <v>22</v>
      </c>
      <c r="P6" s="28">
        <v>22</v>
      </c>
      <c r="Q6" s="36">
        <f>IF(O6="",0,O6-P6)</f>
        <v>0</v>
      </c>
      <c r="R6" s="36">
        <f>IF(O6="",0,ROUND(N6/21.75*Q6,2))</f>
        <v>0</v>
      </c>
      <c r="S6" s="36">
        <v>165.2</v>
      </c>
      <c r="T6" s="36">
        <v>2834.8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1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2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>IF($AF6="",0,SUM(AG6:AH6))</f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3"/>
        <v>2834.8</v>
      </c>
      <c r="AQ6" s="63">
        <f t="shared" si="4"/>
        <v>472</v>
      </c>
      <c r="AR6" s="63">
        <f t="shared" si="5"/>
        <v>121</v>
      </c>
      <c r="AS6" s="63">
        <f t="shared" si="6"/>
        <v>11.8</v>
      </c>
      <c r="AT6" s="63">
        <f t="shared" si="7"/>
        <v>295</v>
      </c>
      <c r="AU6" s="63">
        <f>$AP6+VLOOKUP($F6,'3月工资表'!$F$5:$BI$23,42,FALSE)</f>
        <v>22834.799999999999</v>
      </c>
      <c r="AV6" s="63">
        <f>$AO6+VLOOKUP($F6,'3月工资表'!$F$5:$BI$23,43,FALSE)</f>
        <v>20000</v>
      </c>
      <c r="AW6" s="63">
        <f>AQ6+AR6+AS6+AT6+VLOOKUP($F6,'3月工资表'!$F$5:$BI$23,44,FALSE)</f>
        <v>3599.2</v>
      </c>
      <c r="AX6" s="63">
        <f>AJ6+VLOOKUP($F6,'3月工资表'!$F$5:$BI$23,45,FALSE)</f>
        <v>4000</v>
      </c>
      <c r="AY6" s="63">
        <f>AK6+VLOOKUP($F6,'3月工资表'!$F$5:$BI$23,46,FALSE)</f>
        <v>8000</v>
      </c>
      <c r="AZ6" s="63">
        <f>AL6+VLOOKUP($F6,'3月工资表'!$F$5:$BI$23,47,FALSE)</f>
        <v>0</v>
      </c>
      <c r="BA6" s="63">
        <f>AM6+VLOOKUP($F6,'3月工资表'!$F$5:$BI$23,48,FALSE)</f>
        <v>4000</v>
      </c>
      <c r="BB6" s="63">
        <f>AN6+VLOOKUP($F6,'3月工资表'!$F$5:$BI$23,49,FALSE)</f>
        <v>0</v>
      </c>
      <c r="BC6" s="63">
        <f t="shared" si="8"/>
        <v>-16764.400000000001</v>
      </c>
      <c r="BD6" s="63">
        <f>ROUND(IF(BC6="","",MAX(0,BC6*{3;10;20;25;30;35;45}%-{0;2520;16920;31920;52920;85920;181920})),2)</f>
        <v>0</v>
      </c>
      <c r="BE6" s="63">
        <f>VLOOKUP($F6,'3月工资表'!$F$5:$BI$23,51,FALSE)</f>
        <v>0</v>
      </c>
      <c r="BF6" s="135">
        <f t="shared" si="9"/>
        <v>0</v>
      </c>
      <c r="BG6" s="136">
        <v>0</v>
      </c>
      <c r="BH6" s="65"/>
      <c r="BI6" s="65"/>
    </row>
    <row r="7" spans="1:61" ht="20.149999999999999" customHeight="1" x14ac:dyDescent="0.25">
      <c r="A7" s="77">
        <v>3</v>
      </c>
      <c r="B7" s="47" t="s">
        <v>56</v>
      </c>
      <c r="C7" s="47" t="s">
        <v>63</v>
      </c>
      <c r="D7" s="25" t="s">
        <v>58</v>
      </c>
      <c r="E7" s="65" t="s">
        <v>59</v>
      </c>
      <c r="F7" s="145" t="s">
        <v>64</v>
      </c>
      <c r="G7" s="82">
        <v>3000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36">
        <f t="shared" si="0"/>
        <v>3000</v>
      </c>
      <c r="O7" s="28">
        <v>22</v>
      </c>
      <c r="P7" s="28">
        <v>22</v>
      </c>
      <c r="Q7" s="36">
        <f>IF(O7="",0,O7-P7)</f>
        <v>0</v>
      </c>
      <c r="R7" s="36">
        <f>IF(O7="",0,ROUND(N7/21.75*Q7,2))</f>
        <v>0</v>
      </c>
      <c r="S7" s="36">
        <v>165.2</v>
      </c>
      <c r="T7" s="36">
        <v>2834.8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1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2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>IF($AF7="",0,SUM(AG7:AH7))</f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3"/>
        <v>2834.8</v>
      </c>
      <c r="AQ7" s="63">
        <f t="shared" si="4"/>
        <v>472</v>
      </c>
      <c r="AR7" s="63">
        <f t="shared" si="5"/>
        <v>121</v>
      </c>
      <c r="AS7" s="63">
        <f t="shared" si="6"/>
        <v>11.8</v>
      </c>
      <c r="AT7" s="63">
        <f t="shared" si="7"/>
        <v>295</v>
      </c>
      <c r="AU7" s="63">
        <f>$AP7+VLOOKUP($F7,'3月工资表'!$F$5:$BI$23,42,FALSE)</f>
        <v>22834.799999999999</v>
      </c>
      <c r="AV7" s="63">
        <f>$AO7+VLOOKUP($F7,'3月工资表'!$F$5:$BI$23,43,FALSE)</f>
        <v>20000</v>
      </c>
      <c r="AW7" s="63">
        <f>AQ7+AR7+AS7+AT7+VLOOKUP($F7,'3月工资表'!$F$5:$BI$23,44,FALSE)</f>
        <v>3599.2</v>
      </c>
      <c r="AX7" s="63">
        <f>AJ7+VLOOKUP($F7,'3月工资表'!$F$5:$BI$23,45,FALSE)</f>
        <v>0</v>
      </c>
      <c r="AY7" s="63">
        <f>AK7+VLOOKUP($F7,'3月工资表'!$F$5:$BI$23,46,FALSE)</f>
        <v>8000</v>
      </c>
      <c r="AZ7" s="63">
        <f>AL7+VLOOKUP($F7,'3月工资表'!$F$5:$BI$23,47,FALSE)</f>
        <v>0</v>
      </c>
      <c r="BA7" s="63">
        <f>AM7+VLOOKUP($F7,'3月工资表'!$F$5:$BI$23,48,FALSE)</f>
        <v>4000</v>
      </c>
      <c r="BB7" s="63">
        <f>AN7+VLOOKUP($F7,'3月工资表'!$F$5:$BI$23,49,FALSE)</f>
        <v>0</v>
      </c>
      <c r="BC7" s="63">
        <f t="shared" si="8"/>
        <v>-12764.400000000001</v>
      </c>
      <c r="BD7" s="63">
        <f>ROUND(IF(BC7="","",MAX(0,BC7*{3;10;20;25;30;35;45}%-{0;2520;16920;31920;52920;85920;181920})),2)</f>
        <v>0</v>
      </c>
      <c r="BE7" s="63">
        <f>VLOOKUP($F7,'3月工资表'!$F$5:$BI$23,51,FALSE)</f>
        <v>0</v>
      </c>
      <c r="BF7" s="135">
        <f t="shared" si="9"/>
        <v>0</v>
      </c>
      <c r="BG7" s="136">
        <v>0</v>
      </c>
      <c r="BH7" s="65"/>
      <c r="BI7" s="65"/>
    </row>
    <row r="8" spans="1:61" ht="20.149999999999999" customHeight="1" x14ac:dyDescent="0.25">
      <c r="A8" s="77">
        <v>4</v>
      </c>
      <c r="B8" s="47" t="s">
        <v>65</v>
      </c>
      <c r="C8" s="47" t="s">
        <v>66</v>
      </c>
      <c r="D8" s="25" t="s">
        <v>58</v>
      </c>
      <c r="E8" s="65" t="s">
        <v>59</v>
      </c>
      <c r="F8" s="145" t="s">
        <v>67</v>
      </c>
      <c r="G8" s="82">
        <v>3000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36">
        <f t="shared" si="0"/>
        <v>3000</v>
      </c>
      <c r="O8" s="28">
        <v>22</v>
      </c>
      <c r="P8" s="28">
        <v>22</v>
      </c>
      <c r="Q8" s="36"/>
      <c r="R8" s="36"/>
      <c r="S8" s="36">
        <v>490.5</v>
      </c>
      <c r="T8" s="36">
        <f t="shared" ref="T8" si="10">N8-R8-S8</f>
        <v>2509.5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1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2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>IF($AF8="",0,SUM(AG8:AH8))</f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3"/>
        <v>2509.5</v>
      </c>
      <c r="AQ8" s="63">
        <f t="shared" si="4"/>
        <v>408</v>
      </c>
      <c r="AR8" s="63">
        <f t="shared" si="5"/>
        <v>114.14</v>
      </c>
      <c r="AS8" s="63">
        <f t="shared" si="6"/>
        <v>10.199999999999999</v>
      </c>
      <c r="AT8" s="63">
        <f t="shared" si="7"/>
        <v>255</v>
      </c>
      <c r="AU8" s="63">
        <f>$AP8+VLOOKUP($F8,'3月工资表'!$F$5:$BI$23,42,FALSE)</f>
        <v>40509.5</v>
      </c>
      <c r="AV8" s="63">
        <f>$AO8+VLOOKUP($F8,'3月工资表'!$F$5:$BI$23,43,FALSE)</f>
        <v>20000</v>
      </c>
      <c r="AW8" s="63">
        <f>AQ8+AR8+AS8+AT8+VLOOKUP($F8,'3月工资表'!$F$5:$BI$23,44,FALSE)</f>
        <v>3149.36</v>
      </c>
      <c r="AX8" s="63">
        <f>AJ8+VLOOKUP($F8,'3月工资表'!$F$5:$BI$23,45,FALSE)</f>
        <v>4000</v>
      </c>
      <c r="AY8" s="63">
        <f>AK8+VLOOKUP($F8,'3月工资表'!$F$5:$BI$23,46,FALSE)</f>
        <v>8000</v>
      </c>
      <c r="AZ8" s="63">
        <f>AL8+VLOOKUP($F8,'3月工资表'!$F$5:$BI$23,47,FALSE)</f>
        <v>0</v>
      </c>
      <c r="BA8" s="63">
        <f>AM8+VLOOKUP($F8,'3月工资表'!$F$5:$BI$23,48,FALSE)</f>
        <v>0</v>
      </c>
      <c r="BB8" s="63">
        <f>AN8+VLOOKUP($F8,'3月工资表'!$F$5:$BI$23,49,FALSE)</f>
        <v>0</v>
      </c>
      <c r="BC8" s="63">
        <f t="shared" si="8"/>
        <v>5360.1399999999994</v>
      </c>
      <c r="BD8" s="63">
        <f>ROUND(IF(BC8="","",MAX(0,BC8*{3;10;20;25;30;35;45}%-{0;2520;16920;31920;52920;85920;181920})),2)</f>
        <v>160.80000000000001</v>
      </c>
      <c r="BE8" s="63">
        <f>VLOOKUP($F8,'3月工资表'!$F$5:$BI$23,51,FALSE)</f>
        <v>349.14</v>
      </c>
      <c r="BF8" s="135">
        <f t="shared" si="9"/>
        <v>0</v>
      </c>
      <c r="BG8" s="136">
        <v>0</v>
      </c>
      <c r="BH8" s="65"/>
      <c r="BI8" s="65"/>
    </row>
    <row r="9" spans="1:61" ht="20.149999999999999" customHeight="1" x14ac:dyDescent="0.25">
      <c r="A9" s="77">
        <v>5</v>
      </c>
      <c r="B9" s="47" t="s">
        <v>68</v>
      </c>
      <c r="C9" s="47" t="s">
        <v>69</v>
      </c>
      <c r="D9" s="25" t="s">
        <v>58</v>
      </c>
      <c r="E9" s="65" t="s">
        <v>59</v>
      </c>
      <c r="F9" s="145" t="s">
        <v>70</v>
      </c>
      <c r="G9" s="82">
        <v>3000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36">
        <f t="shared" si="0"/>
        <v>3000</v>
      </c>
      <c r="O9" s="28">
        <v>22</v>
      </c>
      <c r="P9" s="28">
        <v>22</v>
      </c>
      <c r="Q9" s="36">
        <f t="shared" ref="Q9:Q17" si="11">IF(O9="",0,O9-P9)</f>
        <v>0</v>
      </c>
      <c r="R9" s="36">
        <f t="shared" ref="R9:R17" si="12">IF(O9="",0,ROUND(N9/21.75*Q9,2))</f>
        <v>0</v>
      </c>
      <c r="S9" s="36">
        <v>596.1</v>
      </c>
      <c r="T9" s="36">
        <v>2403.9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1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2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>IF($AF9="",0,SUM(AG9:AH9))</f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3"/>
        <v>2403.9</v>
      </c>
      <c r="AQ9" s="63">
        <f t="shared" si="4"/>
        <v>384</v>
      </c>
      <c r="AR9" s="63">
        <f t="shared" si="5"/>
        <v>114.14</v>
      </c>
      <c r="AS9" s="63">
        <f t="shared" si="6"/>
        <v>9.6</v>
      </c>
      <c r="AT9" s="63">
        <f t="shared" si="7"/>
        <v>240</v>
      </c>
      <c r="AU9" s="63">
        <f>$AP9+VLOOKUP($F9,'3月工资表'!$F$5:$BI$23,42,FALSE)</f>
        <v>21403.9</v>
      </c>
      <c r="AV9" s="63">
        <f>$AO9+VLOOKUP($F9,'3月工资表'!$F$5:$BI$23,43,FALSE)</f>
        <v>20000</v>
      </c>
      <c r="AW9" s="63">
        <f>AQ9+AR9+AS9+AT9+VLOOKUP($F9,'3月工资表'!$F$5:$BI$23,44,FALSE)</f>
        <v>2990.96</v>
      </c>
      <c r="AX9" s="63">
        <f>AJ9+VLOOKUP($F9,'3月工资表'!$F$5:$BI$23,45,FALSE)</f>
        <v>4000</v>
      </c>
      <c r="AY9" s="63">
        <f>AK9+VLOOKUP($F9,'3月工资表'!$F$5:$BI$23,46,FALSE)</f>
        <v>8000</v>
      </c>
      <c r="AZ9" s="63">
        <f>AL9+VLOOKUP($F9,'3月工资表'!$F$5:$BI$23,47,FALSE)</f>
        <v>0</v>
      </c>
      <c r="BA9" s="63">
        <f>AM9+VLOOKUP($F9,'3月工资表'!$F$5:$BI$23,48,FALSE)</f>
        <v>0</v>
      </c>
      <c r="BB9" s="63">
        <f>AN9+VLOOKUP($F9,'3月工资表'!$F$5:$BI$23,49,FALSE)</f>
        <v>0</v>
      </c>
      <c r="BC9" s="63">
        <f t="shared" si="8"/>
        <v>-13587.059999999998</v>
      </c>
      <c r="BD9" s="63">
        <f>ROUND(IF(BC9="","",MAX(0,BC9*{3;10;20;25;30;35;45}%-{0;2520;16920;31920;52920;85920;181920})),2)</f>
        <v>0</v>
      </c>
      <c r="BE9" s="63">
        <f>VLOOKUP($F9,'3月工资表'!$F$5:$BI$23,51,FALSE)</f>
        <v>0</v>
      </c>
      <c r="BF9" s="135">
        <f t="shared" si="9"/>
        <v>0</v>
      </c>
      <c r="BG9" s="136">
        <v>0</v>
      </c>
      <c r="BH9" s="65"/>
      <c r="BI9" s="65"/>
    </row>
    <row r="10" spans="1:61" s="122" customFormat="1" ht="20.149999999999999" customHeight="1" x14ac:dyDescent="0.25">
      <c r="A10" s="113">
        <v>6</v>
      </c>
      <c r="B10" s="114" t="s">
        <v>65</v>
      </c>
      <c r="C10" s="114" t="s">
        <v>77</v>
      </c>
      <c r="D10" s="115" t="s">
        <v>74</v>
      </c>
      <c r="E10" s="116" t="s">
        <v>75</v>
      </c>
      <c r="F10" s="146" t="s">
        <v>78</v>
      </c>
      <c r="G10" s="117">
        <v>4050</v>
      </c>
      <c r="H10" s="117">
        <v>8100</v>
      </c>
      <c r="I10" s="117">
        <v>0</v>
      </c>
      <c r="J10" s="117">
        <v>1350</v>
      </c>
      <c r="K10" s="117">
        <v>0</v>
      </c>
      <c r="L10" s="117">
        <v>2700</v>
      </c>
      <c r="M10" s="117">
        <v>2700</v>
      </c>
      <c r="N10" s="118">
        <f t="shared" si="0"/>
        <v>18900</v>
      </c>
      <c r="O10" s="119">
        <v>22</v>
      </c>
      <c r="P10" s="119">
        <v>22</v>
      </c>
      <c r="Q10" s="118">
        <f t="shared" si="11"/>
        <v>0</v>
      </c>
      <c r="R10" s="118">
        <f t="shared" si="12"/>
        <v>0</v>
      </c>
      <c r="S10" s="123">
        <v>0</v>
      </c>
      <c r="T10" s="118">
        <f>N10-R10-S10</f>
        <v>18900</v>
      </c>
      <c r="U10" s="120">
        <v>5200</v>
      </c>
      <c r="V10" s="36">
        <f>IF($U10="",0,ROUND(MAX('1-6月基数信息'!C$5,MIN($U10,'1-6月基数信息'!C$6))*V$3,2))</f>
        <v>832</v>
      </c>
      <c r="W10" s="36">
        <f>IF($U10="",0,ROUND(MAX('1-6月基数信息'!D$5,MIN($U10,'1-6月基数信息'!D$6))*W$3,2))</f>
        <v>41.6</v>
      </c>
      <c r="X10" s="36">
        <f>IF($U10="",0,ROUND(MAX('1-6月基数信息'!E$5,MIN($U10,'1-6月基数信息'!E$6))*X$3,2))</f>
        <v>10.4</v>
      </c>
      <c r="Y10" s="36">
        <f>IF($U10="",0,ROUND(MAX('1-6月基数信息'!F$5,MIN($U10,'1-6月基数信息'!F$6))*Y$3,2))</f>
        <v>555.70000000000005</v>
      </c>
      <c r="Z10" s="36">
        <f>IF($U10="",0,ROUND(MAX('1-6月基数信息'!G$5,MIN($U10,'1-6月基数信息'!G$6))*Z$3,2))</f>
        <v>44.46</v>
      </c>
      <c r="AA10" s="36">
        <f t="shared" si="1"/>
        <v>1484.16</v>
      </c>
      <c r="AB10" s="36">
        <f>IF($U10="",0,ROUND(MAX('1-6月基数信息'!I$5,MIN($U10,'1-6月基数信息'!I$6))*AB$3,2))</f>
        <v>416</v>
      </c>
      <c r="AC10" s="36">
        <f>IF($E10="农村",0,IF($U10="",0,ROUND(MAX('1-6月基数信息'!J$5,MIN($U10,'1-6月基数信息'!J$6))*AC$3,2)))</f>
        <v>0</v>
      </c>
      <c r="AD10" s="36">
        <f>IF($U10="",0,ROUND(MAX('1-6月基数信息'!K$5,MIN($U10,'1-6月基数信息'!K$6))*2%+3,2))</f>
        <v>114.14</v>
      </c>
      <c r="AE10" s="36">
        <f t="shared" si="2"/>
        <v>530.14</v>
      </c>
      <c r="AF10" s="120">
        <v>5200</v>
      </c>
      <c r="AG10" s="36">
        <f>IF($AF10="",0,ROUND(MAX('1-6月基数信息'!M$5,MIN($AF10,'1-6月基数信息'!M$6))*AG$3,0))</f>
        <v>260</v>
      </c>
      <c r="AH10" s="36">
        <f>IF($AF10="",0,ROUND(MAX('1-6月基数信息'!N$5,MIN($AF10,'1-6月基数信息'!N$6))*AH$3,0))</f>
        <v>260</v>
      </c>
      <c r="AI10" s="36">
        <f>SUM(G6+I6)</f>
        <v>3000</v>
      </c>
      <c r="AJ10" s="119"/>
      <c r="AK10" s="119"/>
      <c r="AL10" s="119"/>
      <c r="AM10" s="119"/>
      <c r="AN10" s="119"/>
      <c r="AO10" s="118">
        <v>5000</v>
      </c>
      <c r="AP10" s="121">
        <f t="shared" si="3"/>
        <v>18900</v>
      </c>
      <c r="AQ10" s="121">
        <f t="shared" si="4"/>
        <v>416</v>
      </c>
      <c r="AR10" s="121">
        <f t="shared" si="5"/>
        <v>114.14</v>
      </c>
      <c r="AS10" s="121">
        <f t="shared" si="6"/>
        <v>0</v>
      </c>
      <c r="AT10" s="121">
        <f t="shared" si="7"/>
        <v>260</v>
      </c>
      <c r="AU10" s="121">
        <f>$AP10+VLOOKUP($F10,'3月工资表'!$F$5:$BI$23,42,FALSE)</f>
        <v>85050</v>
      </c>
      <c r="AV10" s="121">
        <f>$AO10+VLOOKUP($F10,'3月工资表'!$F$5:$BI$23,43,FALSE)</f>
        <v>20000</v>
      </c>
      <c r="AW10" s="121">
        <f>AQ10+AR10+AS10+AT10+VLOOKUP($F10,'3月工资表'!$F$5:$BI$23,44,FALSE)</f>
        <v>3160.56</v>
      </c>
      <c r="AX10" s="121">
        <f>AJ10+VLOOKUP($F10,'3月工资表'!$F$5:$BI$23,45,FALSE)</f>
        <v>0</v>
      </c>
      <c r="AY10" s="121">
        <f>AK10+VLOOKUP($F10,'3月工资表'!$F$5:$BI$23,46,FALSE)</f>
        <v>0</v>
      </c>
      <c r="AZ10" s="121">
        <f>AL10+VLOOKUP($F10,'3月工资表'!$F$5:$BI$23,47,FALSE)</f>
        <v>0</v>
      </c>
      <c r="BA10" s="121">
        <f>AM10+VLOOKUP($F10,'3月工资表'!$F$5:$BI$23,48,FALSE)</f>
        <v>0</v>
      </c>
      <c r="BB10" s="121">
        <f>AN10+VLOOKUP($F10,'3月工资表'!$F$5:$BI$23,49,FALSE)</f>
        <v>0</v>
      </c>
      <c r="BC10" s="121">
        <f t="shared" si="8"/>
        <v>61889.440000000002</v>
      </c>
      <c r="BD10" s="121">
        <f>ROUND(IF(BC10="","",MAX(0,BC10*{3;10;20;25;30;35;45}%-{0;2520;16920;31920;52920;85920;181920})),2)</f>
        <v>3668.94</v>
      </c>
      <c r="BE10" s="121">
        <f>VLOOKUP($F10,'3月工资表'!$F$5:$BI$23,51,FALSE)</f>
        <v>2357.96</v>
      </c>
      <c r="BF10" s="137">
        <f t="shared" si="9"/>
        <v>1310.98</v>
      </c>
      <c r="BG10" s="138">
        <f t="shared" ref="BG10:BG17" si="13">IF(AP10="","",AP10-AQ10-AR10-AS10-AT10-BF10)</f>
        <v>16798.88</v>
      </c>
      <c r="BH10" s="116"/>
      <c r="BI10" s="116"/>
    </row>
    <row r="11" spans="1:61" s="134" customFormat="1" ht="20.149999999999999" customHeight="1" x14ac:dyDescent="0.25">
      <c r="A11" s="124">
        <v>7</v>
      </c>
      <c r="B11" s="125" t="s">
        <v>65</v>
      </c>
      <c r="C11" s="125" t="s">
        <v>73</v>
      </c>
      <c r="D11" s="126" t="s">
        <v>79</v>
      </c>
      <c r="E11" s="127" t="s">
        <v>75</v>
      </c>
      <c r="F11" s="147" t="s">
        <v>80</v>
      </c>
      <c r="G11" s="128">
        <v>2400</v>
      </c>
      <c r="H11" s="128">
        <v>4800</v>
      </c>
      <c r="I11" s="129">
        <v>0</v>
      </c>
      <c r="J11" s="128">
        <v>800</v>
      </c>
      <c r="K11" s="129">
        <v>0</v>
      </c>
      <c r="L11" s="128">
        <v>1600</v>
      </c>
      <c r="M11" s="128">
        <v>1600</v>
      </c>
      <c r="N11" s="130">
        <f t="shared" si="0"/>
        <v>11200</v>
      </c>
      <c r="O11" s="131">
        <v>22</v>
      </c>
      <c r="P11" s="131">
        <v>22</v>
      </c>
      <c r="Q11" s="130">
        <f t="shared" si="11"/>
        <v>0</v>
      </c>
      <c r="R11" s="130">
        <f t="shared" si="12"/>
        <v>0</v>
      </c>
      <c r="S11" s="130"/>
      <c r="T11" s="130">
        <f t="shared" ref="T11:T17" si="14">N11-R11</f>
        <v>11200</v>
      </c>
      <c r="U11" s="132">
        <v>12800</v>
      </c>
      <c r="V11" s="36">
        <f>IF($U11="",0,ROUND(MAX('1-6月基数信息'!C$5,MIN($U11,'1-6月基数信息'!C$6))*V$3,2))</f>
        <v>2048</v>
      </c>
      <c r="W11" s="36">
        <f>IF($U11="",0,ROUND(MAX('1-6月基数信息'!D$5,MIN($U11,'1-6月基数信息'!D$6))*W$3,2))</f>
        <v>102.4</v>
      </c>
      <c r="X11" s="36">
        <f>IF($U11="",0,ROUND(MAX('1-6月基数信息'!E$5,MIN($U11,'1-6月基数信息'!E$6))*X$3,2))</f>
        <v>25.6</v>
      </c>
      <c r="Y11" s="36">
        <f>IF($U11="",0,ROUND(MAX('1-6月基数信息'!F$5,MIN($U11,'1-6月基数信息'!F$6))*Y$3,2))</f>
        <v>1280</v>
      </c>
      <c r="Z11" s="36">
        <f>IF($U11="",0,ROUND(MAX('1-6月基数信息'!G$5,MIN($U11,'1-6月基数信息'!G$6))*Z$3,2))</f>
        <v>102.4</v>
      </c>
      <c r="AA11" s="36">
        <f t="shared" si="1"/>
        <v>3558.4</v>
      </c>
      <c r="AB11" s="36">
        <f>IF($U11="",0,ROUND(MAX('1-6月基数信息'!I$5,MIN($U11,'1-6月基数信息'!I$6))*AB$3,2))</f>
        <v>1024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259</v>
      </c>
      <c r="AE11" s="36">
        <f t="shared" si="2"/>
        <v>1283</v>
      </c>
      <c r="AF11" s="132">
        <v>12800</v>
      </c>
      <c r="AG11" s="36">
        <f>IF($AF11="",0,ROUND(MAX('1-6月基数信息'!M$5,MIN($AF11,'1-6月基数信息'!M$6))*AG$3,0))</f>
        <v>640</v>
      </c>
      <c r="AH11" s="36">
        <f>IF($AF11="",0,ROUND(MAX('1-6月基数信息'!N$5,MIN($AF11,'1-6月基数信息'!N$6))*AH$3,0))</f>
        <v>640</v>
      </c>
      <c r="AI11" s="36">
        <f t="shared" ref="AI11:AI17" si="15">IF($AF11="",0,SUM(AG11:AH11))</f>
        <v>1280</v>
      </c>
      <c r="AJ11" s="131"/>
      <c r="AK11" s="131"/>
      <c r="AL11" s="131"/>
      <c r="AM11" s="131"/>
      <c r="AN11" s="131"/>
      <c r="AO11" s="130">
        <v>5000</v>
      </c>
      <c r="AP11" s="133">
        <f t="shared" si="3"/>
        <v>11200</v>
      </c>
      <c r="AQ11" s="133">
        <f t="shared" si="4"/>
        <v>1024</v>
      </c>
      <c r="AR11" s="133">
        <f t="shared" si="5"/>
        <v>259</v>
      </c>
      <c r="AS11" s="133">
        <f t="shared" si="6"/>
        <v>0</v>
      </c>
      <c r="AT11" s="133">
        <f t="shared" si="7"/>
        <v>640</v>
      </c>
      <c r="AU11" s="133">
        <f>$AP11+VLOOKUP($F11,'3月工资表'!$F$5:$BI$23,42,FALSE)</f>
        <v>59200</v>
      </c>
      <c r="AV11" s="133">
        <f>$AO11+VLOOKUP($F11,'3月工资表'!$F$5:$BI$23,43,FALSE)</f>
        <v>20000</v>
      </c>
      <c r="AW11" s="133">
        <f>AQ11+AR11+AS11+AT11+VLOOKUP($F11,'3月工资表'!$F$5:$BI$23,44,FALSE)</f>
        <v>7692</v>
      </c>
      <c r="AX11" s="133">
        <f>AJ11+VLOOKUP($F11,'3月工资表'!$F$5:$BI$23,45,FALSE)</f>
        <v>0</v>
      </c>
      <c r="AY11" s="133">
        <f>AK11+VLOOKUP($F11,'3月工资表'!$F$5:$BI$23,46,FALSE)</f>
        <v>0</v>
      </c>
      <c r="AZ11" s="133">
        <f>AL11+VLOOKUP($F11,'3月工资表'!$F$5:$BI$23,47,FALSE)</f>
        <v>0</v>
      </c>
      <c r="BA11" s="133">
        <f>AM11+VLOOKUP($F11,'3月工资表'!$F$5:$BI$23,48,FALSE)</f>
        <v>0</v>
      </c>
      <c r="BB11" s="133">
        <f>AN11+VLOOKUP($F11,'3月工资表'!$F$5:$BI$23,49,FALSE)</f>
        <v>0</v>
      </c>
      <c r="BC11" s="133">
        <f t="shared" si="8"/>
        <v>31508</v>
      </c>
      <c r="BD11" s="133">
        <f>ROUND(IF(BC11="","",MAX(0,BC11*{3;10;20;25;30;35;45}%-{0;2520;16920;31920;52920;85920;181920})),2)</f>
        <v>945.24</v>
      </c>
      <c r="BE11" s="133">
        <f>VLOOKUP($F11,'3月工资表'!$F$5:$BI$23,51,FALSE)</f>
        <v>816.93</v>
      </c>
      <c r="BF11" s="139">
        <f t="shared" si="9"/>
        <v>128.31000000000006</v>
      </c>
      <c r="BG11" s="140">
        <f t="shared" si="13"/>
        <v>9148.69</v>
      </c>
      <c r="BH11" s="127"/>
      <c r="BI11" s="127"/>
    </row>
    <row r="12" spans="1:61" ht="20.149999999999999" customHeight="1" x14ac:dyDescent="0.25">
      <c r="A12" s="77">
        <v>8</v>
      </c>
      <c r="B12" s="47" t="s">
        <v>65</v>
      </c>
      <c r="C12" s="47" t="s">
        <v>81</v>
      </c>
      <c r="D12" s="25" t="s">
        <v>82</v>
      </c>
      <c r="E12" s="65" t="s">
        <v>75</v>
      </c>
      <c r="F12" s="145" t="s">
        <v>83</v>
      </c>
      <c r="G12" s="83">
        <v>2700</v>
      </c>
      <c r="H12" s="83">
        <v>5400</v>
      </c>
      <c r="I12" s="117">
        <v>0</v>
      </c>
      <c r="J12" s="83">
        <v>900</v>
      </c>
      <c r="K12" s="82">
        <v>0</v>
      </c>
      <c r="L12" s="83">
        <v>1800</v>
      </c>
      <c r="M12" s="83">
        <v>1800</v>
      </c>
      <c r="N12" s="36">
        <f t="shared" si="0"/>
        <v>12600</v>
      </c>
      <c r="O12" s="28">
        <v>22</v>
      </c>
      <c r="P12" s="28">
        <v>22</v>
      </c>
      <c r="Q12" s="36">
        <f t="shared" si="11"/>
        <v>0</v>
      </c>
      <c r="R12" s="36">
        <f t="shared" si="12"/>
        <v>0</v>
      </c>
      <c r="S12" s="36"/>
      <c r="T12" s="36">
        <f t="shared" si="14"/>
        <v>12600</v>
      </c>
      <c r="U12" s="26">
        <v>9000</v>
      </c>
      <c r="V12" s="36">
        <f>IF($U12="",0,ROUND(MAX('1-6月基数信息'!C$5,MIN($U12,'1-6月基数信息'!C$6))*V$3,2))</f>
        <v>1440</v>
      </c>
      <c r="W12" s="36">
        <f>IF($U12="",0,ROUND(MAX('1-6月基数信息'!D$5,MIN($U12,'1-6月基数信息'!D$6))*W$3,2))</f>
        <v>72</v>
      </c>
      <c r="X12" s="36">
        <f>IF($U12="",0,ROUND(MAX('1-6月基数信息'!E$5,MIN($U12,'1-6月基数信息'!E$6))*X$3,2))</f>
        <v>18</v>
      </c>
      <c r="Y12" s="36">
        <f>IF($U12="",0,ROUND(MAX('1-6月基数信息'!F$5,MIN($U12,'1-6月基数信息'!F$6))*Y$3,2))</f>
        <v>900</v>
      </c>
      <c r="Z12" s="36">
        <f>IF($U12="",0,ROUND(MAX('1-6月基数信息'!G$5,MIN($U12,'1-6月基数信息'!G$6))*Z$3,2))</f>
        <v>72</v>
      </c>
      <c r="AA12" s="36">
        <f t="shared" si="1"/>
        <v>2502</v>
      </c>
      <c r="AB12" s="36">
        <f>IF($U12="",0,ROUND(MAX('1-6月基数信息'!I$5,MIN($U12,'1-6月基数信息'!I$6))*AB$3,2))</f>
        <v>720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183</v>
      </c>
      <c r="AE12" s="36">
        <f t="shared" si="2"/>
        <v>903</v>
      </c>
      <c r="AF12" s="26">
        <v>9000</v>
      </c>
      <c r="AG12" s="36">
        <f>IF($AF12="",0,ROUND(MAX('1-6月基数信息'!M$5,MIN($AF12,'1-6月基数信息'!M$6))*AG$3,0))</f>
        <v>450</v>
      </c>
      <c r="AH12" s="36">
        <f>IF($AF12="",0,ROUND(MAX('1-6月基数信息'!N$5,MIN($AF12,'1-6月基数信息'!N$6))*AH$3,0))</f>
        <v>450</v>
      </c>
      <c r="AI12" s="36">
        <f t="shared" si="15"/>
        <v>900</v>
      </c>
      <c r="AJ12" s="28"/>
      <c r="AK12" s="28"/>
      <c r="AL12" s="28"/>
      <c r="AM12" s="28"/>
      <c r="AN12" s="28"/>
      <c r="AO12" s="36">
        <v>5000</v>
      </c>
      <c r="AP12" s="63">
        <f t="shared" si="3"/>
        <v>12600</v>
      </c>
      <c r="AQ12" s="63">
        <f t="shared" si="4"/>
        <v>720</v>
      </c>
      <c r="AR12" s="63">
        <f t="shared" si="5"/>
        <v>183</v>
      </c>
      <c r="AS12" s="63">
        <f t="shared" si="6"/>
        <v>0</v>
      </c>
      <c r="AT12" s="63">
        <f t="shared" si="7"/>
        <v>450</v>
      </c>
      <c r="AU12" s="63">
        <f>$AP12+VLOOKUP($F12,'3月工资表'!$F$5:$BI$23,42,FALSE)</f>
        <v>66600</v>
      </c>
      <c r="AV12" s="63">
        <f>$AO12+VLOOKUP($F12,'3月工资表'!$F$5:$BI$23,43,FALSE)</f>
        <v>20000</v>
      </c>
      <c r="AW12" s="63">
        <f>AQ12+AR12+AS12+AT12+VLOOKUP($F12,'3月工资表'!$F$5:$BI$23,44,FALSE)</f>
        <v>5412</v>
      </c>
      <c r="AX12" s="63">
        <f>AJ12+VLOOKUP($F12,'3月工资表'!$F$5:$BI$23,45,FALSE)</f>
        <v>0</v>
      </c>
      <c r="AY12" s="63">
        <f>AK12+VLOOKUP($F12,'3月工资表'!$F$5:$BI$23,46,FALSE)</f>
        <v>0</v>
      </c>
      <c r="AZ12" s="63">
        <f>AL12+VLOOKUP($F12,'3月工资表'!$F$5:$BI$23,47,FALSE)</f>
        <v>0</v>
      </c>
      <c r="BA12" s="63">
        <f>AM12+VLOOKUP($F12,'3月工资表'!$F$5:$BI$23,48,FALSE)</f>
        <v>0</v>
      </c>
      <c r="BB12" s="63">
        <f>AN12+VLOOKUP($F12,'3月工资表'!$F$5:$BI$23,49,FALSE)</f>
        <v>0</v>
      </c>
      <c r="BC12" s="63">
        <f t="shared" si="8"/>
        <v>41188</v>
      </c>
      <c r="BD12" s="63">
        <f>ROUND(IF(BC12="","",MAX(0,BC12*{3;10;20;25;30;35;45}%-{0;2520;16920;31920;52920;85920;181920})),2)</f>
        <v>1598.8</v>
      </c>
      <c r="BE12" s="63">
        <f>VLOOKUP($F12,'3月工资表'!$F$5:$BI$23,51,FALSE)</f>
        <v>1048.23</v>
      </c>
      <c r="BF12" s="135">
        <f t="shared" si="9"/>
        <v>550.56999999999994</v>
      </c>
      <c r="BG12" s="136">
        <f t="shared" si="13"/>
        <v>10696.43</v>
      </c>
      <c r="BH12" s="65"/>
      <c r="BI12" s="65"/>
    </row>
    <row r="13" spans="1:61" ht="20.149999999999999" customHeight="1" x14ac:dyDescent="0.25">
      <c r="A13" s="77">
        <v>9</v>
      </c>
      <c r="B13" s="47" t="s">
        <v>87</v>
      </c>
      <c r="C13" s="47" t="s">
        <v>88</v>
      </c>
      <c r="D13" s="25" t="s">
        <v>89</v>
      </c>
      <c r="E13" s="65" t="s">
        <v>59</v>
      </c>
      <c r="F13" s="148" t="s">
        <v>90</v>
      </c>
      <c r="G13" s="83">
        <v>1200</v>
      </c>
      <c r="H13" s="82">
        <v>2400</v>
      </c>
      <c r="I13" s="117">
        <v>2400</v>
      </c>
      <c r="J13" s="83">
        <v>400</v>
      </c>
      <c r="K13" s="82">
        <v>0</v>
      </c>
      <c r="L13" s="82">
        <v>800</v>
      </c>
      <c r="M13" s="83">
        <v>800</v>
      </c>
      <c r="N13" s="36">
        <f t="shared" si="0"/>
        <v>8000</v>
      </c>
      <c r="O13" s="28">
        <v>22</v>
      </c>
      <c r="P13" s="28">
        <v>21</v>
      </c>
      <c r="Q13" s="36">
        <f t="shared" si="11"/>
        <v>1</v>
      </c>
      <c r="R13" s="36">
        <f t="shared" si="12"/>
        <v>367.82</v>
      </c>
      <c r="S13" s="36"/>
      <c r="T13" s="36">
        <f t="shared" si="14"/>
        <v>7632.18</v>
      </c>
      <c r="U13" s="26">
        <v>6400</v>
      </c>
      <c r="V13" s="36">
        <f>IF($U13="",0,ROUND(MAX('1-6月基数信息'!C$5,MIN($U13,'1-6月基数信息'!C$6))*V$3,2))</f>
        <v>1024</v>
      </c>
      <c r="W13" s="36">
        <f>IF($U13="",0,ROUND(MAX('1-6月基数信息'!D$5,MIN($U13,'1-6月基数信息'!D$6))*W$3,2))</f>
        <v>51.2</v>
      </c>
      <c r="X13" s="36">
        <f>IF($U13="",0,ROUND(MAX('1-6月基数信息'!E$5,MIN($U13,'1-6月基数信息'!E$6))*X$3,2))</f>
        <v>12.8</v>
      </c>
      <c r="Y13" s="36">
        <f>IF($U13="",0,ROUND(MAX('1-6月基数信息'!F$5,MIN($U13,'1-6月基数信息'!F$6))*Y$3,2))</f>
        <v>640</v>
      </c>
      <c r="Z13" s="36">
        <f>IF($U13="",0,ROUND(MAX('1-6月基数信息'!G$5,MIN($U13,'1-6月基数信息'!G$6))*Z$3,2))</f>
        <v>51.2</v>
      </c>
      <c r="AA13" s="36">
        <f t="shared" si="1"/>
        <v>1779.2</v>
      </c>
      <c r="AB13" s="36">
        <f>IF($U13="",0,ROUND(MAX('1-6月基数信息'!I$5,MIN($U13,'1-6月基数信息'!I$6))*AB$3,2))</f>
        <v>512</v>
      </c>
      <c r="AC13" s="36">
        <f>IF($E13="农村",0,IF($U13="",0,ROUND(MAX('1-6月基数信息'!J$5,MIN($U13,'1-6月基数信息'!J$6))*AC$3,2)))</f>
        <v>12.8</v>
      </c>
      <c r="AD13" s="36">
        <f>IF($U13="",0,ROUND(MAX('1-6月基数信息'!K$5,MIN($U13,'1-6月基数信息'!K$6))*2%+3,2))</f>
        <v>131</v>
      </c>
      <c r="AE13" s="36">
        <f t="shared" si="2"/>
        <v>655.8</v>
      </c>
      <c r="AF13" s="26">
        <v>6400</v>
      </c>
      <c r="AG13" s="36">
        <f>IF($AF13="",0,ROUND(MAX('1-6月基数信息'!M$5,MIN($AF13,'1-6月基数信息'!M$6))*AG$3,0))</f>
        <v>320</v>
      </c>
      <c r="AH13" s="36">
        <f>IF($AF13="",0,ROUND(MAX('1-6月基数信息'!N$5,MIN($AF13,'1-6月基数信息'!N$6))*AH$3,0))</f>
        <v>320</v>
      </c>
      <c r="AI13" s="36">
        <f t="shared" si="15"/>
        <v>640</v>
      </c>
      <c r="AJ13" s="28"/>
      <c r="AK13" s="28"/>
      <c r="AL13" s="28"/>
      <c r="AM13" s="28"/>
      <c r="AN13" s="28">
        <v>1500</v>
      </c>
      <c r="AO13" s="36">
        <v>5000</v>
      </c>
      <c r="AP13" s="63">
        <f t="shared" si="3"/>
        <v>7632.18</v>
      </c>
      <c r="AQ13" s="63">
        <f t="shared" si="4"/>
        <v>512</v>
      </c>
      <c r="AR13" s="63">
        <f t="shared" si="5"/>
        <v>131</v>
      </c>
      <c r="AS13" s="63">
        <f t="shared" si="6"/>
        <v>12.8</v>
      </c>
      <c r="AT13" s="63">
        <f t="shared" si="7"/>
        <v>320</v>
      </c>
      <c r="AU13" s="63">
        <f>$AP13+VLOOKUP($F13,'3月工资表'!$F$5:$BI$23,42,FALSE)</f>
        <v>30896.55</v>
      </c>
      <c r="AV13" s="63">
        <f>$AO13+VLOOKUP($F13,'3月工资表'!$F$5:$BI$23,43,FALSE)</f>
        <v>20000</v>
      </c>
      <c r="AW13" s="63">
        <f>AQ13+AR13+AS13+AT13+VLOOKUP($F13,'3月工资表'!$F$5:$BI$23,44,FALSE)</f>
        <v>3903.2</v>
      </c>
      <c r="AX13" s="63">
        <f>AJ13+VLOOKUP($F13,'3月工资表'!$F$5:$BI$23,45,FALSE)</f>
        <v>0</v>
      </c>
      <c r="AY13" s="63">
        <f>AK13+VLOOKUP($F13,'3月工资表'!$F$5:$BI$23,46,FALSE)</f>
        <v>0</v>
      </c>
      <c r="AZ13" s="63">
        <f>AL13+VLOOKUP($F13,'3月工资表'!$F$5:$BI$23,47,FALSE)</f>
        <v>0</v>
      </c>
      <c r="BA13" s="63">
        <f>AM13+VLOOKUP($F13,'3月工资表'!$F$5:$BI$23,48,FALSE)</f>
        <v>0</v>
      </c>
      <c r="BB13" s="63">
        <f>AN13+VLOOKUP($F13,'3月工资表'!$F$5:$BI$23,49,FALSE)</f>
        <v>6000</v>
      </c>
      <c r="BC13" s="63">
        <f t="shared" si="8"/>
        <v>993.34999999999945</v>
      </c>
      <c r="BD13" s="63">
        <f>ROUND(IF(BC13="","",MAX(0,BC13*{3;10;20;25;30;35;45}%-{0;2520;16920;31920;52920;85920;181920})),2)</f>
        <v>29.8</v>
      </c>
      <c r="BE13" s="63">
        <f>VLOOKUP($F13,'3月工资表'!$F$5:$BI$23,51,FALSE)</f>
        <v>25.11</v>
      </c>
      <c r="BF13" s="135">
        <f t="shared" si="9"/>
        <v>4.6900000000000013</v>
      </c>
      <c r="BG13" s="136">
        <f t="shared" si="13"/>
        <v>6651.6900000000005</v>
      </c>
      <c r="BH13" s="155">
        <v>8000</v>
      </c>
      <c r="BI13" s="111">
        <v>14651.69</v>
      </c>
    </row>
    <row r="14" spans="1:61" ht="20.149999999999999" customHeight="1" x14ac:dyDescent="0.25">
      <c r="A14" s="77">
        <v>10</v>
      </c>
      <c r="B14" s="47" t="s">
        <v>91</v>
      </c>
      <c r="C14" s="47" t="s">
        <v>92</v>
      </c>
      <c r="D14" s="25" t="s">
        <v>93</v>
      </c>
      <c r="E14" s="65" t="s">
        <v>75</v>
      </c>
      <c r="F14" s="29" t="s">
        <v>94</v>
      </c>
      <c r="G14" s="83">
        <v>3000</v>
      </c>
      <c r="H14" s="83">
        <v>6000</v>
      </c>
      <c r="I14" s="117">
        <v>0</v>
      </c>
      <c r="J14" s="83">
        <v>1000</v>
      </c>
      <c r="K14" s="82">
        <v>0</v>
      </c>
      <c r="L14" s="83">
        <v>2000</v>
      </c>
      <c r="M14" s="83">
        <v>2000</v>
      </c>
      <c r="N14" s="36">
        <f t="shared" si="0"/>
        <v>14000</v>
      </c>
      <c r="O14" s="28">
        <v>22</v>
      </c>
      <c r="P14" s="28">
        <v>22</v>
      </c>
      <c r="Q14" s="36">
        <f t="shared" si="11"/>
        <v>0</v>
      </c>
      <c r="R14" s="36">
        <f t="shared" si="12"/>
        <v>0</v>
      </c>
      <c r="S14" s="36"/>
      <c r="T14" s="36">
        <f t="shared" si="14"/>
        <v>14000</v>
      </c>
      <c r="U14" s="69">
        <v>5500</v>
      </c>
      <c r="V14" s="36">
        <f>IF($U14="",0,ROUND(MAX('1-6月基数信息'!C$5,MIN($U14,'1-6月基数信息'!C$6))*V$3,2))</f>
        <v>880</v>
      </c>
      <c r="W14" s="36">
        <f>IF($U14="",0,ROUND(MAX('1-6月基数信息'!D$5,MIN($U14,'1-6月基数信息'!D$6))*W$3,2))</f>
        <v>44</v>
      </c>
      <c r="X14" s="36">
        <f>IF($U14="",0,ROUND(MAX('1-6月基数信息'!E$5,MIN($U14,'1-6月基数信息'!E$6))*X$3,2))</f>
        <v>11</v>
      </c>
      <c r="Y14" s="36">
        <f>IF($U14="",0,ROUND(MAX('1-6月基数信息'!F$5,MIN($U14,'1-6月基数信息'!F$6))*Y$3,2))</f>
        <v>555.70000000000005</v>
      </c>
      <c r="Z14" s="36">
        <f>IF($U14="",0,ROUND(MAX('1-6月基数信息'!G$5,MIN($U14,'1-6月基数信息'!G$6))*Z$3,2))</f>
        <v>44.46</v>
      </c>
      <c r="AA14" s="36">
        <f t="shared" si="1"/>
        <v>1535.16</v>
      </c>
      <c r="AB14" s="36">
        <f>IF($U14="",0,ROUND(MAX('1-6月基数信息'!I$5,MIN($U14,'1-6月基数信息'!I$6))*AB$3,2))</f>
        <v>440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114.14</v>
      </c>
      <c r="AE14" s="36">
        <f t="shared" si="2"/>
        <v>554.14</v>
      </c>
      <c r="AF14" s="69">
        <v>5500</v>
      </c>
      <c r="AG14" s="36">
        <f>IF($AF14="",0,ROUND(MAX('1-6月基数信息'!M$5,MIN($AF14,'1-6月基数信息'!M$6))*AG$3,0))</f>
        <v>275</v>
      </c>
      <c r="AH14" s="36">
        <f>IF($AF14="",0,ROUND(MAX('1-6月基数信息'!N$5,MIN($AF14,'1-6月基数信息'!N$6))*AH$3,0))</f>
        <v>275</v>
      </c>
      <c r="AI14" s="36">
        <f t="shared" si="15"/>
        <v>550</v>
      </c>
      <c r="AJ14" s="28"/>
      <c r="AK14" s="28"/>
      <c r="AL14" s="28"/>
      <c r="AM14" s="28"/>
      <c r="AN14" s="28"/>
      <c r="AO14" s="36">
        <v>5000</v>
      </c>
      <c r="AP14" s="63">
        <f t="shared" si="3"/>
        <v>14000</v>
      </c>
      <c r="AQ14" s="63">
        <f t="shared" si="4"/>
        <v>440</v>
      </c>
      <c r="AR14" s="63">
        <f t="shared" si="5"/>
        <v>114.14</v>
      </c>
      <c r="AS14" s="63">
        <f t="shared" si="6"/>
        <v>0</v>
      </c>
      <c r="AT14" s="63">
        <f t="shared" si="7"/>
        <v>275</v>
      </c>
      <c r="AU14" s="63">
        <f>$AP14+VLOOKUP($F14,'3月工资表'!$F$5:$BI$23,42,FALSE)</f>
        <v>74000</v>
      </c>
      <c r="AV14" s="63">
        <f>$AO14+VLOOKUP($F14,'3月工资表'!$F$5:$BI$23,43,FALSE)</f>
        <v>20000</v>
      </c>
      <c r="AW14" s="63">
        <f>AQ14+AR14+AS14+AT14+VLOOKUP($F14,'3月工资表'!$F$5:$BI$23,44,FALSE)</f>
        <v>3316.56</v>
      </c>
      <c r="AX14" s="63">
        <f>AJ14+VLOOKUP($F14,'3月工资表'!$F$5:$BI$23,45,FALSE)</f>
        <v>0</v>
      </c>
      <c r="AY14" s="63">
        <f>AK14+VLOOKUP($F14,'3月工资表'!$F$5:$BI$23,46,FALSE)</f>
        <v>0</v>
      </c>
      <c r="AZ14" s="63">
        <f>AL14+VLOOKUP($F14,'3月工资表'!$F$5:$BI$23,47,FALSE)</f>
        <v>0</v>
      </c>
      <c r="BA14" s="63">
        <f>AM14+VLOOKUP($F14,'3月工资表'!$F$5:$BI$23,48,FALSE)</f>
        <v>0</v>
      </c>
      <c r="BB14" s="63">
        <f>AN14+VLOOKUP($F14,'3月工资表'!$F$5:$BI$23,49,FALSE)</f>
        <v>0</v>
      </c>
      <c r="BC14" s="63">
        <f t="shared" si="8"/>
        <v>50683.44</v>
      </c>
      <c r="BD14" s="63">
        <f>ROUND(IF(BC14="","",MAX(0,BC14*{3;10;20;25;30;35;45}%-{0;2520;16920;31920;52920;85920;181920})),2)</f>
        <v>2548.34</v>
      </c>
      <c r="BE14" s="63">
        <f>VLOOKUP($F14,'3月工资表'!$F$5:$BI$23,51,FALSE)</f>
        <v>1731.26</v>
      </c>
      <c r="BF14" s="135">
        <f t="shared" si="9"/>
        <v>817.08000000000015</v>
      </c>
      <c r="BG14" s="136">
        <f t="shared" si="13"/>
        <v>12353.78</v>
      </c>
      <c r="BH14" s="65"/>
      <c r="BI14" s="65"/>
    </row>
    <row r="15" spans="1:61" ht="20.149999999999999" customHeight="1" x14ac:dyDescent="0.25">
      <c r="A15" s="77">
        <v>11</v>
      </c>
      <c r="B15" s="47" t="s">
        <v>68</v>
      </c>
      <c r="C15" s="47" t="s">
        <v>69</v>
      </c>
      <c r="D15" s="48" t="s">
        <v>98</v>
      </c>
      <c r="E15" s="65" t="s">
        <v>59</v>
      </c>
      <c r="F15" s="29" t="s">
        <v>99</v>
      </c>
      <c r="G15" s="83">
        <v>2700</v>
      </c>
      <c r="H15" s="84">
        <v>5400</v>
      </c>
      <c r="I15" s="117">
        <v>0</v>
      </c>
      <c r="J15" s="84">
        <v>900</v>
      </c>
      <c r="K15" s="82">
        <v>0</v>
      </c>
      <c r="L15" s="83">
        <v>1800</v>
      </c>
      <c r="M15" s="83">
        <v>1800</v>
      </c>
      <c r="N15" s="36">
        <f t="shared" si="0"/>
        <v>12600</v>
      </c>
      <c r="O15" s="28">
        <v>22</v>
      </c>
      <c r="P15" s="28">
        <v>22</v>
      </c>
      <c r="Q15" s="36">
        <f t="shared" si="11"/>
        <v>0</v>
      </c>
      <c r="R15" s="36">
        <f t="shared" si="12"/>
        <v>0</v>
      </c>
      <c r="S15" s="36"/>
      <c r="T15" s="36">
        <f t="shared" si="14"/>
        <v>12600</v>
      </c>
      <c r="U15" s="69">
        <v>5500</v>
      </c>
      <c r="V15" s="36">
        <f>IF($U15="",0,ROUND(MAX('1-6月基数信息'!C$5,MIN($U15,'1-6月基数信息'!C$6))*V$3,2))</f>
        <v>880</v>
      </c>
      <c r="W15" s="36">
        <f>IF($U15="",0,ROUND(MAX('1-6月基数信息'!D$5,MIN($U15,'1-6月基数信息'!D$6))*W$3,2))</f>
        <v>44</v>
      </c>
      <c r="X15" s="36">
        <f>IF($U15="",0,ROUND(MAX('1-6月基数信息'!E$5,MIN($U15,'1-6月基数信息'!E$6))*X$3,2))</f>
        <v>11</v>
      </c>
      <c r="Y15" s="36">
        <f>IF($U15="",0,ROUND(MAX('1-6月基数信息'!F$5,MIN($U15,'1-6月基数信息'!F$6))*Y$3,2))</f>
        <v>555.70000000000005</v>
      </c>
      <c r="Z15" s="36">
        <f>IF($U15="",0,ROUND(MAX('1-6月基数信息'!G$5,MIN($U15,'1-6月基数信息'!G$6))*Z$3,2))</f>
        <v>44.46</v>
      </c>
      <c r="AA15" s="36">
        <f t="shared" si="1"/>
        <v>1535.16</v>
      </c>
      <c r="AB15" s="36">
        <f>IF($U15="",0,ROUND(MAX('1-6月基数信息'!I$5,MIN($U15,'1-6月基数信息'!I$6))*AB$3,2))</f>
        <v>440</v>
      </c>
      <c r="AC15" s="36">
        <f>IF($E15="农村",0,IF($U15="",0,ROUND(MAX('1-6月基数信息'!J$5,MIN($U15,'1-6月基数信息'!J$6))*AC$3,2)))</f>
        <v>11</v>
      </c>
      <c r="AD15" s="36">
        <f>IF($U15="",0,ROUND(MAX('1-6月基数信息'!K$5,MIN($U15,'1-6月基数信息'!K$6))*2%+3,2))</f>
        <v>114.14</v>
      </c>
      <c r="AE15" s="36">
        <f t="shared" si="2"/>
        <v>565.14</v>
      </c>
      <c r="AF15" s="69">
        <v>5500</v>
      </c>
      <c r="AG15" s="36">
        <f>IF($AF15="",0,ROUND(MAX('1-6月基数信息'!M$5,MIN($AF15,'1-6月基数信息'!M$6))*AG$3,0))</f>
        <v>275</v>
      </c>
      <c r="AH15" s="36">
        <f>IF($AF15="",0,ROUND(MAX('1-6月基数信息'!N$5,MIN($AF15,'1-6月基数信息'!N$6))*AH$3,0))</f>
        <v>275</v>
      </c>
      <c r="AI15" s="36">
        <f t="shared" si="15"/>
        <v>550</v>
      </c>
      <c r="AJ15" s="28">
        <v>1000</v>
      </c>
      <c r="AK15" s="28">
        <v>1000</v>
      </c>
      <c r="AL15" s="28"/>
      <c r="AM15" s="28"/>
      <c r="AN15" s="28"/>
      <c r="AO15" s="36">
        <v>5000</v>
      </c>
      <c r="AP15" s="63">
        <f t="shared" si="3"/>
        <v>12600</v>
      </c>
      <c r="AQ15" s="63">
        <f t="shared" si="4"/>
        <v>440</v>
      </c>
      <c r="AR15" s="63">
        <f t="shared" si="5"/>
        <v>114.14</v>
      </c>
      <c r="AS15" s="63">
        <f t="shared" si="6"/>
        <v>11</v>
      </c>
      <c r="AT15" s="63">
        <f t="shared" si="7"/>
        <v>275</v>
      </c>
      <c r="AU15" s="63">
        <f>$AP15+VLOOKUP($F15,'3月工资表'!$F$5:$BI$23,42,FALSE)</f>
        <v>65772.41</v>
      </c>
      <c r="AV15" s="63">
        <f>$AO15+VLOOKUP($F15,'3月工资表'!$F$5:$BI$23,43,FALSE)</f>
        <v>20000</v>
      </c>
      <c r="AW15" s="63">
        <f>AQ15+AR15+AS15+AT15+VLOOKUP($F15,'3月工资表'!$F$5:$BI$23,44,FALSE)</f>
        <v>3360.56</v>
      </c>
      <c r="AX15" s="63">
        <f>AJ15+VLOOKUP($F15,'3月工资表'!$F$5:$BI$23,45,FALSE)</f>
        <v>4000</v>
      </c>
      <c r="AY15" s="63">
        <f>AK15+VLOOKUP($F15,'3月工资表'!$F$5:$BI$23,46,FALSE)</f>
        <v>4000</v>
      </c>
      <c r="AZ15" s="63">
        <f>AL15+VLOOKUP($F15,'3月工资表'!$F$5:$BI$23,47,FALSE)</f>
        <v>0</v>
      </c>
      <c r="BA15" s="63">
        <f>AM15+VLOOKUP($F15,'3月工资表'!$F$5:$BI$23,48,FALSE)</f>
        <v>0</v>
      </c>
      <c r="BB15" s="63">
        <f>AN15+VLOOKUP($F15,'3月工资表'!$F$5:$BI$23,49,FALSE)</f>
        <v>0</v>
      </c>
      <c r="BC15" s="63">
        <f t="shared" si="8"/>
        <v>34411.850000000006</v>
      </c>
      <c r="BD15" s="63">
        <f>ROUND(IF(BC15="","",MAX(0,BC15*{3;10;20;25;30;35;45}%-{0;2520;16920;31920;52920;85920;181920})),2)</f>
        <v>1032.3599999999999</v>
      </c>
      <c r="BE15" s="63">
        <f>VLOOKUP($F15,'3月工资表'!$F$5:$BI$23,51,FALSE)</f>
        <v>889.56</v>
      </c>
      <c r="BF15" s="135">
        <f t="shared" si="9"/>
        <v>142.79999999999995</v>
      </c>
      <c r="BG15" s="136">
        <f t="shared" si="13"/>
        <v>11617.060000000001</v>
      </c>
      <c r="BH15" s="65"/>
      <c r="BI15" s="65"/>
    </row>
    <row r="16" spans="1:61" ht="20.149999999999999" customHeight="1" x14ac:dyDescent="0.25">
      <c r="A16" s="77">
        <v>12</v>
      </c>
      <c r="B16" s="47" t="s">
        <v>87</v>
      </c>
      <c r="C16" s="47" t="s">
        <v>88</v>
      </c>
      <c r="D16" s="25" t="s">
        <v>100</v>
      </c>
      <c r="E16" s="65" t="s">
        <v>59</v>
      </c>
      <c r="F16" s="81" t="s">
        <v>101</v>
      </c>
      <c r="G16" s="83">
        <v>1275</v>
      </c>
      <c r="H16" s="82">
        <v>2550</v>
      </c>
      <c r="I16" s="117">
        <v>2550</v>
      </c>
      <c r="J16" s="83">
        <v>425</v>
      </c>
      <c r="K16" s="82">
        <v>0</v>
      </c>
      <c r="L16" s="82">
        <v>850</v>
      </c>
      <c r="M16" s="83">
        <v>850</v>
      </c>
      <c r="N16" s="36">
        <f t="shared" si="0"/>
        <v>8500</v>
      </c>
      <c r="O16" s="28">
        <v>22</v>
      </c>
      <c r="P16" s="28">
        <v>21.5</v>
      </c>
      <c r="Q16" s="36">
        <f t="shared" si="11"/>
        <v>0.5</v>
      </c>
      <c r="R16" s="36">
        <f t="shared" si="12"/>
        <v>195.4</v>
      </c>
      <c r="S16" s="36"/>
      <c r="T16" s="36">
        <f t="shared" si="14"/>
        <v>8304.6</v>
      </c>
      <c r="U16" s="69">
        <v>5500</v>
      </c>
      <c r="V16" s="36">
        <f>IF($U16="",0,ROUND(MAX('1-6月基数信息'!C$5,MIN($U16,'1-6月基数信息'!C$6))*V$3,2))</f>
        <v>880</v>
      </c>
      <c r="W16" s="36">
        <f>IF($U16="",0,ROUND(MAX('1-6月基数信息'!D$5,MIN($U16,'1-6月基数信息'!D$6))*W$3,2))</f>
        <v>44</v>
      </c>
      <c r="X16" s="36">
        <f>IF($U16="",0,ROUND(MAX('1-6月基数信息'!E$5,MIN($U16,'1-6月基数信息'!E$6))*X$3,2))</f>
        <v>11</v>
      </c>
      <c r="Y16" s="36">
        <f>IF($U16="",0,ROUND(MAX('1-6月基数信息'!F$5,MIN($U16,'1-6月基数信息'!F$6))*Y$3,2))</f>
        <v>555.70000000000005</v>
      </c>
      <c r="Z16" s="36">
        <f>IF($U16="",0,ROUND(MAX('1-6月基数信息'!G$5,MIN($U16,'1-6月基数信息'!G$6))*Z$3,2))</f>
        <v>44.46</v>
      </c>
      <c r="AA16" s="36">
        <f t="shared" si="1"/>
        <v>1535.16</v>
      </c>
      <c r="AB16" s="36">
        <f>IF($U16="",0,ROUND(MAX('1-6月基数信息'!I$5,MIN($U16,'1-6月基数信息'!I$6))*AB$3,2))</f>
        <v>440</v>
      </c>
      <c r="AC16" s="36">
        <f>IF($E16="农村",0,IF($U16="",0,ROUND(MAX('1-6月基数信息'!J$5,MIN($U16,'1-6月基数信息'!J$6))*AC$3,2)))</f>
        <v>11</v>
      </c>
      <c r="AD16" s="36">
        <f>IF($U16="",0,ROUND(MAX('1-6月基数信息'!K$5,MIN($U16,'1-6月基数信息'!K$6))*2%+3,2))</f>
        <v>114.14</v>
      </c>
      <c r="AE16" s="36">
        <f t="shared" si="2"/>
        <v>565.14</v>
      </c>
      <c r="AF16" s="69">
        <v>5500</v>
      </c>
      <c r="AG16" s="36">
        <f>IF($AF16="",0,ROUND(MAX('1-6月基数信息'!M$5,MIN($AF16,'1-6月基数信息'!M$6))*AG$3,0))</f>
        <v>275</v>
      </c>
      <c r="AH16" s="36">
        <f>IF($AF16="",0,ROUND(MAX('1-6月基数信息'!N$5,MIN($AF16,'1-6月基数信息'!N$6))*AH$3,0))</f>
        <v>275</v>
      </c>
      <c r="AI16" s="36">
        <f t="shared" si="15"/>
        <v>550</v>
      </c>
      <c r="AJ16" s="28"/>
      <c r="AK16" s="28"/>
      <c r="AL16" s="28"/>
      <c r="AM16" s="28"/>
      <c r="AN16" s="28"/>
      <c r="AO16" s="36">
        <v>5000</v>
      </c>
      <c r="AP16" s="63">
        <f t="shared" si="3"/>
        <v>8304.6</v>
      </c>
      <c r="AQ16" s="63">
        <f t="shared" si="4"/>
        <v>440</v>
      </c>
      <c r="AR16" s="63">
        <f t="shared" si="5"/>
        <v>114.14</v>
      </c>
      <c r="AS16" s="63">
        <f t="shared" si="6"/>
        <v>11</v>
      </c>
      <c r="AT16" s="63">
        <f t="shared" si="7"/>
        <v>275</v>
      </c>
      <c r="AU16" s="63">
        <f>$AP16+VLOOKUP($F16,'3月工资表'!$F$5:$BI$23,42,FALSE)</f>
        <v>33804.6</v>
      </c>
      <c r="AV16" s="63">
        <f>$AO16+VLOOKUP($F16,'3月工资表'!$F$5:$BI$23,43,FALSE)</f>
        <v>20000</v>
      </c>
      <c r="AW16" s="63">
        <f>AQ16+AR16+AS16+AT16+VLOOKUP($F16,'3月工资表'!$F$5:$BI$23,44,FALSE)</f>
        <v>3360.56</v>
      </c>
      <c r="AX16" s="63">
        <f>AJ16+VLOOKUP($F16,'3月工资表'!$F$5:$BI$23,45,FALSE)</f>
        <v>0</v>
      </c>
      <c r="AY16" s="63">
        <f>AK16+VLOOKUP($F16,'3月工资表'!$F$5:$BI$23,46,FALSE)</f>
        <v>0</v>
      </c>
      <c r="AZ16" s="63">
        <f>AL16+VLOOKUP($F16,'3月工资表'!$F$5:$BI$23,47,FALSE)</f>
        <v>0</v>
      </c>
      <c r="BA16" s="63">
        <f>AM16+VLOOKUP($F16,'3月工资表'!$F$5:$BI$23,48,FALSE)</f>
        <v>0</v>
      </c>
      <c r="BB16" s="63">
        <f>AN16+VLOOKUP($F16,'3月工资表'!$F$5:$BI$23,49,FALSE)</f>
        <v>0</v>
      </c>
      <c r="BC16" s="63">
        <f t="shared" si="8"/>
        <v>10444.039999999999</v>
      </c>
      <c r="BD16" s="63">
        <f>ROUND(IF(BC16="","",MAX(0,BC16*{3;10;20;25;30;35;45}%-{0;2520;16920;31920;52920;85920;181920})),2)</f>
        <v>313.32</v>
      </c>
      <c r="BE16" s="63">
        <f>VLOOKUP($F16,'3月工资表'!$F$5:$BI$23,51,FALSE)</f>
        <v>239.39</v>
      </c>
      <c r="BF16" s="135">
        <f t="shared" si="9"/>
        <v>73.930000000000007</v>
      </c>
      <c r="BG16" s="136">
        <f t="shared" si="13"/>
        <v>7390.53</v>
      </c>
      <c r="BH16" s="155">
        <v>8500</v>
      </c>
      <c r="BI16" s="111">
        <v>15890.53</v>
      </c>
    </row>
    <row r="17" spans="1:61" ht="20.149999999999999" customHeight="1" x14ac:dyDescent="0.25">
      <c r="A17" s="77">
        <v>13</v>
      </c>
      <c r="B17" s="47" t="s">
        <v>65</v>
      </c>
      <c r="C17" s="47" t="s">
        <v>102</v>
      </c>
      <c r="D17" s="25" t="s">
        <v>103</v>
      </c>
      <c r="E17" s="65" t="s">
        <v>59</v>
      </c>
      <c r="F17" s="29" t="s">
        <v>104</v>
      </c>
      <c r="G17" s="83">
        <v>3750</v>
      </c>
      <c r="H17" s="85">
        <v>7500</v>
      </c>
      <c r="I17" s="117">
        <v>0</v>
      </c>
      <c r="J17" s="83">
        <v>1250</v>
      </c>
      <c r="K17" s="82">
        <v>0</v>
      </c>
      <c r="L17" s="83">
        <v>2500</v>
      </c>
      <c r="M17" s="83">
        <v>2500</v>
      </c>
      <c r="N17" s="36">
        <f t="shared" si="0"/>
        <v>17500</v>
      </c>
      <c r="O17" s="28">
        <v>22</v>
      </c>
      <c r="P17" s="28">
        <v>22</v>
      </c>
      <c r="Q17" s="36">
        <f t="shared" si="11"/>
        <v>0</v>
      </c>
      <c r="R17" s="36">
        <f t="shared" si="12"/>
        <v>0</v>
      </c>
      <c r="S17" s="36"/>
      <c r="T17" s="36">
        <f t="shared" si="14"/>
        <v>17500</v>
      </c>
      <c r="U17" s="142">
        <v>8000</v>
      </c>
      <c r="V17" s="36">
        <f>IF($U17="",0,ROUND(MAX('1-6月基数信息'!C$5,MIN($U17,'1-6月基数信息'!C$6))*'4月工资表'!V$3,2))</f>
        <v>1280</v>
      </c>
      <c r="W17" s="36">
        <f>IF($U17="",0,ROUND(MAX('1-6月基数信息'!D$5,MIN($U17,'1-6月基数信息'!D$6))*'4月工资表'!W$3,2))</f>
        <v>64</v>
      </c>
      <c r="X17" s="36">
        <f>IF($U17="",0,ROUND(MAX('1-6月基数信息'!E$5,MIN($U17,'1-6月基数信息'!E$6))*'4月工资表'!X$3,2))</f>
        <v>16</v>
      </c>
      <c r="Y17" s="36">
        <f>IF($U17="",0,ROUND(MAX('1-6月基数信息'!F$5,MIN($U17,'1-6月基数信息'!F$6))*'4月工资表'!Y$3,2))</f>
        <v>800</v>
      </c>
      <c r="Z17" s="36">
        <f>IF($U17="",0,ROUND(MAX('1-6月基数信息'!G$5,MIN($U17,'1-6月基数信息'!G$6))*'4月工资表'!Z$3,2))</f>
        <v>64</v>
      </c>
      <c r="AA17" s="36">
        <f t="shared" si="1"/>
        <v>2224</v>
      </c>
      <c r="AB17" s="36">
        <f>IF($U17="",0,ROUND(MAX('1-6月基数信息'!I$5,MIN($U17,'1-6月基数信息'!I$6))*'4月工资表'!AB$3,2))</f>
        <v>640</v>
      </c>
      <c r="AC17" s="36">
        <f>IF('4月工资表'!$E19="农村",0,IF($U17="",0,ROUND(MAX('1-6月基数信息'!J$5,MIN($U17,'1-6月基数信息'!J$6))*'4月工资表'!AC$3,2)))</f>
        <v>16</v>
      </c>
      <c r="AD17" s="36">
        <f>IF($U17="",0,ROUND(MAX('1-6月基数信息'!K$5,MIN($U17,'1-6月基数信息'!K$6))*2%+3,2))</f>
        <v>163</v>
      </c>
      <c r="AE17" s="36">
        <f t="shared" si="2"/>
        <v>819</v>
      </c>
      <c r="AF17" s="142">
        <v>8000</v>
      </c>
      <c r="AG17" s="36">
        <f>IF($AF17="",0,ROUND(MAX('1-6月基数信息'!M$5,MIN($AF17,'1-6月基数信息'!M$6))*'4月工资表'!AG$3,0))</f>
        <v>400</v>
      </c>
      <c r="AH17" s="36">
        <f>IF($AF17="",0,ROUND(MAX('1-6月基数信息'!N$5,MIN($AF17,'1-6月基数信息'!N$6))*'4月工资表'!AH$3,0))</f>
        <v>400</v>
      </c>
      <c r="AI17" s="36">
        <f t="shared" si="15"/>
        <v>800</v>
      </c>
      <c r="AJ17" s="28"/>
      <c r="AK17" s="28"/>
      <c r="AL17" s="28"/>
      <c r="AM17" s="28">
        <v>1000</v>
      </c>
      <c r="AN17" s="28"/>
      <c r="AO17" s="36">
        <v>5000</v>
      </c>
      <c r="AP17" s="63">
        <f t="shared" si="3"/>
        <v>17500</v>
      </c>
      <c r="AQ17" s="63">
        <f t="shared" si="4"/>
        <v>640</v>
      </c>
      <c r="AR17" s="63">
        <f t="shared" si="5"/>
        <v>163</v>
      </c>
      <c r="AS17" s="63">
        <f t="shared" si="6"/>
        <v>16</v>
      </c>
      <c r="AT17" s="63">
        <f t="shared" si="7"/>
        <v>400</v>
      </c>
      <c r="AU17" s="63">
        <f>$AP17+VLOOKUP($F17,'3月工资表'!$F$5:$BI$23,42,FALSE)</f>
        <v>92500</v>
      </c>
      <c r="AV17" s="63">
        <f>$AO17+VLOOKUP($F17,'3月工资表'!$F$5:$BI$23,43,FALSE)</f>
        <v>20000</v>
      </c>
      <c r="AW17" s="63">
        <f>AQ17+AR17+AS17+AT17+VLOOKUP($F17,'3月工资表'!$F$5:$BI$23,44,FALSE)</f>
        <v>4876</v>
      </c>
      <c r="AX17" s="63">
        <f>AJ17+VLOOKUP($F17,'3月工资表'!$F$5:$BI$23,45,FALSE)</f>
        <v>0</v>
      </c>
      <c r="AY17" s="63">
        <f>AK17+VLOOKUP($F17,'3月工资表'!$F$5:$BI$23,46,FALSE)</f>
        <v>0</v>
      </c>
      <c r="AZ17" s="63">
        <f>AL17+VLOOKUP($F17,'3月工资表'!$F$5:$BI$23,47,FALSE)</f>
        <v>0</v>
      </c>
      <c r="BA17" s="63">
        <f>AM17+VLOOKUP($F17,'3月工资表'!$F$5:$BI$23,48,FALSE)</f>
        <v>4000</v>
      </c>
      <c r="BB17" s="63">
        <f>AN17+VLOOKUP($F17,'3月工资表'!$F$5:$BI$23,49,FALSE)</f>
        <v>0</v>
      </c>
      <c r="BC17" s="63">
        <f t="shared" si="8"/>
        <v>63624</v>
      </c>
      <c r="BD17" s="63">
        <f>ROUND(IF(BC17="","",MAX(0,BC17*{3;10;20;25;30;35;45}%-{0;2520;16920;31920;52920;85920;181920})),2)</f>
        <v>3842.4</v>
      </c>
      <c r="BE17" s="63">
        <f>VLOOKUP($F17,'3月工资表'!$F$5:$BI$23,51,FALSE)</f>
        <v>2814.3</v>
      </c>
      <c r="BF17" s="135">
        <f t="shared" si="9"/>
        <v>1028.0999999999999</v>
      </c>
      <c r="BG17" s="136">
        <f t="shared" si="13"/>
        <v>15252.9</v>
      </c>
    </row>
    <row r="18" spans="1:61" ht="20.149999999999999" customHeight="1" x14ac:dyDescent="0.25">
      <c r="A18" s="77"/>
      <c r="B18" s="25"/>
      <c r="C18" s="25"/>
      <c r="D18" s="25"/>
      <c r="E18" s="65"/>
      <c r="F18" s="149"/>
      <c r="G18" s="151">
        <f>SUM(G5:G16)</f>
        <v>32325</v>
      </c>
      <c r="H18" s="85"/>
      <c r="I18" s="83"/>
      <c r="J18" s="83"/>
      <c r="K18" s="83"/>
      <c r="L18" s="83"/>
      <c r="M18" s="83"/>
      <c r="N18" s="36"/>
      <c r="O18" s="28"/>
      <c r="P18" s="28"/>
      <c r="Q18" s="36"/>
      <c r="R18" s="36"/>
      <c r="S18" s="36"/>
      <c r="T18" s="36"/>
      <c r="U18" s="28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28"/>
      <c r="AG18" s="36"/>
      <c r="AH18" s="36"/>
      <c r="AI18" s="36"/>
      <c r="AJ18" s="28"/>
      <c r="AK18" s="28"/>
      <c r="AL18" s="28"/>
      <c r="AM18" s="28"/>
      <c r="AN18" s="28"/>
      <c r="AO18" s="36"/>
      <c r="AP18" s="63"/>
      <c r="AQ18" s="63"/>
      <c r="AR18" s="63"/>
      <c r="AS18" s="63"/>
      <c r="AT18" s="63"/>
      <c r="AU18" s="63"/>
      <c r="AV18" s="63"/>
      <c r="AW18" s="63"/>
      <c r="AX18" s="63"/>
      <c r="AY18" s="63"/>
      <c r="AZ18" s="63"/>
      <c r="BA18" s="63"/>
      <c r="BB18" s="63"/>
      <c r="BC18" s="63"/>
      <c r="BD18" s="63"/>
      <c r="BE18" s="63"/>
      <c r="BF18" s="135"/>
      <c r="BG18" s="136"/>
      <c r="BH18" s="65"/>
      <c r="BI18" s="65"/>
    </row>
    <row r="19" spans="1:61" ht="20.149999999999999" customHeight="1" x14ac:dyDescent="0.25">
      <c r="A19" s="77"/>
      <c r="B19" s="25"/>
      <c r="C19" s="25"/>
      <c r="D19" s="25"/>
      <c r="E19" s="65"/>
      <c r="F19" s="149"/>
      <c r="G19" s="143"/>
      <c r="H19" s="153"/>
      <c r="I19" s="83"/>
      <c r="J19" s="83"/>
      <c r="K19" s="83"/>
      <c r="L19" s="83"/>
      <c r="M19" s="83"/>
      <c r="N19" s="36"/>
      <c r="O19" s="28"/>
      <c r="P19" s="28"/>
      <c r="Q19" s="36"/>
      <c r="R19" s="36"/>
      <c r="S19" s="36"/>
      <c r="T19" s="36"/>
      <c r="U19" s="28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28"/>
      <c r="AG19" s="36"/>
      <c r="AH19" s="36"/>
      <c r="AI19" s="36"/>
      <c r="AJ19" s="28"/>
      <c r="AK19" s="28"/>
      <c r="AL19" s="28"/>
      <c r="AM19" s="28"/>
      <c r="AN19" s="28"/>
      <c r="AO19" s="36"/>
      <c r="AP19" s="63"/>
      <c r="AQ19" s="63"/>
      <c r="AR19" s="63"/>
      <c r="AS19" s="63"/>
      <c r="AT19" s="63"/>
      <c r="AU19" s="63"/>
      <c r="AV19" s="63"/>
      <c r="AW19" s="63"/>
      <c r="AX19" s="63"/>
      <c r="AY19" s="63"/>
      <c r="AZ19" s="63"/>
      <c r="BA19" s="63"/>
      <c r="BB19" s="63"/>
      <c r="BC19" s="63"/>
      <c r="BD19" s="63"/>
      <c r="BE19" s="63"/>
      <c r="BF19" s="135"/>
      <c r="BG19" s="136"/>
      <c r="BH19" s="65"/>
      <c r="BI19" s="65"/>
    </row>
    <row r="20" spans="1:61" s="42" customFormat="1" ht="20.149999999999999" customHeight="1" x14ac:dyDescent="0.25">
      <c r="A20" s="78" t="s">
        <v>105</v>
      </c>
      <c r="F20" s="50"/>
      <c r="G20" s="86">
        <v>36075</v>
      </c>
      <c r="H20" s="152">
        <f t="shared" ref="H20:N20" si="16">SUM(H5:H19)</f>
        <v>42150</v>
      </c>
      <c r="I20" s="86">
        <f t="shared" si="16"/>
        <v>4950</v>
      </c>
      <c r="J20" s="86">
        <f t="shared" si="16"/>
        <v>7025</v>
      </c>
      <c r="K20" s="86">
        <f t="shared" si="16"/>
        <v>0</v>
      </c>
      <c r="L20" s="86">
        <f t="shared" si="16"/>
        <v>14050</v>
      </c>
      <c r="M20" s="86">
        <f t="shared" si="16"/>
        <v>14050</v>
      </c>
      <c r="N20" s="42">
        <f t="shared" si="16"/>
        <v>118300</v>
      </c>
      <c r="Q20" s="42">
        <f>SUM(Q5:Q19)</f>
        <v>1.5</v>
      </c>
      <c r="R20" s="42">
        <f>SUM(R5:R19)</f>
        <v>563.22</v>
      </c>
      <c r="T20" s="42">
        <f>SUM(T5:T19)</f>
        <v>116202.78</v>
      </c>
      <c r="V20" s="42">
        <f t="shared" ref="V20:AE20" si="17">SUM(V5:V19)</f>
        <v>13696</v>
      </c>
      <c r="W20" s="42">
        <f t="shared" si="17"/>
        <v>684.8</v>
      </c>
      <c r="X20" s="154">
        <f t="shared" si="17"/>
        <v>171.2</v>
      </c>
      <c r="Y20" s="42">
        <f t="shared" si="17"/>
        <v>8734.1999999999989</v>
      </c>
      <c r="Z20" s="42">
        <f t="shared" si="17"/>
        <v>698.7600000000001</v>
      </c>
      <c r="AA20" s="42">
        <f t="shared" si="17"/>
        <v>23984.959999999999</v>
      </c>
      <c r="AB20" s="42">
        <f t="shared" si="17"/>
        <v>6848</v>
      </c>
      <c r="AC20" s="42">
        <f t="shared" si="17"/>
        <v>106.2</v>
      </c>
      <c r="AD20" s="42">
        <f t="shared" si="17"/>
        <v>1785.8400000000004</v>
      </c>
      <c r="AE20" s="42">
        <f t="shared" si="17"/>
        <v>8740.0400000000009</v>
      </c>
      <c r="AG20" s="42">
        <f>SUM(AG5:AG19)</f>
        <v>4280</v>
      </c>
      <c r="AH20" s="42">
        <f>SUM(AH5:AH19)</f>
        <v>4280</v>
      </c>
      <c r="AI20" s="42">
        <f>SUM(AI5:AI19)</f>
        <v>11040</v>
      </c>
      <c r="AP20" s="42">
        <f t="shared" ref="AP20:BI20" si="18">SUM(AP5:AP19)</f>
        <v>116202.78</v>
      </c>
      <c r="AQ20" s="42">
        <f t="shared" si="18"/>
        <v>6848</v>
      </c>
      <c r="AR20" s="42">
        <f t="shared" si="18"/>
        <v>1785.8400000000004</v>
      </c>
      <c r="AS20" s="42">
        <f t="shared" si="18"/>
        <v>106.2</v>
      </c>
      <c r="AT20" s="42">
        <f t="shared" si="18"/>
        <v>4280</v>
      </c>
      <c r="AU20" s="42">
        <f t="shared" si="18"/>
        <v>646789.55999999994</v>
      </c>
      <c r="AV20" s="42">
        <f t="shared" si="18"/>
        <v>260000</v>
      </c>
      <c r="AW20" s="42">
        <f t="shared" si="18"/>
        <v>52080.159999999989</v>
      </c>
      <c r="AX20" s="42">
        <f t="shared" si="18"/>
        <v>16000</v>
      </c>
      <c r="AY20" s="42">
        <f t="shared" si="18"/>
        <v>40000</v>
      </c>
      <c r="AZ20" s="42">
        <f t="shared" si="18"/>
        <v>0</v>
      </c>
      <c r="BA20" s="42">
        <f t="shared" si="18"/>
        <v>12000</v>
      </c>
      <c r="BB20" s="42">
        <f t="shared" si="18"/>
        <v>6000</v>
      </c>
      <c r="BC20" s="42">
        <f t="shared" si="18"/>
        <v>260709.40000000002</v>
      </c>
      <c r="BD20" s="42">
        <f t="shared" si="18"/>
        <v>14251.69</v>
      </c>
      <c r="BE20" s="42">
        <f t="shared" si="18"/>
        <v>10504.53</v>
      </c>
      <c r="BF20" s="46">
        <f t="shared" si="18"/>
        <v>4056.46</v>
      </c>
      <c r="BG20" s="46">
        <f t="shared" si="18"/>
        <v>89909.959999999992</v>
      </c>
      <c r="BH20" s="154">
        <f t="shared" si="18"/>
        <v>16500</v>
      </c>
      <c r="BI20" s="42">
        <f t="shared" si="18"/>
        <v>30542.22</v>
      </c>
    </row>
    <row r="22" spans="1:61" ht="20.149999999999999" customHeight="1" x14ac:dyDescent="0.25">
      <c r="G22" s="88" t="s">
        <v>106</v>
      </c>
      <c r="H22" s="89">
        <v>23984.959999999999</v>
      </c>
    </row>
    <row r="23" spans="1:61" ht="20.149999999999999" customHeight="1" x14ac:dyDescent="0.25">
      <c r="G23" s="88" t="s">
        <v>107</v>
      </c>
      <c r="H23" s="89">
        <v>4280</v>
      </c>
    </row>
    <row r="24" spans="1:61" ht="20.149999999999999" customHeight="1" x14ac:dyDescent="0.25">
      <c r="G24" s="88" t="s">
        <v>108</v>
      </c>
      <c r="H24" s="89">
        <v>106409.7</v>
      </c>
    </row>
  </sheetData>
  <mergeCells count="38">
    <mergeCell ref="BF2:BF4"/>
    <mergeCell ref="BG2:BG4"/>
    <mergeCell ref="BH2:BH4"/>
    <mergeCell ref="BI2:BI4"/>
    <mergeCell ref="AV2:AV4"/>
    <mergeCell ref="AW2:AW4"/>
    <mergeCell ref="AX2:BB3"/>
    <mergeCell ref="BC2:BC4"/>
    <mergeCell ref="BD2:BD4"/>
    <mergeCell ref="BE2:BE4"/>
    <mergeCell ref="AU2:AU4"/>
    <mergeCell ref="S2:S4"/>
    <mergeCell ref="T2:T4"/>
    <mergeCell ref="U2:U4"/>
    <mergeCell ref="V2:AA2"/>
    <mergeCell ref="AB2:AE2"/>
    <mergeCell ref="AF2:AF4"/>
    <mergeCell ref="AG2:AI2"/>
    <mergeCell ref="AJ2:AN3"/>
    <mergeCell ref="AO2:AO4"/>
    <mergeCell ref="AP2:AP4"/>
    <mergeCell ref="AQ2:AT2"/>
    <mergeCell ref="O2:R3"/>
    <mergeCell ref="A1:BG1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  <mergeCell ref="L2:L4"/>
    <mergeCell ref="M2:M4"/>
    <mergeCell ref="N2:N4"/>
  </mergeCells>
  <phoneticPr fontId="21" type="noConversion"/>
  <dataValidations count="1">
    <dataValidation type="list" allowBlank="1" showInputMessage="1" showErrorMessage="1" sqref="E5:E19" xr:uid="{00000000-0002-0000-0000-000000000000}">
      <formula1>"城镇,农村"</formula1>
    </dataValidation>
  </dataValidations>
  <pageMargins left="0.75" right="0.75" top="1" bottom="1" header="0.5" footer="0.5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0"/>
  <sheetViews>
    <sheetView topLeftCell="B1" workbookViewId="0">
      <selection activeCell="H1" sqref="H1"/>
    </sheetView>
  </sheetViews>
  <sheetFormatPr defaultColWidth="9" defaultRowHeight="20.149999999999999" customHeight="1" x14ac:dyDescent="0.25"/>
  <cols>
    <col min="1" max="1" width="4.7265625" style="79" customWidth="1"/>
    <col min="2" max="2" width="6.36328125" style="41" customWidth="1"/>
    <col min="3" max="3" width="10" style="44" customWidth="1"/>
    <col min="4" max="4" width="4.7265625" style="79" customWidth="1"/>
    <col min="5" max="5" width="8" style="46" bestFit="1" customWidth="1"/>
    <col min="6" max="7" width="10.453125" style="46" customWidth="1"/>
    <col min="8" max="8" width="8.453125" style="42" customWidth="1"/>
    <col min="9" max="9" width="7.36328125" style="42" customWidth="1"/>
    <col min="10" max="10" width="8.36328125" style="42" customWidth="1"/>
    <col min="11" max="11" width="7.453125" style="42" customWidth="1"/>
    <col min="12" max="12" width="9.7265625" style="42" customWidth="1"/>
    <col min="13" max="16" width="8.7265625" style="42" customWidth="1"/>
    <col min="17" max="17" width="11.7265625" style="42" customWidth="1"/>
    <col min="18" max="18" width="10.08984375" style="42" customWidth="1"/>
    <col min="19" max="19" width="9.6328125" style="41" bestFit="1" customWidth="1"/>
    <col min="20" max="16384" width="9" style="41"/>
  </cols>
  <sheetData>
    <row r="1" spans="1:18" ht="24.75" customHeight="1" x14ac:dyDescent="0.25">
      <c r="A1" s="107" t="s">
        <v>147</v>
      </c>
      <c r="B1" s="74"/>
      <c r="C1" s="106"/>
      <c r="D1" s="105"/>
      <c r="E1" s="75"/>
      <c r="F1" s="75"/>
      <c r="G1" s="75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</row>
    <row r="2" spans="1:18" ht="13.5" customHeight="1" x14ac:dyDescent="0.25">
      <c r="A2" s="93"/>
      <c r="B2" s="94"/>
      <c r="C2" s="95"/>
      <c r="D2" s="93"/>
      <c r="E2" s="96"/>
      <c r="F2" s="97"/>
      <c r="G2" s="98"/>
      <c r="H2" s="99"/>
      <c r="I2" s="99"/>
      <c r="J2" s="99"/>
      <c r="K2" s="99"/>
      <c r="L2" s="100"/>
      <c r="M2" s="99"/>
      <c r="N2" s="99"/>
      <c r="O2" s="99"/>
      <c r="P2" s="99"/>
      <c r="Q2" s="101"/>
      <c r="R2" s="102"/>
    </row>
    <row r="3" spans="1:18" ht="20.149999999999999" customHeight="1" x14ac:dyDescent="0.25">
      <c r="A3" s="80" t="s">
        <v>1</v>
      </c>
      <c r="B3" s="71" t="s">
        <v>6</v>
      </c>
      <c r="C3" s="103" t="s">
        <v>14</v>
      </c>
      <c r="D3" s="80" t="s">
        <v>40</v>
      </c>
      <c r="E3" s="34" t="s">
        <v>141</v>
      </c>
      <c r="F3" s="90" t="s">
        <v>142</v>
      </c>
      <c r="G3" s="104" t="s">
        <v>145</v>
      </c>
      <c r="H3" s="30" t="s">
        <v>42</v>
      </c>
      <c r="I3" s="30" t="s">
        <v>43</v>
      </c>
      <c r="J3" s="30" t="s">
        <v>45</v>
      </c>
      <c r="K3" s="30" t="s">
        <v>143</v>
      </c>
      <c r="L3" s="73" t="s">
        <v>146</v>
      </c>
      <c r="M3" s="30" t="s">
        <v>50</v>
      </c>
      <c r="N3" s="30" t="s">
        <v>51</v>
      </c>
      <c r="O3" s="30" t="s">
        <v>53</v>
      </c>
      <c r="P3" s="30" t="s">
        <v>54</v>
      </c>
      <c r="Q3" s="72" t="s">
        <v>140</v>
      </c>
      <c r="R3" s="92" t="s">
        <v>35</v>
      </c>
    </row>
    <row r="4" spans="1:18" ht="20.149999999999999" customHeight="1" x14ac:dyDescent="0.25">
      <c r="A4" s="77">
        <v>1</v>
      </c>
      <c r="B4" s="70" t="s">
        <v>60</v>
      </c>
      <c r="C4" s="28">
        <v>30000</v>
      </c>
      <c r="D4" s="77"/>
      <c r="E4" s="28"/>
      <c r="F4" s="28">
        <v>27000</v>
      </c>
      <c r="G4" s="91">
        <v>3000</v>
      </c>
      <c r="H4" s="28">
        <v>480</v>
      </c>
      <c r="I4" s="28">
        <v>12</v>
      </c>
      <c r="J4" s="28">
        <v>123</v>
      </c>
      <c r="K4" s="28">
        <v>300</v>
      </c>
      <c r="L4" s="91">
        <f>SUM(H4:K4)</f>
        <v>915</v>
      </c>
      <c r="M4" s="28"/>
      <c r="N4" s="28">
        <v>1000</v>
      </c>
      <c r="O4" s="28"/>
      <c r="P4" s="28"/>
      <c r="Q4" s="28"/>
      <c r="R4" s="110">
        <v>0</v>
      </c>
    </row>
    <row r="6" spans="1:18" ht="20.149999999999999" customHeight="1" x14ac:dyDescent="0.25">
      <c r="A6" s="80" t="s">
        <v>1</v>
      </c>
      <c r="B6" s="71" t="s">
        <v>6</v>
      </c>
      <c r="C6" s="103" t="s">
        <v>14</v>
      </c>
      <c r="D6" s="80" t="s">
        <v>40</v>
      </c>
      <c r="E6" s="34" t="s">
        <v>141</v>
      </c>
      <c r="F6" s="90" t="s">
        <v>142</v>
      </c>
      <c r="G6" s="104" t="s">
        <v>145</v>
      </c>
      <c r="H6" s="30" t="s">
        <v>42</v>
      </c>
      <c r="I6" s="30" t="s">
        <v>43</v>
      </c>
      <c r="J6" s="30" t="s">
        <v>45</v>
      </c>
      <c r="K6" s="30" t="s">
        <v>143</v>
      </c>
      <c r="L6" s="73" t="s">
        <v>146</v>
      </c>
      <c r="M6" s="30" t="s">
        <v>50</v>
      </c>
      <c r="N6" s="30" t="s">
        <v>51</v>
      </c>
      <c r="O6" s="30" t="s">
        <v>53</v>
      </c>
      <c r="P6" s="30" t="s">
        <v>54</v>
      </c>
      <c r="Q6" s="72" t="s">
        <v>140</v>
      </c>
      <c r="R6" s="92" t="s">
        <v>35</v>
      </c>
    </row>
    <row r="7" spans="1:18" ht="20.149999999999999" customHeight="1" x14ac:dyDescent="0.25">
      <c r="A7" s="77">
        <v>2</v>
      </c>
      <c r="B7" s="70" t="s">
        <v>62</v>
      </c>
      <c r="C7" s="28">
        <v>20000</v>
      </c>
      <c r="D7" s="77"/>
      <c r="E7" s="28"/>
      <c r="F7" s="28">
        <v>17000</v>
      </c>
      <c r="G7" s="91">
        <v>3000</v>
      </c>
      <c r="H7" s="28">
        <v>472</v>
      </c>
      <c r="I7" s="28">
        <v>11.8</v>
      </c>
      <c r="J7" s="28">
        <v>121</v>
      </c>
      <c r="K7" s="28">
        <v>295</v>
      </c>
      <c r="L7" s="91">
        <f>SUM(H7:K7)</f>
        <v>899.8</v>
      </c>
      <c r="M7" s="28">
        <v>1000</v>
      </c>
      <c r="N7" s="28">
        <v>2000</v>
      </c>
      <c r="O7" s="28">
        <v>1000</v>
      </c>
      <c r="P7" s="28"/>
      <c r="Q7" s="28"/>
      <c r="R7" s="110">
        <v>0</v>
      </c>
    </row>
    <row r="9" spans="1:18" ht="20.149999999999999" customHeight="1" x14ac:dyDescent="0.25">
      <c r="A9" s="80" t="s">
        <v>1</v>
      </c>
      <c r="B9" s="71" t="s">
        <v>6</v>
      </c>
      <c r="C9" s="103" t="s">
        <v>14</v>
      </c>
      <c r="D9" s="80" t="s">
        <v>40</v>
      </c>
      <c r="E9" s="34" t="s">
        <v>141</v>
      </c>
      <c r="F9" s="90" t="s">
        <v>142</v>
      </c>
      <c r="G9" s="104" t="s">
        <v>145</v>
      </c>
      <c r="H9" s="30" t="s">
        <v>42</v>
      </c>
      <c r="I9" s="30" t="s">
        <v>43</v>
      </c>
      <c r="J9" s="30" t="s">
        <v>45</v>
      </c>
      <c r="K9" s="30" t="s">
        <v>143</v>
      </c>
      <c r="L9" s="73" t="s">
        <v>146</v>
      </c>
      <c r="M9" s="30" t="s">
        <v>50</v>
      </c>
      <c r="N9" s="30" t="s">
        <v>51</v>
      </c>
      <c r="O9" s="30" t="s">
        <v>53</v>
      </c>
      <c r="P9" s="30" t="s">
        <v>54</v>
      </c>
      <c r="Q9" s="72" t="s">
        <v>140</v>
      </c>
      <c r="R9" s="92" t="s">
        <v>35</v>
      </c>
    </row>
    <row r="10" spans="1:18" ht="20.149999999999999" customHeight="1" x14ac:dyDescent="0.25">
      <c r="A10" s="77">
        <v>3</v>
      </c>
      <c r="B10" s="70" t="s">
        <v>64</v>
      </c>
      <c r="C10" s="28">
        <v>20000</v>
      </c>
      <c r="D10" s="77"/>
      <c r="E10" s="28"/>
      <c r="F10" s="28">
        <v>17000</v>
      </c>
      <c r="G10" s="91">
        <v>3000</v>
      </c>
      <c r="H10" s="28">
        <v>472</v>
      </c>
      <c r="I10" s="28">
        <v>11.8</v>
      </c>
      <c r="J10" s="28">
        <v>121</v>
      </c>
      <c r="K10" s="28">
        <v>295</v>
      </c>
      <c r="L10" s="91">
        <f>SUM(H10:K10)</f>
        <v>899.8</v>
      </c>
      <c r="M10" s="28"/>
      <c r="N10" s="28">
        <v>2000</v>
      </c>
      <c r="O10" s="28">
        <v>1000</v>
      </c>
      <c r="P10" s="28"/>
      <c r="Q10" s="28"/>
      <c r="R10" s="110">
        <v>0</v>
      </c>
    </row>
    <row r="12" spans="1:18" ht="20.149999999999999" customHeight="1" x14ac:dyDescent="0.25">
      <c r="A12" s="80" t="s">
        <v>1</v>
      </c>
      <c r="B12" s="71" t="s">
        <v>6</v>
      </c>
      <c r="C12" s="103" t="s">
        <v>14</v>
      </c>
      <c r="D12" s="80" t="s">
        <v>40</v>
      </c>
      <c r="E12" s="34" t="s">
        <v>141</v>
      </c>
      <c r="F12" s="90" t="s">
        <v>142</v>
      </c>
      <c r="G12" s="104" t="s">
        <v>145</v>
      </c>
      <c r="H12" s="30" t="s">
        <v>42</v>
      </c>
      <c r="I12" s="30" t="s">
        <v>43</v>
      </c>
      <c r="J12" s="30" t="s">
        <v>45</v>
      </c>
      <c r="K12" s="30" t="s">
        <v>143</v>
      </c>
      <c r="L12" s="73" t="s">
        <v>146</v>
      </c>
      <c r="M12" s="30" t="s">
        <v>50</v>
      </c>
      <c r="N12" s="30" t="s">
        <v>51</v>
      </c>
      <c r="O12" s="30" t="s">
        <v>53</v>
      </c>
      <c r="P12" s="30" t="s">
        <v>54</v>
      </c>
      <c r="Q12" s="72" t="s">
        <v>140</v>
      </c>
      <c r="R12" s="92" t="s">
        <v>35</v>
      </c>
    </row>
    <row r="13" spans="1:18" ht="20.149999999999999" customHeight="1" x14ac:dyDescent="0.25">
      <c r="A13" s="77">
        <v>4</v>
      </c>
      <c r="B13" s="70" t="s">
        <v>67</v>
      </c>
      <c r="C13" s="28">
        <v>20000</v>
      </c>
      <c r="D13" s="77"/>
      <c r="E13" s="28"/>
      <c r="F13" s="28">
        <v>17000</v>
      </c>
      <c r="G13" s="91">
        <v>3000</v>
      </c>
      <c r="H13" s="28">
        <v>408</v>
      </c>
      <c r="I13" s="28">
        <v>10.199999999999999</v>
      </c>
      <c r="J13" s="28">
        <v>114.14</v>
      </c>
      <c r="K13" s="28">
        <v>255</v>
      </c>
      <c r="L13" s="91">
        <f>SUM(H13:K13)</f>
        <v>787.34</v>
      </c>
      <c r="M13" s="28">
        <v>1000</v>
      </c>
      <c r="N13" s="28">
        <v>2000</v>
      </c>
      <c r="O13" s="28"/>
      <c r="P13" s="28"/>
      <c r="Q13" s="28"/>
      <c r="R13" s="110">
        <v>0</v>
      </c>
    </row>
    <row r="15" spans="1:18" ht="20.149999999999999" customHeight="1" x14ac:dyDescent="0.25">
      <c r="A15" s="80" t="s">
        <v>1</v>
      </c>
      <c r="B15" s="71" t="s">
        <v>6</v>
      </c>
      <c r="C15" s="103" t="s">
        <v>14</v>
      </c>
      <c r="D15" s="80" t="s">
        <v>40</v>
      </c>
      <c r="E15" s="34" t="s">
        <v>141</v>
      </c>
      <c r="F15" s="90" t="s">
        <v>142</v>
      </c>
      <c r="G15" s="104" t="s">
        <v>145</v>
      </c>
      <c r="H15" s="30" t="s">
        <v>42</v>
      </c>
      <c r="I15" s="30" t="s">
        <v>43</v>
      </c>
      <c r="J15" s="30" t="s">
        <v>45</v>
      </c>
      <c r="K15" s="30" t="s">
        <v>143</v>
      </c>
      <c r="L15" s="73" t="s">
        <v>146</v>
      </c>
      <c r="M15" s="30" t="s">
        <v>50</v>
      </c>
      <c r="N15" s="30" t="s">
        <v>51</v>
      </c>
      <c r="O15" s="30" t="s">
        <v>53</v>
      </c>
      <c r="P15" s="30" t="s">
        <v>54</v>
      </c>
      <c r="Q15" s="72" t="s">
        <v>140</v>
      </c>
      <c r="R15" s="92" t="s">
        <v>35</v>
      </c>
    </row>
    <row r="16" spans="1:18" ht="20.149999999999999" customHeight="1" x14ac:dyDescent="0.25">
      <c r="A16" s="77">
        <v>5</v>
      </c>
      <c r="B16" s="70" t="s">
        <v>70</v>
      </c>
      <c r="C16" s="28">
        <v>8000</v>
      </c>
      <c r="D16" s="77"/>
      <c r="E16" s="28"/>
      <c r="F16" s="28">
        <v>5000</v>
      </c>
      <c r="G16" s="91">
        <v>3000</v>
      </c>
      <c r="H16" s="28">
        <v>384</v>
      </c>
      <c r="I16" s="28">
        <v>9.6</v>
      </c>
      <c r="J16" s="28">
        <v>114.14</v>
      </c>
      <c r="K16" s="28">
        <v>240</v>
      </c>
      <c r="L16" s="91">
        <f>SUM(H16:K16)</f>
        <v>747.74</v>
      </c>
      <c r="M16" s="28">
        <v>1000</v>
      </c>
      <c r="N16" s="28">
        <v>2000</v>
      </c>
      <c r="O16" s="28"/>
      <c r="P16" s="28"/>
      <c r="Q16" s="28"/>
      <c r="R16" s="144">
        <v>0</v>
      </c>
    </row>
    <row r="18" spans="1:19" ht="20.149999999999999" customHeight="1" x14ac:dyDescent="0.25">
      <c r="A18" s="80" t="s">
        <v>1</v>
      </c>
      <c r="B18" s="71" t="s">
        <v>6</v>
      </c>
      <c r="C18" s="103" t="s">
        <v>14</v>
      </c>
      <c r="D18" s="80" t="s">
        <v>40</v>
      </c>
      <c r="E18" s="34" t="s">
        <v>141</v>
      </c>
      <c r="F18" s="90" t="s">
        <v>142</v>
      </c>
      <c r="G18" s="104" t="s">
        <v>145</v>
      </c>
      <c r="H18" s="30" t="s">
        <v>42</v>
      </c>
      <c r="I18" s="30" t="s">
        <v>43</v>
      </c>
      <c r="J18" s="30" t="s">
        <v>45</v>
      </c>
      <c r="K18" s="30" t="s">
        <v>143</v>
      </c>
      <c r="L18" s="73" t="s">
        <v>146</v>
      </c>
      <c r="M18" s="30" t="s">
        <v>50</v>
      </c>
      <c r="N18" s="30" t="s">
        <v>51</v>
      </c>
      <c r="O18" s="30" t="s">
        <v>53</v>
      </c>
      <c r="P18" s="30" t="s">
        <v>54</v>
      </c>
      <c r="Q18" s="72" t="s">
        <v>140</v>
      </c>
      <c r="R18" s="92" t="s">
        <v>35</v>
      </c>
    </row>
    <row r="19" spans="1:19" ht="20.149999999999999" customHeight="1" x14ac:dyDescent="0.25">
      <c r="A19" s="77">
        <v>6</v>
      </c>
      <c r="B19" s="70" t="s">
        <v>78</v>
      </c>
      <c r="C19" s="28">
        <v>27000</v>
      </c>
      <c r="D19" s="77"/>
      <c r="E19" s="28"/>
      <c r="F19" s="28">
        <v>8100</v>
      </c>
      <c r="G19" s="91">
        <v>18900</v>
      </c>
      <c r="H19" s="28">
        <v>416</v>
      </c>
      <c r="I19" s="28">
        <v>0</v>
      </c>
      <c r="J19" s="28">
        <v>114.14</v>
      </c>
      <c r="K19" s="28">
        <v>260</v>
      </c>
      <c r="L19" s="91">
        <f>SUM(H19:K19)</f>
        <v>790.14</v>
      </c>
      <c r="M19" s="28"/>
      <c r="N19" s="28"/>
      <c r="O19" s="28"/>
      <c r="P19" s="28"/>
      <c r="Q19" s="28">
        <v>1310.98</v>
      </c>
      <c r="R19" s="91">
        <v>16798.88</v>
      </c>
    </row>
    <row r="21" spans="1:19" ht="20.149999999999999" customHeight="1" x14ac:dyDescent="0.25">
      <c r="A21" s="80" t="s">
        <v>1</v>
      </c>
      <c r="B21" s="71" t="s">
        <v>6</v>
      </c>
      <c r="C21" s="103" t="s">
        <v>14</v>
      </c>
      <c r="D21" s="80" t="s">
        <v>40</v>
      </c>
      <c r="E21" s="34" t="s">
        <v>141</v>
      </c>
      <c r="F21" s="90" t="s">
        <v>142</v>
      </c>
      <c r="G21" s="104" t="s">
        <v>145</v>
      </c>
      <c r="H21" s="30" t="s">
        <v>42</v>
      </c>
      <c r="I21" s="30" t="s">
        <v>43</v>
      </c>
      <c r="J21" s="30" t="s">
        <v>45</v>
      </c>
      <c r="K21" s="30" t="s">
        <v>143</v>
      </c>
      <c r="L21" s="73" t="s">
        <v>146</v>
      </c>
      <c r="M21" s="30" t="s">
        <v>50</v>
      </c>
      <c r="N21" s="30" t="s">
        <v>51</v>
      </c>
      <c r="O21" s="30" t="s">
        <v>53</v>
      </c>
      <c r="P21" s="30" t="s">
        <v>54</v>
      </c>
      <c r="Q21" s="72" t="s">
        <v>140</v>
      </c>
      <c r="R21" s="92" t="s">
        <v>35</v>
      </c>
    </row>
    <row r="22" spans="1:19" ht="20.149999999999999" customHeight="1" x14ac:dyDescent="0.25">
      <c r="A22" s="77">
        <v>7</v>
      </c>
      <c r="B22" s="70" t="s">
        <v>80</v>
      </c>
      <c r="C22" s="28">
        <v>16000</v>
      </c>
      <c r="D22" s="77"/>
      <c r="E22" s="28"/>
      <c r="F22" s="28">
        <v>4800</v>
      </c>
      <c r="G22" s="91">
        <v>112000</v>
      </c>
      <c r="H22" s="28">
        <v>1024</v>
      </c>
      <c r="I22" s="28">
        <v>0</v>
      </c>
      <c r="J22" s="28">
        <v>259</v>
      </c>
      <c r="K22" s="28">
        <v>640</v>
      </c>
      <c r="L22" s="91">
        <f>SUM(H22:K22)</f>
        <v>1923</v>
      </c>
      <c r="M22" s="28"/>
      <c r="N22" s="28"/>
      <c r="O22" s="28"/>
      <c r="P22" s="28"/>
      <c r="Q22" s="28">
        <v>128.31</v>
      </c>
      <c r="R22" s="91">
        <v>9148.69</v>
      </c>
    </row>
    <row r="24" spans="1:19" ht="20.149999999999999" customHeight="1" x14ac:dyDescent="0.25">
      <c r="A24" s="80" t="s">
        <v>1</v>
      </c>
      <c r="B24" s="71" t="s">
        <v>6</v>
      </c>
      <c r="C24" s="103" t="s">
        <v>14</v>
      </c>
      <c r="D24" s="80" t="s">
        <v>40</v>
      </c>
      <c r="E24" s="34" t="s">
        <v>141</v>
      </c>
      <c r="F24" s="90" t="s">
        <v>142</v>
      </c>
      <c r="G24" s="104" t="s">
        <v>145</v>
      </c>
      <c r="H24" s="30" t="s">
        <v>42</v>
      </c>
      <c r="I24" s="30" t="s">
        <v>43</v>
      </c>
      <c r="J24" s="30" t="s">
        <v>45</v>
      </c>
      <c r="K24" s="30" t="s">
        <v>143</v>
      </c>
      <c r="L24" s="73" t="s">
        <v>146</v>
      </c>
      <c r="M24" s="30" t="s">
        <v>50</v>
      </c>
      <c r="N24" s="30" t="s">
        <v>51</v>
      </c>
      <c r="O24" s="30" t="s">
        <v>53</v>
      </c>
      <c r="P24" s="30" t="s">
        <v>54</v>
      </c>
      <c r="Q24" s="72" t="s">
        <v>140</v>
      </c>
      <c r="R24" s="92" t="s">
        <v>35</v>
      </c>
    </row>
    <row r="25" spans="1:19" ht="20.149999999999999" customHeight="1" x14ac:dyDescent="0.25">
      <c r="A25" s="77">
        <v>8</v>
      </c>
      <c r="B25" s="70" t="s">
        <v>83</v>
      </c>
      <c r="C25" s="28">
        <v>18000</v>
      </c>
      <c r="D25" s="77"/>
      <c r="E25" s="28"/>
      <c r="F25" s="28">
        <v>5400</v>
      </c>
      <c r="G25" s="91">
        <v>12600</v>
      </c>
      <c r="H25" s="28">
        <v>720</v>
      </c>
      <c r="I25" s="28">
        <v>0</v>
      </c>
      <c r="J25" s="28">
        <v>183</v>
      </c>
      <c r="K25" s="28">
        <v>450</v>
      </c>
      <c r="L25" s="91">
        <f>SUM(H25:K25)</f>
        <v>1353</v>
      </c>
      <c r="M25" s="28"/>
      <c r="N25" s="28"/>
      <c r="O25" s="28"/>
      <c r="P25" s="28"/>
      <c r="Q25" s="28">
        <v>550.57000000000005</v>
      </c>
      <c r="R25" s="91">
        <v>10696.43</v>
      </c>
    </row>
    <row r="27" spans="1:19" ht="20.149999999999999" customHeight="1" x14ac:dyDescent="0.25">
      <c r="A27" s="80" t="s">
        <v>1</v>
      </c>
      <c r="B27" s="71" t="s">
        <v>6</v>
      </c>
      <c r="C27" s="103" t="s">
        <v>14</v>
      </c>
      <c r="D27" s="80" t="s">
        <v>40</v>
      </c>
      <c r="E27" s="34" t="s">
        <v>141</v>
      </c>
      <c r="F27" s="90" t="s">
        <v>142</v>
      </c>
      <c r="G27" s="104" t="s">
        <v>145</v>
      </c>
      <c r="H27" s="30" t="s">
        <v>42</v>
      </c>
      <c r="I27" s="30" t="s">
        <v>43</v>
      </c>
      <c r="J27" s="30" t="s">
        <v>45</v>
      </c>
      <c r="K27" s="30" t="s">
        <v>143</v>
      </c>
      <c r="L27" s="73" t="s">
        <v>146</v>
      </c>
      <c r="M27" s="30" t="s">
        <v>50</v>
      </c>
      <c r="N27" s="30" t="s">
        <v>51</v>
      </c>
      <c r="O27" s="30" t="s">
        <v>53</v>
      </c>
      <c r="P27" s="30" t="s">
        <v>54</v>
      </c>
      <c r="Q27" s="72" t="s">
        <v>140</v>
      </c>
      <c r="R27" s="108" t="s">
        <v>148</v>
      </c>
      <c r="S27" s="92" t="s">
        <v>35</v>
      </c>
    </row>
    <row r="28" spans="1:19" ht="20.149999999999999" customHeight="1" x14ac:dyDescent="0.25">
      <c r="A28" s="77">
        <v>9</v>
      </c>
      <c r="B28" s="70" t="s">
        <v>90</v>
      </c>
      <c r="C28" s="28">
        <v>8000</v>
      </c>
      <c r="D28" s="77">
        <v>1</v>
      </c>
      <c r="E28" s="28">
        <v>367.82</v>
      </c>
      <c r="F28" s="28"/>
      <c r="G28" s="91">
        <v>7632.18</v>
      </c>
      <c r="H28" s="28">
        <v>512</v>
      </c>
      <c r="I28" s="28">
        <v>12.8</v>
      </c>
      <c r="J28" s="28">
        <v>131</v>
      </c>
      <c r="K28" s="28">
        <v>320</v>
      </c>
      <c r="L28" s="91">
        <f>SUM(H28:K28)</f>
        <v>975.8</v>
      </c>
      <c r="M28" s="28"/>
      <c r="N28" s="28"/>
      <c r="O28" s="28"/>
      <c r="P28" s="28">
        <v>1500</v>
      </c>
      <c r="Q28" s="28">
        <v>4.6900000000000013</v>
      </c>
      <c r="R28" s="110">
        <v>8000</v>
      </c>
      <c r="S28" s="112">
        <v>14651.69</v>
      </c>
    </row>
    <row r="30" spans="1:19" ht="20.149999999999999" customHeight="1" x14ac:dyDescent="0.25">
      <c r="A30" s="80" t="s">
        <v>1</v>
      </c>
      <c r="B30" s="71" t="s">
        <v>6</v>
      </c>
      <c r="C30" s="103" t="s">
        <v>14</v>
      </c>
      <c r="D30" s="80" t="s">
        <v>40</v>
      </c>
      <c r="E30" s="34" t="s">
        <v>141</v>
      </c>
      <c r="F30" s="90" t="s">
        <v>142</v>
      </c>
      <c r="G30" s="104" t="s">
        <v>145</v>
      </c>
      <c r="H30" s="30" t="s">
        <v>42</v>
      </c>
      <c r="I30" s="30" t="s">
        <v>43</v>
      </c>
      <c r="J30" s="30" t="s">
        <v>45</v>
      </c>
      <c r="K30" s="30" t="s">
        <v>143</v>
      </c>
      <c r="L30" s="73" t="s">
        <v>146</v>
      </c>
      <c r="M30" s="30" t="s">
        <v>50</v>
      </c>
      <c r="N30" s="30" t="s">
        <v>51</v>
      </c>
      <c r="O30" s="30" t="s">
        <v>53</v>
      </c>
      <c r="P30" s="30" t="s">
        <v>54</v>
      </c>
      <c r="Q30" s="72" t="s">
        <v>140</v>
      </c>
      <c r="R30" s="92" t="s">
        <v>35</v>
      </c>
    </row>
    <row r="31" spans="1:19" ht="20.149999999999999" customHeight="1" x14ac:dyDescent="0.25">
      <c r="A31" s="77">
        <v>10</v>
      </c>
      <c r="B31" s="70" t="s">
        <v>144</v>
      </c>
      <c r="C31" s="28">
        <v>20000</v>
      </c>
      <c r="D31" s="77"/>
      <c r="E31" s="28"/>
      <c r="F31" s="28">
        <v>6000</v>
      </c>
      <c r="G31" s="91">
        <v>14000</v>
      </c>
      <c r="H31" s="28">
        <v>440</v>
      </c>
      <c r="I31" s="28">
        <v>0</v>
      </c>
      <c r="J31" s="28">
        <v>114.14</v>
      </c>
      <c r="K31" s="28">
        <v>275</v>
      </c>
      <c r="L31" s="91">
        <f>SUM(H31:K31)</f>
        <v>829.14</v>
      </c>
      <c r="M31" s="28"/>
      <c r="N31" s="28"/>
      <c r="O31" s="28"/>
      <c r="P31" s="28"/>
      <c r="Q31" s="28">
        <v>817.08</v>
      </c>
      <c r="R31" s="91">
        <v>12353.78</v>
      </c>
    </row>
    <row r="33" spans="1:19" ht="20.149999999999999" customHeight="1" x14ac:dyDescent="0.25">
      <c r="A33" s="80" t="s">
        <v>1</v>
      </c>
      <c r="B33" s="71" t="s">
        <v>6</v>
      </c>
      <c r="C33" s="103" t="s">
        <v>14</v>
      </c>
      <c r="D33" s="80" t="s">
        <v>40</v>
      </c>
      <c r="E33" s="34" t="s">
        <v>141</v>
      </c>
      <c r="F33" s="90" t="s">
        <v>142</v>
      </c>
      <c r="G33" s="104" t="s">
        <v>145</v>
      </c>
      <c r="H33" s="30" t="s">
        <v>42</v>
      </c>
      <c r="I33" s="30" t="s">
        <v>43</v>
      </c>
      <c r="J33" s="30" t="s">
        <v>45</v>
      </c>
      <c r="K33" s="30" t="s">
        <v>143</v>
      </c>
      <c r="L33" s="73" t="s">
        <v>146</v>
      </c>
      <c r="M33" s="30" t="s">
        <v>50</v>
      </c>
      <c r="N33" s="30" t="s">
        <v>51</v>
      </c>
      <c r="O33" s="30" t="s">
        <v>53</v>
      </c>
      <c r="P33" s="30" t="s">
        <v>54</v>
      </c>
      <c r="Q33" s="72" t="s">
        <v>140</v>
      </c>
      <c r="R33" s="92" t="s">
        <v>35</v>
      </c>
    </row>
    <row r="34" spans="1:19" ht="20.149999999999999" customHeight="1" x14ac:dyDescent="0.25">
      <c r="A34" s="77">
        <v>11</v>
      </c>
      <c r="B34" s="70" t="s">
        <v>136</v>
      </c>
      <c r="C34" s="28">
        <v>18000</v>
      </c>
      <c r="D34" s="77"/>
      <c r="E34" s="28"/>
      <c r="F34" s="28">
        <v>5400</v>
      </c>
      <c r="G34" s="91">
        <v>12600</v>
      </c>
      <c r="H34" s="28">
        <v>440</v>
      </c>
      <c r="I34" s="28">
        <v>11</v>
      </c>
      <c r="J34" s="28">
        <v>114.14</v>
      </c>
      <c r="K34" s="28">
        <v>275</v>
      </c>
      <c r="L34" s="91">
        <f>SUM(H34:K34)</f>
        <v>840.14</v>
      </c>
      <c r="M34" s="28">
        <v>1000</v>
      </c>
      <c r="N34" s="28">
        <v>1000</v>
      </c>
      <c r="O34" s="28"/>
      <c r="P34" s="28"/>
      <c r="Q34" s="28">
        <v>142.80000000000001</v>
      </c>
      <c r="R34" s="91">
        <v>11617.06</v>
      </c>
    </row>
    <row r="36" spans="1:19" ht="20.149999999999999" customHeight="1" x14ac:dyDescent="0.25">
      <c r="A36" s="80" t="s">
        <v>1</v>
      </c>
      <c r="B36" s="71" t="s">
        <v>6</v>
      </c>
      <c r="C36" s="103" t="s">
        <v>14</v>
      </c>
      <c r="D36" s="80" t="s">
        <v>40</v>
      </c>
      <c r="E36" s="34" t="s">
        <v>141</v>
      </c>
      <c r="F36" s="90" t="s">
        <v>142</v>
      </c>
      <c r="G36" s="104" t="s">
        <v>145</v>
      </c>
      <c r="H36" s="30" t="s">
        <v>42</v>
      </c>
      <c r="I36" s="30" t="s">
        <v>43</v>
      </c>
      <c r="J36" s="30" t="s">
        <v>45</v>
      </c>
      <c r="K36" s="30" t="s">
        <v>143</v>
      </c>
      <c r="L36" s="73" t="s">
        <v>146</v>
      </c>
      <c r="M36" s="30" t="s">
        <v>50</v>
      </c>
      <c r="N36" s="30" t="s">
        <v>51</v>
      </c>
      <c r="O36" s="30" t="s">
        <v>53</v>
      </c>
      <c r="P36" s="30" t="s">
        <v>54</v>
      </c>
      <c r="Q36" s="72" t="s">
        <v>140</v>
      </c>
      <c r="R36" s="109" t="s">
        <v>149</v>
      </c>
      <c r="S36" s="92" t="s">
        <v>35</v>
      </c>
    </row>
    <row r="37" spans="1:19" ht="20.149999999999999" customHeight="1" x14ac:dyDescent="0.25">
      <c r="A37" s="77">
        <v>12</v>
      </c>
      <c r="B37" s="70" t="s">
        <v>137</v>
      </c>
      <c r="C37" s="28">
        <v>8500</v>
      </c>
      <c r="D37" s="77">
        <v>0.5</v>
      </c>
      <c r="E37" s="28">
        <v>195.4</v>
      </c>
      <c r="F37" s="28"/>
      <c r="G37" s="91">
        <v>8304.6</v>
      </c>
      <c r="H37" s="28">
        <v>440</v>
      </c>
      <c r="I37" s="28">
        <v>11</v>
      </c>
      <c r="J37" s="28">
        <v>114.14</v>
      </c>
      <c r="K37" s="28">
        <v>275</v>
      </c>
      <c r="L37" s="91">
        <f>SUM(H37:K37)</f>
        <v>840.14</v>
      </c>
      <c r="M37" s="28"/>
      <c r="N37" s="28"/>
      <c r="O37" s="28"/>
      <c r="P37" s="28"/>
      <c r="Q37" s="28">
        <v>73.930000000000007</v>
      </c>
      <c r="R37" s="110">
        <v>8500</v>
      </c>
      <c r="S37" s="112">
        <v>15890.53</v>
      </c>
    </row>
    <row r="39" spans="1:19" ht="20.149999999999999" customHeight="1" x14ac:dyDescent="0.25">
      <c r="A39" s="80" t="s">
        <v>1</v>
      </c>
      <c r="B39" s="71" t="s">
        <v>6</v>
      </c>
      <c r="C39" s="103" t="s">
        <v>14</v>
      </c>
      <c r="D39" s="80" t="s">
        <v>40</v>
      </c>
      <c r="E39" s="34" t="s">
        <v>141</v>
      </c>
      <c r="F39" s="90" t="s">
        <v>142</v>
      </c>
      <c r="G39" s="104" t="s">
        <v>145</v>
      </c>
      <c r="H39" s="30" t="s">
        <v>42</v>
      </c>
      <c r="I39" s="30" t="s">
        <v>43</v>
      </c>
      <c r="J39" s="30" t="s">
        <v>45</v>
      </c>
      <c r="K39" s="30" t="s">
        <v>143</v>
      </c>
      <c r="L39" s="73" t="s">
        <v>146</v>
      </c>
      <c r="M39" s="30" t="s">
        <v>50</v>
      </c>
      <c r="N39" s="30" t="s">
        <v>51</v>
      </c>
      <c r="O39" s="30" t="s">
        <v>53</v>
      </c>
      <c r="P39" s="30" t="s">
        <v>54</v>
      </c>
      <c r="Q39" s="72" t="s">
        <v>140</v>
      </c>
      <c r="R39" s="92" t="s">
        <v>35</v>
      </c>
    </row>
    <row r="40" spans="1:19" ht="20.149999999999999" customHeight="1" x14ac:dyDescent="0.25">
      <c r="A40" s="77">
        <v>13</v>
      </c>
      <c r="B40" s="70" t="s">
        <v>138</v>
      </c>
      <c r="C40" s="28">
        <v>25000</v>
      </c>
      <c r="D40" s="77"/>
      <c r="E40" s="28"/>
      <c r="F40" s="28">
        <v>7500</v>
      </c>
      <c r="G40" s="91">
        <v>17500</v>
      </c>
      <c r="H40" s="28">
        <v>640</v>
      </c>
      <c r="I40" s="28">
        <v>16</v>
      </c>
      <c r="J40" s="28">
        <v>163</v>
      </c>
      <c r="K40" s="28">
        <v>400</v>
      </c>
      <c r="L40" s="91">
        <f>SUM(H40:K40)</f>
        <v>1219</v>
      </c>
      <c r="M40" s="28"/>
      <c r="N40" s="28"/>
      <c r="O40" s="28">
        <v>1000</v>
      </c>
      <c r="P40" s="28"/>
      <c r="Q40" s="28">
        <v>1028.0999999999999</v>
      </c>
      <c r="R40" s="91">
        <v>15252.9</v>
      </c>
    </row>
  </sheetData>
  <phoneticPr fontId="21" type="noConversion"/>
  <pageMargins left="0.75" right="0.75" top="1" bottom="1" header="0.5" footer="0.5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I27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A12" sqref="A12:XFD12"/>
    </sheetView>
  </sheetViews>
  <sheetFormatPr defaultColWidth="9" defaultRowHeight="20.149999999999999" customHeight="1" outlineLevelCol="2" x14ac:dyDescent="0.25"/>
  <cols>
    <col min="1" max="1" width="4.7265625" style="79" customWidth="1"/>
    <col min="2" max="2" width="8.08984375" style="43" hidden="1" customWidth="1" outlineLevel="1"/>
    <col min="3" max="3" width="13.08984375" style="43" hidden="1" customWidth="1" outlineLevel="1"/>
    <col min="4" max="4" width="10.26953125" style="43" hidden="1" customWidth="1" outlineLevel="1"/>
    <col min="5" max="5" width="4.7265625" style="41" hidden="1" customWidth="1" outlineLevel="1"/>
    <col min="6" max="6" width="6.36328125" style="41" customWidth="1" collapsed="1"/>
    <col min="7" max="7" width="8.90625" style="44" customWidth="1" outlineLevel="2"/>
    <col min="8" max="8" width="9.6328125" style="44" customWidth="1" outlineLevel="2"/>
    <col min="9" max="9" width="10" style="44" customWidth="1" outlineLevel="2"/>
    <col min="10" max="10" width="10.6328125" style="44" customWidth="1" outlineLevel="2"/>
    <col min="11" max="11" width="8" style="44" customWidth="1" outlineLevel="2"/>
    <col min="12" max="12" width="9.26953125" style="44" customWidth="1" outlineLevel="2"/>
    <col min="13" max="13" width="9.6328125" style="44" customWidth="1" outlineLevel="2"/>
    <col min="14" max="14" width="10" style="44" customWidth="1" outlineLevel="2"/>
    <col min="15" max="15" width="6.36328125" style="45" customWidth="1" outlineLevel="2"/>
    <col min="16" max="16" width="8" style="45" customWidth="1" outlineLevel="2"/>
    <col min="17" max="17" width="4.7265625" style="45" customWidth="1" outlineLevel="2"/>
    <col min="18" max="19" width="10.453125" style="46" customWidth="1" outlineLevel="2"/>
    <col min="20" max="20" width="10.453125" style="46" customWidth="1" outlineLevel="1"/>
    <col min="21" max="21" width="8" style="46" customWidth="1" outlineLevel="2"/>
    <col min="22" max="22" width="8.7265625" style="42" customWidth="1" outlineLevel="2"/>
    <col min="23" max="23" width="7.453125" style="42" customWidth="1" outlineLevel="2"/>
    <col min="24" max="24" width="6.6328125" style="42" customWidth="1" outlineLevel="2"/>
    <col min="25" max="25" width="9.90625" style="42" customWidth="1" outlineLevel="2"/>
    <col min="26" max="26" width="6.90625" style="42" customWidth="1" outlineLevel="2"/>
    <col min="27" max="27" width="8.90625" style="42" customWidth="1" outlineLevel="1"/>
    <col min="28" max="28" width="8.453125" style="42" customWidth="1" outlineLevel="2"/>
    <col min="29" max="29" width="7.36328125" style="42" customWidth="1" outlineLevel="2"/>
    <col min="30" max="30" width="8.36328125" style="42" customWidth="1" outlineLevel="2"/>
    <col min="31" max="31" width="8.6328125" style="42" customWidth="1" outlineLevel="1"/>
    <col min="32" max="32" width="9" style="44" customWidth="1" outlineLevel="2"/>
    <col min="33" max="33" width="7.7265625" style="42" customWidth="1" outlineLevel="2"/>
    <col min="34" max="34" width="7.453125" style="42" customWidth="1" outlineLevel="2"/>
    <col min="35" max="35" width="9.7265625" style="42" customWidth="1" outlineLevel="1"/>
    <col min="36" max="40" width="8.7265625" style="42" customWidth="1" outlineLevel="1"/>
    <col min="41" max="41" width="11.6328125" style="44" customWidth="1" outlineLevel="1"/>
    <col min="42" max="42" width="9.453125" style="42" customWidth="1"/>
    <col min="43" max="43" width="7.90625" style="42" customWidth="1"/>
    <col min="44" max="44" width="8.36328125" style="42" customWidth="1"/>
    <col min="45" max="45" width="7.26953125" style="42" customWidth="1"/>
    <col min="46" max="46" width="8.7265625" style="42" customWidth="1"/>
    <col min="47" max="47" width="9.7265625" style="42" hidden="1" customWidth="1" outlineLevel="1"/>
    <col min="48" max="49" width="11.36328125" style="42" hidden="1" customWidth="1" outlineLevel="1"/>
    <col min="50" max="54" width="8.7265625" style="42" hidden="1" customWidth="1" outlineLevel="1"/>
    <col min="55" max="55" width="15.36328125" style="42" hidden="1" customWidth="1" outlineLevel="1"/>
    <col min="56" max="57" width="11.7265625" style="42" hidden="1" customWidth="1" outlineLevel="1"/>
    <col min="58" max="58" width="11.7265625" style="42" customWidth="1" collapsed="1"/>
    <col min="59" max="59" width="10.08984375" style="42" customWidth="1"/>
    <col min="60" max="60" width="9.453125" style="41"/>
    <col min="61" max="61" width="11.08984375" style="41"/>
    <col min="62" max="16384" width="9" style="41"/>
  </cols>
  <sheetData>
    <row r="1" spans="1:61" ht="20.149999999999999" customHeight="1" x14ac:dyDescent="0.25">
      <c r="A1" s="222" t="s">
        <v>116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61" ht="20.149999999999999" customHeight="1" x14ac:dyDescent="0.25">
      <c r="A2" s="224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47" t="s">
        <v>6</v>
      </c>
      <c r="G2" s="235" t="s">
        <v>117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212" t="s">
        <v>27</v>
      </c>
      <c r="AV2" s="212" t="s">
        <v>28</v>
      </c>
      <c r="AW2" s="240" t="s">
        <v>29</v>
      </c>
      <c r="AX2" s="241" t="s">
        <v>30</v>
      </c>
      <c r="AY2" s="242"/>
      <c r="AZ2" s="242"/>
      <c r="BA2" s="242"/>
      <c r="BB2" s="243"/>
      <c r="BC2" s="189" t="s">
        <v>31</v>
      </c>
      <c r="BD2" s="189" t="s">
        <v>32</v>
      </c>
      <c r="BE2" s="189" t="s">
        <v>33</v>
      </c>
      <c r="BF2" s="189" t="s">
        <v>34</v>
      </c>
      <c r="BG2" s="250" t="s">
        <v>35</v>
      </c>
      <c r="BH2" s="176" t="s">
        <v>118</v>
      </c>
      <c r="BI2" s="176" t="s">
        <v>119</v>
      </c>
    </row>
    <row r="3" spans="1:61" ht="20.149999999999999" customHeight="1" x14ac:dyDescent="0.25">
      <c r="A3" s="224"/>
      <c r="B3" s="225"/>
      <c r="C3" s="225"/>
      <c r="D3" s="227"/>
      <c r="E3" s="230"/>
      <c r="F3" s="248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56">
        <v>0.05</v>
      </c>
      <c r="AH3" s="56">
        <v>0.05</v>
      </c>
      <c r="AI3" s="56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213"/>
      <c r="AV3" s="213"/>
      <c r="AW3" s="213"/>
      <c r="AX3" s="244"/>
      <c r="AY3" s="245"/>
      <c r="AZ3" s="245"/>
      <c r="BA3" s="245"/>
      <c r="BB3" s="246"/>
      <c r="BC3" s="190"/>
      <c r="BD3" s="190"/>
      <c r="BE3" s="190"/>
      <c r="BF3" s="190"/>
      <c r="BG3" s="251"/>
      <c r="BH3" s="177"/>
      <c r="BI3" s="177"/>
    </row>
    <row r="4" spans="1:61" ht="20.149999999999999" customHeight="1" x14ac:dyDescent="0.25">
      <c r="A4" s="224"/>
      <c r="B4" s="225"/>
      <c r="C4" s="225"/>
      <c r="D4" s="228"/>
      <c r="E4" s="231"/>
      <c r="F4" s="249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02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214"/>
      <c r="AV4" s="214"/>
      <c r="AW4" s="214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191"/>
      <c r="BD4" s="191"/>
      <c r="BE4" s="191"/>
      <c r="BF4" s="191"/>
      <c r="BG4" s="252"/>
      <c r="BH4" s="178"/>
      <c r="BI4" s="178"/>
    </row>
    <row r="5" spans="1:61" ht="20.149999999999999" customHeight="1" x14ac:dyDescent="0.25">
      <c r="A5" s="77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 t="shared" ref="N5:N23" si="0">SUM(G5:M5)</f>
        <v>30000</v>
      </c>
      <c r="O5" s="28">
        <v>22</v>
      </c>
      <c r="P5" s="28">
        <v>22</v>
      </c>
      <c r="Q5" s="36"/>
      <c r="R5" s="36"/>
      <c r="S5" s="36">
        <v>27000</v>
      </c>
      <c r="T5" s="36">
        <f t="shared" ref="T5:T9" si="1">N5-R5-S5</f>
        <v>3000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 t="shared" ref="AA5:AA23" si="2"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 t="shared" ref="AE5:AE23" si="3"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 t="shared" ref="AI5:AI23" si="4"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 t="shared" ref="AP5:AP23" si="5">$T5</f>
        <v>3000</v>
      </c>
      <c r="AQ5" s="63">
        <f t="shared" ref="AQ5:AQ23" si="6">$AB5</f>
        <v>480</v>
      </c>
      <c r="AR5" s="63">
        <f t="shared" ref="AR5:AR23" si="7">$AD5</f>
        <v>123</v>
      </c>
      <c r="AS5" s="63">
        <f t="shared" ref="AS5:AS23" si="8">$AC5</f>
        <v>12</v>
      </c>
      <c r="AT5" s="63">
        <f t="shared" ref="AT5:AT23" si="9">$AH5</f>
        <v>300</v>
      </c>
      <c r="AU5" s="63">
        <f>$AP5+'2月工资表'!$AU5</f>
        <v>28500</v>
      </c>
      <c r="AV5" s="63">
        <f>$AO5+'2月工资表'!$AV5</f>
        <v>15000</v>
      </c>
      <c r="AW5" s="63">
        <f>AQ5+AR5+AS5+AT5+'2月工资表'!AW5</f>
        <v>2745</v>
      </c>
      <c r="AX5" s="63">
        <f>AJ5+'2月工资表'!AX5</f>
        <v>0</v>
      </c>
      <c r="AY5" s="63">
        <f>AK5+'2月工资表'!AY5</f>
        <v>3000</v>
      </c>
      <c r="AZ5" s="63">
        <f>AL5+'2月工资表'!AZ5</f>
        <v>0</v>
      </c>
      <c r="BA5" s="63">
        <f>AM5+'2月工资表'!BA5</f>
        <v>0</v>
      </c>
      <c r="BB5" s="63">
        <f>AN5+'2月工资表'!BB5</f>
        <v>0</v>
      </c>
      <c r="BC5" s="63">
        <f t="shared" ref="BC5:BC23" si="10">IF(AU5="","",AU5-AV5-AW5-AX5-AY5-AZ5-BA5-BB5)</f>
        <v>7755</v>
      </c>
      <c r="BD5" s="63">
        <f>ROUND(IF(BC5="","",MAX(0,BC5*{3;10;20;25;30;35;45}%-{0;2520;16920;31920;52920;85920;181920})),2)</f>
        <v>232.65</v>
      </c>
      <c r="BE5" s="63">
        <f>'2月工资表'!BD5</f>
        <v>350.1</v>
      </c>
      <c r="BF5" s="63">
        <f t="shared" ref="BF5:BF23" si="11">IF(BD5="","",IF(BD5&lt;=BE5,0,BD5-BE5))</f>
        <v>0</v>
      </c>
      <c r="BG5" s="36">
        <f t="shared" ref="BG5:BG23" si="12">IF(AP5="","",AP5-AQ5-AR5-AS5-AT5-BF5)</f>
        <v>2085</v>
      </c>
      <c r="BH5" s="14"/>
      <c r="BI5" s="65"/>
    </row>
    <row r="6" spans="1:61" ht="20.149999999999999" customHeight="1" x14ac:dyDescent="0.25">
      <c r="A6" s="77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 t="shared" si="0"/>
        <v>20000</v>
      </c>
      <c r="O6" s="28">
        <v>22</v>
      </c>
      <c r="P6" s="28">
        <v>22</v>
      </c>
      <c r="Q6" s="36">
        <f t="shared" ref="Q6:Q23" si="13">IF(O6="",0,O6-P6)</f>
        <v>0</v>
      </c>
      <c r="R6" s="36">
        <f t="shared" ref="R6:R23" si="14">IF(O6="",0,ROUND(N6/21.75*Q6,2))</f>
        <v>0</v>
      </c>
      <c r="S6" s="36">
        <v>17000</v>
      </c>
      <c r="T6" s="36">
        <f t="shared" si="1"/>
        <v>3000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si="2"/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si="3"/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si="4"/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si="5"/>
        <v>3000</v>
      </c>
      <c r="AQ6" s="63">
        <f t="shared" si="6"/>
        <v>472</v>
      </c>
      <c r="AR6" s="63">
        <f t="shared" si="7"/>
        <v>121</v>
      </c>
      <c r="AS6" s="63">
        <f t="shared" si="8"/>
        <v>11.8</v>
      </c>
      <c r="AT6" s="63">
        <f t="shared" si="9"/>
        <v>295</v>
      </c>
      <c r="AU6" s="63">
        <f>$AP6+'2月工资表'!$AU6</f>
        <v>20000</v>
      </c>
      <c r="AV6" s="63">
        <f>$AO6+'2月工资表'!$AV6</f>
        <v>15000</v>
      </c>
      <c r="AW6" s="63">
        <f>AQ6+AR6+AS6+AT6+'2月工资表'!AW6</f>
        <v>2699.3999999999996</v>
      </c>
      <c r="AX6" s="63">
        <f>AJ6+'2月工资表'!AX6</f>
        <v>3000</v>
      </c>
      <c r="AY6" s="63">
        <f>AK6+'2月工资表'!AY6</f>
        <v>6000</v>
      </c>
      <c r="AZ6" s="63">
        <f>AL6+'2月工资表'!AZ6</f>
        <v>0</v>
      </c>
      <c r="BA6" s="63">
        <f>AM6+'2月工资表'!BA6</f>
        <v>3000</v>
      </c>
      <c r="BB6" s="63">
        <f>AN6+'2月工资表'!BB6</f>
        <v>0</v>
      </c>
      <c r="BC6" s="63">
        <f t="shared" si="10"/>
        <v>-9699.4</v>
      </c>
      <c r="BD6" s="63">
        <f>ROUND(IF(BC6="","",MAX(0,BC6*{3;10;20;25;30;35;45}%-{0;2520;16920;31920;52920;85920;181920})),2)</f>
        <v>0</v>
      </c>
      <c r="BE6" s="63">
        <f>'2月工资表'!BD6</f>
        <v>0</v>
      </c>
      <c r="BF6" s="63">
        <f t="shared" si="11"/>
        <v>0</v>
      </c>
      <c r="BG6" s="36">
        <f t="shared" si="12"/>
        <v>2100.1999999999998</v>
      </c>
      <c r="BH6" s="14"/>
      <c r="BI6" s="65"/>
    </row>
    <row r="7" spans="1:61" ht="20.149999999999999" customHeight="1" x14ac:dyDescent="0.25">
      <c r="A7" s="77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si="0"/>
        <v>20000</v>
      </c>
      <c r="O7" s="28">
        <v>22</v>
      </c>
      <c r="P7" s="28">
        <v>22</v>
      </c>
      <c r="Q7" s="36">
        <f t="shared" si="13"/>
        <v>0</v>
      </c>
      <c r="R7" s="36">
        <f t="shared" si="14"/>
        <v>0</v>
      </c>
      <c r="S7" s="36">
        <v>17000</v>
      </c>
      <c r="T7" s="36">
        <f t="shared" si="1"/>
        <v>3000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2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3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4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5"/>
        <v>3000</v>
      </c>
      <c r="AQ7" s="63">
        <f t="shared" si="6"/>
        <v>472</v>
      </c>
      <c r="AR7" s="63">
        <f t="shared" si="7"/>
        <v>121</v>
      </c>
      <c r="AS7" s="63">
        <f t="shared" si="8"/>
        <v>11.8</v>
      </c>
      <c r="AT7" s="63">
        <f t="shared" si="9"/>
        <v>295</v>
      </c>
      <c r="AU7" s="63">
        <f>$AP7+'2月工资表'!$AU7</f>
        <v>20000</v>
      </c>
      <c r="AV7" s="63">
        <f>$AO7+'2月工资表'!$AV7</f>
        <v>15000</v>
      </c>
      <c r="AW7" s="63">
        <f>AQ7+AR7+AS7+AT7+'2月工资表'!AW7</f>
        <v>2699.3999999999996</v>
      </c>
      <c r="AX7" s="63">
        <f>AJ7+'2月工资表'!AX7</f>
        <v>0</v>
      </c>
      <c r="AY7" s="63">
        <f>AK7+'2月工资表'!AY7</f>
        <v>6000</v>
      </c>
      <c r="AZ7" s="63">
        <f>AL7+'2月工资表'!AZ7</f>
        <v>0</v>
      </c>
      <c r="BA7" s="63">
        <f>AM7+'2月工资表'!BA7</f>
        <v>3000</v>
      </c>
      <c r="BB7" s="63">
        <f>AN7+'2月工资表'!BB7</f>
        <v>0</v>
      </c>
      <c r="BC7" s="63">
        <f t="shared" si="10"/>
        <v>-6699.4</v>
      </c>
      <c r="BD7" s="63">
        <f>ROUND(IF(BC7="","",MAX(0,BC7*{3;10;20;25;30;35;45}%-{0;2520;16920;31920;52920;85920;181920})),2)</f>
        <v>0</v>
      </c>
      <c r="BE7" s="63">
        <f>'2月工资表'!BD7</f>
        <v>0</v>
      </c>
      <c r="BF7" s="63">
        <f t="shared" si="11"/>
        <v>0</v>
      </c>
      <c r="BG7" s="36">
        <f t="shared" si="12"/>
        <v>2100.1999999999998</v>
      </c>
      <c r="BH7" s="14"/>
      <c r="BI7" s="65"/>
    </row>
    <row r="8" spans="1:61" ht="20.149999999999999" customHeight="1" x14ac:dyDescent="0.25">
      <c r="A8" s="77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0"/>
        <v>20000</v>
      </c>
      <c r="O8" s="28">
        <v>22</v>
      </c>
      <c r="P8" s="28">
        <v>22</v>
      </c>
      <c r="Q8" s="36"/>
      <c r="R8" s="36"/>
      <c r="S8" s="36">
        <v>17000</v>
      </c>
      <c r="T8" s="36">
        <f t="shared" si="1"/>
        <v>3000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2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3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4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5"/>
        <v>3000</v>
      </c>
      <c r="AQ8" s="63">
        <f t="shared" si="6"/>
        <v>408</v>
      </c>
      <c r="AR8" s="63">
        <f t="shared" si="7"/>
        <v>114.14</v>
      </c>
      <c r="AS8" s="63">
        <f t="shared" si="8"/>
        <v>10.199999999999999</v>
      </c>
      <c r="AT8" s="63">
        <f t="shared" si="9"/>
        <v>255</v>
      </c>
      <c r="AU8" s="63">
        <f>$AP8+'2月工资表'!$AU8</f>
        <v>38000</v>
      </c>
      <c r="AV8" s="63">
        <f>$AO8+'2月工资表'!$AV8</f>
        <v>15000</v>
      </c>
      <c r="AW8" s="63">
        <f>AQ8+AR8+AS8+AT8+'2月工资表'!AW8</f>
        <v>2362.02</v>
      </c>
      <c r="AX8" s="63">
        <f>AJ8+'2月工资表'!AX8</f>
        <v>3000</v>
      </c>
      <c r="AY8" s="63">
        <f>AK8+'2月工资表'!AY8</f>
        <v>6000</v>
      </c>
      <c r="AZ8" s="63">
        <f>AL8+'2月工资表'!AZ8</f>
        <v>0</v>
      </c>
      <c r="BA8" s="63">
        <f>AM8+'2月工资表'!BA8</f>
        <v>0</v>
      </c>
      <c r="BB8" s="63">
        <f>AN8+'2月工资表'!BB8</f>
        <v>0</v>
      </c>
      <c r="BC8" s="63">
        <f t="shared" si="10"/>
        <v>11637.98</v>
      </c>
      <c r="BD8" s="63">
        <f>ROUND(IF(BC8="","",MAX(0,BC8*{3;10;20;25;30;35;45}%-{0;2520;16920;31920;52920;85920;181920})),2)</f>
        <v>349.14</v>
      </c>
      <c r="BE8" s="63">
        <f>'2月工资表'!BD8</f>
        <v>522.76</v>
      </c>
      <c r="BF8" s="63">
        <f t="shared" si="11"/>
        <v>0</v>
      </c>
      <c r="BG8" s="36">
        <f t="shared" si="12"/>
        <v>2212.6600000000003</v>
      </c>
      <c r="BH8" s="14"/>
      <c r="BI8" s="65"/>
    </row>
    <row r="9" spans="1:61" ht="20.149999999999999" customHeight="1" x14ac:dyDescent="0.25">
      <c r="A9" s="77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0"/>
        <v>8000</v>
      </c>
      <c r="O9" s="28">
        <v>22</v>
      </c>
      <c r="P9" s="28">
        <v>22</v>
      </c>
      <c r="Q9" s="36">
        <f t="shared" si="13"/>
        <v>0</v>
      </c>
      <c r="R9" s="36">
        <f t="shared" si="14"/>
        <v>0</v>
      </c>
      <c r="S9" s="36">
        <v>5000</v>
      </c>
      <c r="T9" s="36">
        <f t="shared" si="1"/>
        <v>3000</v>
      </c>
      <c r="U9" s="26">
        <v>4800</v>
      </c>
      <c r="V9" s="36"/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2"/>
        <v>648.16000000000008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3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4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5"/>
        <v>3000</v>
      </c>
      <c r="AQ9" s="63">
        <f t="shared" si="6"/>
        <v>384</v>
      </c>
      <c r="AR9" s="63">
        <f t="shared" si="7"/>
        <v>114.14</v>
      </c>
      <c r="AS9" s="63">
        <f t="shared" si="8"/>
        <v>9.6</v>
      </c>
      <c r="AT9" s="63">
        <f t="shared" si="9"/>
        <v>240</v>
      </c>
      <c r="AU9" s="63">
        <f>$AP9+'2月工资表'!$AU9</f>
        <v>19000</v>
      </c>
      <c r="AV9" s="63">
        <f>$AO9+'2月工资表'!$AV9</f>
        <v>15000</v>
      </c>
      <c r="AW9" s="63">
        <f>AQ9+AR9+AS9+AT9+'2月工资表'!AW9</f>
        <v>2243.2200000000003</v>
      </c>
      <c r="AX9" s="63">
        <f>AJ9+'2月工资表'!AX9</f>
        <v>3000</v>
      </c>
      <c r="AY9" s="63">
        <f>AK9+'2月工资表'!AY9</f>
        <v>6000</v>
      </c>
      <c r="AZ9" s="63">
        <f>AL9+'2月工资表'!AZ9</f>
        <v>0</v>
      </c>
      <c r="BA9" s="63">
        <f>AM9+'2月工资表'!BA9</f>
        <v>0</v>
      </c>
      <c r="BB9" s="63">
        <f>AN9+'2月工资表'!BB9</f>
        <v>0</v>
      </c>
      <c r="BC9" s="63">
        <f t="shared" si="10"/>
        <v>-7243.22</v>
      </c>
      <c r="BD9" s="63">
        <f>ROUND(IF(BC9="","",MAX(0,BC9*{3;10;20;25;30;35;45}%-{0;2520;16920;31920;52920;85920;181920})),2)</f>
        <v>0</v>
      </c>
      <c r="BE9" s="63">
        <f>'2月工资表'!BD9</f>
        <v>0</v>
      </c>
      <c r="BF9" s="63">
        <f t="shared" si="11"/>
        <v>0</v>
      </c>
      <c r="BG9" s="36">
        <f t="shared" si="12"/>
        <v>2252.2600000000002</v>
      </c>
      <c r="BH9" s="14"/>
      <c r="BI9" s="65"/>
    </row>
    <row r="10" spans="1:61" ht="20.149999999999999" customHeight="1" x14ac:dyDescent="0.25">
      <c r="A10" s="77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0"/>
        <v>7000</v>
      </c>
      <c r="O10" s="28">
        <v>22</v>
      </c>
      <c r="P10" s="28">
        <v>22</v>
      </c>
      <c r="Q10" s="36">
        <f t="shared" si="13"/>
        <v>0</v>
      </c>
      <c r="R10" s="36">
        <f t="shared" si="14"/>
        <v>0</v>
      </c>
      <c r="S10" s="36"/>
      <c r="T10" s="36">
        <f t="shared" ref="T10:T11" si="15">N10-R10</f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2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3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4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5"/>
        <v>7000</v>
      </c>
      <c r="AQ10" s="63">
        <f t="shared" si="6"/>
        <v>448</v>
      </c>
      <c r="AR10" s="63">
        <f t="shared" si="7"/>
        <v>115</v>
      </c>
      <c r="AS10" s="63">
        <f t="shared" si="8"/>
        <v>11.2</v>
      </c>
      <c r="AT10" s="63">
        <f t="shared" si="9"/>
        <v>280</v>
      </c>
      <c r="AU10" s="63">
        <f>$AP10+'2月工资表'!$AU10</f>
        <v>21000</v>
      </c>
      <c r="AV10" s="63">
        <f>$AO10+'2月工资表'!$AV10</f>
        <v>15000</v>
      </c>
      <c r="AW10" s="63">
        <f>AQ10+AR10+AS10+AT10+'2月工资表'!AW10</f>
        <v>2562.6000000000004</v>
      </c>
      <c r="AX10" s="63">
        <f>AJ10+'2月工资表'!AX10</f>
        <v>0</v>
      </c>
      <c r="AY10" s="63">
        <f>AK10+'2月工资表'!AY10</f>
        <v>0</v>
      </c>
      <c r="AZ10" s="63">
        <f>AL10+'2月工资表'!AZ10</f>
        <v>1200</v>
      </c>
      <c r="BA10" s="63">
        <f>AM10+'2月工资表'!BA10</f>
        <v>0</v>
      </c>
      <c r="BB10" s="63">
        <f>AN10+'2月工资表'!BB10</f>
        <v>0</v>
      </c>
      <c r="BC10" s="63">
        <f t="shared" si="10"/>
        <v>2237.3999999999996</v>
      </c>
      <c r="BD10" s="63">
        <f>ROUND(IF(BC10="","",MAX(0,BC10*{3;10;20;25;30;35;45}%-{0;2520;16920;31920;52920;85920;181920})),2)</f>
        <v>67.12</v>
      </c>
      <c r="BE10" s="63">
        <f>'2月工资表'!BD10</f>
        <v>44.75</v>
      </c>
      <c r="BF10" s="63">
        <f t="shared" si="11"/>
        <v>22.370000000000005</v>
      </c>
      <c r="BG10" s="36">
        <f t="shared" si="12"/>
        <v>6123.43</v>
      </c>
      <c r="BH10" s="66">
        <v>7000</v>
      </c>
      <c r="BI10" s="65">
        <f>BG10+BH10</f>
        <v>13123.43</v>
      </c>
    </row>
    <row r="11" spans="1:61" ht="20.149999999999999" customHeight="1" x14ac:dyDescent="0.25">
      <c r="A11" s="77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0"/>
        <v>9000</v>
      </c>
      <c r="O11" s="28">
        <v>22</v>
      </c>
      <c r="P11" s="28">
        <v>22</v>
      </c>
      <c r="Q11" s="36">
        <f t="shared" si="13"/>
        <v>0</v>
      </c>
      <c r="R11" s="36">
        <f t="shared" si="14"/>
        <v>0</v>
      </c>
      <c r="S11" s="36"/>
      <c r="T11" s="36">
        <f t="shared" si="15"/>
        <v>9000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2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3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4"/>
        <v>800</v>
      </c>
      <c r="AJ11" s="28"/>
      <c r="AK11" s="28"/>
      <c r="AL11" s="28"/>
      <c r="AM11" s="28"/>
      <c r="AN11" s="28"/>
      <c r="AO11" s="36">
        <v>5000</v>
      </c>
      <c r="AP11" s="63">
        <f t="shared" si="5"/>
        <v>9000</v>
      </c>
      <c r="AQ11" s="63">
        <f t="shared" si="6"/>
        <v>640</v>
      </c>
      <c r="AR11" s="63">
        <f t="shared" si="7"/>
        <v>163</v>
      </c>
      <c r="AS11" s="63">
        <f t="shared" si="8"/>
        <v>0</v>
      </c>
      <c r="AT11" s="63">
        <f t="shared" si="9"/>
        <v>400</v>
      </c>
      <c r="AU11" s="63">
        <f>$AP11+'2月工资表'!$AU11</f>
        <v>26586.21</v>
      </c>
      <c r="AV11" s="63">
        <f>$AO11+'2月工资表'!$AV11</f>
        <v>15000</v>
      </c>
      <c r="AW11" s="63">
        <f>AQ11+AR11+AS11+AT11+'2月工资表'!AW11</f>
        <v>3609</v>
      </c>
      <c r="AX11" s="63">
        <f>AJ11+'2月工资表'!AX11</f>
        <v>0</v>
      </c>
      <c r="AY11" s="63">
        <f>AK11+'2月工资表'!AY11</f>
        <v>0</v>
      </c>
      <c r="AZ11" s="63">
        <f>AL11+'2月工资表'!AZ11</f>
        <v>0</v>
      </c>
      <c r="BA11" s="63">
        <f>AM11+'2月工资表'!BA11</f>
        <v>0</v>
      </c>
      <c r="BB11" s="63">
        <f>AN11+'2月工资表'!BB11</f>
        <v>0</v>
      </c>
      <c r="BC11" s="63">
        <f t="shared" si="10"/>
        <v>7977.2099999999991</v>
      </c>
      <c r="BD11" s="63">
        <f>ROUND(IF(BC11="","",MAX(0,BC11*{3;10;20;25;30;35;45}%-{0;2520;16920;31920;52920;85920;181920})),2)</f>
        <v>239.32</v>
      </c>
      <c r="BE11" s="63">
        <f>'2月工资表'!BD11</f>
        <v>155.41</v>
      </c>
      <c r="BF11" s="63">
        <f t="shared" si="11"/>
        <v>83.91</v>
      </c>
      <c r="BG11" s="36">
        <f t="shared" si="12"/>
        <v>7713.09</v>
      </c>
      <c r="BH11" s="66">
        <v>9000</v>
      </c>
      <c r="BI11" s="65">
        <f>BG11+BH11</f>
        <v>16713.09</v>
      </c>
    </row>
    <row r="12" spans="1:61" ht="20.149999999999999" customHeight="1" x14ac:dyDescent="0.25">
      <c r="A12" s="77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0"/>
        <v>27000</v>
      </c>
      <c r="O12" s="28">
        <v>22</v>
      </c>
      <c r="P12" s="28">
        <v>22</v>
      </c>
      <c r="Q12" s="36">
        <f t="shared" si="13"/>
        <v>0</v>
      </c>
      <c r="R12" s="36">
        <f t="shared" si="14"/>
        <v>0</v>
      </c>
      <c r="S12" s="36">
        <v>8100</v>
      </c>
      <c r="T12" s="36">
        <f>N12-R12-S12</f>
        <v>18900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2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3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4"/>
        <v>520</v>
      </c>
      <c r="AJ12" s="28"/>
      <c r="AK12" s="28"/>
      <c r="AL12" s="28"/>
      <c r="AM12" s="28"/>
      <c r="AN12" s="28"/>
      <c r="AO12" s="36">
        <v>5000</v>
      </c>
      <c r="AP12" s="63">
        <f t="shared" si="5"/>
        <v>18900</v>
      </c>
      <c r="AQ12" s="63">
        <f t="shared" si="6"/>
        <v>416</v>
      </c>
      <c r="AR12" s="63">
        <f t="shared" si="7"/>
        <v>114.14</v>
      </c>
      <c r="AS12" s="63">
        <f t="shared" si="8"/>
        <v>0</v>
      </c>
      <c r="AT12" s="63">
        <f t="shared" si="9"/>
        <v>260</v>
      </c>
      <c r="AU12" s="63">
        <f>$AP12+'2月工资表'!$AU12</f>
        <v>66150</v>
      </c>
      <c r="AV12" s="63">
        <f>$AO12+'2月工资表'!$AV12</f>
        <v>15000</v>
      </c>
      <c r="AW12" s="63">
        <f>AQ12+AR12+AS12+AT12+'2月工资表'!AW12</f>
        <v>2370.42</v>
      </c>
      <c r="AX12" s="63">
        <f>AJ12+'2月工资表'!AX12</f>
        <v>0</v>
      </c>
      <c r="AY12" s="63">
        <f>AK12+'2月工资表'!AY12</f>
        <v>0</v>
      </c>
      <c r="AZ12" s="63">
        <f>AL12+'2月工资表'!AZ12</f>
        <v>0</v>
      </c>
      <c r="BA12" s="63">
        <f>AM12+'2月工资表'!BA12</f>
        <v>0</v>
      </c>
      <c r="BB12" s="63">
        <f>AN12+'2月工资表'!BB12</f>
        <v>0</v>
      </c>
      <c r="BC12" s="63">
        <f t="shared" si="10"/>
        <v>48779.58</v>
      </c>
      <c r="BD12" s="63">
        <f>ROUND(IF(BC12="","",MAX(0,BC12*{3;10;20;25;30;35;45}%-{0;2520;16920;31920;52920;85920;181920})),2)</f>
        <v>2357.96</v>
      </c>
      <c r="BE12" s="63">
        <f>'2月工资表'!BD12</f>
        <v>1070.0899999999999</v>
      </c>
      <c r="BF12" s="63">
        <f t="shared" si="11"/>
        <v>1287.8700000000001</v>
      </c>
      <c r="BG12" s="36">
        <f t="shared" si="12"/>
        <v>16821.990000000002</v>
      </c>
      <c r="BH12" s="14"/>
      <c r="BI12" s="65"/>
    </row>
    <row r="13" spans="1:61" ht="20.149999999999999" customHeight="1" x14ac:dyDescent="0.25">
      <c r="A13" s="77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0"/>
        <v>16000</v>
      </c>
      <c r="O13" s="28">
        <v>22</v>
      </c>
      <c r="P13" s="28">
        <v>22</v>
      </c>
      <c r="Q13" s="36">
        <f t="shared" si="13"/>
        <v>0</v>
      </c>
      <c r="R13" s="36">
        <f t="shared" si="14"/>
        <v>0</v>
      </c>
      <c r="S13" s="36"/>
      <c r="T13" s="36">
        <f t="shared" ref="T13:T23" si="16">N13-R13</f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2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3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4"/>
        <v>1280</v>
      </c>
      <c r="AJ13" s="28"/>
      <c r="AK13" s="28"/>
      <c r="AL13" s="28"/>
      <c r="AM13" s="28"/>
      <c r="AN13" s="28"/>
      <c r="AO13" s="36">
        <v>5000</v>
      </c>
      <c r="AP13" s="63">
        <f t="shared" si="5"/>
        <v>16000</v>
      </c>
      <c r="AQ13" s="63">
        <f t="shared" si="6"/>
        <v>1024</v>
      </c>
      <c r="AR13" s="63">
        <f t="shared" si="7"/>
        <v>259</v>
      </c>
      <c r="AS13" s="63">
        <f t="shared" si="8"/>
        <v>0</v>
      </c>
      <c r="AT13" s="63">
        <f t="shared" si="9"/>
        <v>640</v>
      </c>
      <c r="AU13" s="63">
        <f>$AP13+'2月工资表'!$AU13</f>
        <v>48000</v>
      </c>
      <c r="AV13" s="63">
        <f>$AO13+'2月工资表'!$AV13</f>
        <v>15000</v>
      </c>
      <c r="AW13" s="63">
        <f>AQ13+AR13+AS13+AT13+'2月工资表'!AW13</f>
        <v>5769</v>
      </c>
      <c r="AX13" s="63">
        <f>AJ13+'2月工资表'!AX13</f>
        <v>0</v>
      </c>
      <c r="AY13" s="63">
        <f>AK13+'2月工资表'!AY13</f>
        <v>0</v>
      </c>
      <c r="AZ13" s="63">
        <f>AL13+'2月工资表'!AZ13</f>
        <v>0</v>
      </c>
      <c r="BA13" s="63">
        <f>AM13+'2月工资表'!BA13</f>
        <v>0</v>
      </c>
      <c r="BB13" s="63">
        <f>AN13+'2月工资表'!BB13</f>
        <v>0</v>
      </c>
      <c r="BC13" s="63">
        <f t="shared" si="10"/>
        <v>27231</v>
      </c>
      <c r="BD13" s="63">
        <f>ROUND(IF(BC13="","",MAX(0,BC13*{3;10;20;25;30;35;45}%-{0;2520;16920;31920;52920;85920;181920})),2)</f>
        <v>816.93</v>
      </c>
      <c r="BE13" s="63">
        <f>'2月工资表'!BD13</f>
        <v>544.62</v>
      </c>
      <c r="BF13" s="63">
        <f t="shared" si="11"/>
        <v>272.30999999999995</v>
      </c>
      <c r="BG13" s="36">
        <f t="shared" si="12"/>
        <v>13804.69</v>
      </c>
      <c r="BH13" s="14"/>
      <c r="BI13" s="65"/>
    </row>
    <row r="14" spans="1:61" ht="20.149999999999999" customHeight="1" x14ac:dyDescent="0.25">
      <c r="A14" s="77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0"/>
        <v>18000</v>
      </c>
      <c r="O14" s="28">
        <v>22</v>
      </c>
      <c r="P14" s="28">
        <v>22</v>
      </c>
      <c r="Q14" s="36">
        <f t="shared" si="13"/>
        <v>0</v>
      </c>
      <c r="R14" s="36">
        <f t="shared" si="14"/>
        <v>0</v>
      </c>
      <c r="S14" s="36"/>
      <c r="T14" s="36">
        <f t="shared" si="16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2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3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4"/>
        <v>900</v>
      </c>
      <c r="AJ14" s="28"/>
      <c r="AK14" s="28"/>
      <c r="AL14" s="28"/>
      <c r="AM14" s="28"/>
      <c r="AN14" s="28"/>
      <c r="AO14" s="36">
        <v>5000</v>
      </c>
      <c r="AP14" s="63">
        <f t="shared" si="5"/>
        <v>18000</v>
      </c>
      <c r="AQ14" s="63">
        <f t="shared" si="6"/>
        <v>720</v>
      </c>
      <c r="AR14" s="63">
        <f t="shared" si="7"/>
        <v>183</v>
      </c>
      <c r="AS14" s="63">
        <f t="shared" si="8"/>
        <v>0</v>
      </c>
      <c r="AT14" s="63">
        <f t="shared" si="9"/>
        <v>450</v>
      </c>
      <c r="AU14" s="63">
        <f>$AP14+'2月工资表'!$AU14</f>
        <v>54000</v>
      </c>
      <c r="AV14" s="63">
        <f>$AO14+'2月工资表'!$AV14</f>
        <v>15000</v>
      </c>
      <c r="AW14" s="63">
        <f>AQ14+AR14+AS14+AT14+'2月工资表'!AW14</f>
        <v>4059</v>
      </c>
      <c r="AX14" s="63">
        <f>AJ14+'2月工资表'!AX14</f>
        <v>0</v>
      </c>
      <c r="AY14" s="63">
        <f>AK14+'2月工资表'!AY14</f>
        <v>0</v>
      </c>
      <c r="AZ14" s="63">
        <f>AL14+'2月工资表'!AZ14</f>
        <v>0</v>
      </c>
      <c r="BA14" s="63">
        <f>AM14+'2月工资表'!BA14</f>
        <v>0</v>
      </c>
      <c r="BB14" s="63">
        <f>AN14+'2月工资表'!BB14</f>
        <v>0</v>
      </c>
      <c r="BC14" s="63">
        <f t="shared" si="10"/>
        <v>34941</v>
      </c>
      <c r="BD14" s="63">
        <f>ROUND(IF(BC14="","",MAX(0,BC14*{3;10;20;25;30;35;45}%-{0;2520;16920;31920;52920;85920;181920})),2)</f>
        <v>1048.23</v>
      </c>
      <c r="BE14" s="63">
        <f>'2月工资表'!BD14</f>
        <v>698.82</v>
      </c>
      <c r="BF14" s="63">
        <f t="shared" si="11"/>
        <v>349.40999999999997</v>
      </c>
      <c r="BG14" s="36">
        <f t="shared" si="12"/>
        <v>16297.59</v>
      </c>
      <c r="BH14" s="14"/>
      <c r="BI14" s="65"/>
    </row>
    <row r="15" spans="1:61" ht="20.149999999999999" customHeight="1" x14ac:dyDescent="0.25">
      <c r="A15" s="77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0"/>
        <v>11000</v>
      </c>
      <c r="O15" s="28">
        <v>22</v>
      </c>
      <c r="P15" s="28">
        <v>15</v>
      </c>
      <c r="Q15" s="36">
        <f t="shared" si="13"/>
        <v>7</v>
      </c>
      <c r="R15" s="36">
        <f t="shared" si="14"/>
        <v>3540.23</v>
      </c>
      <c r="S15" s="36"/>
      <c r="T15" s="36">
        <f t="shared" si="16"/>
        <v>7459.77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2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3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4"/>
        <v>880</v>
      </c>
      <c r="AJ15" s="28"/>
      <c r="AK15" s="28"/>
      <c r="AL15" s="28"/>
      <c r="AM15" s="28"/>
      <c r="AN15" s="28"/>
      <c r="AO15" s="36">
        <v>5000</v>
      </c>
      <c r="AP15" s="63">
        <f t="shared" si="5"/>
        <v>7459.77</v>
      </c>
      <c r="AQ15" s="63">
        <f t="shared" si="6"/>
        <v>704</v>
      </c>
      <c r="AR15" s="63">
        <f t="shared" si="7"/>
        <v>179</v>
      </c>
      <c r="AS15" s="63">
        <f t="shared" si="8"/>
        <v>17.600000000000001</v>
      </c>
      <c r="AT15" s="63">
        <f t="shared" si="9"/>
        <v>440</v>
      </c>
      <c r="AU15" s="63">
        <f>$AP15+'2月工资表'!$AU15</f>
        <v>27942.530000000002</v>
      </c>
      <c r="AV15" s="63">
        <f>$AO15+'2月工资表'!$AV15</f>
        <v>15000</v>
      </c>
      <c r="AW15" s="63">
        <f>AQ15+AR15+AS15+AT15+'2月工资表'!AW15</f>
        <v>4021.7999999999997</v>
      </c>
      <c r="AX15" s="63">
        <f>AJ15+'2月工资表'!AX15</f>
        <v>0</v>
      </c>
      <c r="AY15" s="63">
        <f>AK15+'2月工资表'!AY15</f>
        <v>0</v>
      </c>
      <c r="AZ15" s="63">
        <f>AL15+'2月工资表'!AZ15</f>
        <v>0</v>
      </c>
      <c r="BA15" s="63">
        <f>AM15+'2月工资表'!BA15</f>
        <v>0</v>
      </c>
      <c r="BB15" s="63">
        <f>AN15+'2月工资表'!BB15</f>
        <v>0</v>
      </c>
      <c r="BC15" s="63">
        <f t="shared" si="10"/>
        <v>8920.7300000000032</v>
      </c>
      <c r="BD15" s="63">
        <f>ROUND(IF(BC15="","",MAX(0,BC15*{3;10;20;25;30;35;45}%-{0;2520;16920;31920;52920;85920;181920})),2)</f>
        <v>267.62</v>
      </c>
      <c r="BE15" s="63">
        <f>'2月工资表'!BD15</f>
        <v>234.05</v>
      </c>
      <c r="BF15" s="63">
        <f t="shared" si="11"/>
        <v>33.569999999999993</v>
      </c>
      <c r="BG15" s="36">
        <f t="shared" si="12"/>
        <v>6085.6</v>
      </c>
      <c r="BH15" s="66">
        <v>11000</v>
      </c>
      <c r="BI15" s="65">
        <f>BG15+BH15</f>
        <v>17085.599999999999</v>
      </c>
    </row>
    <row r="16" spans="1:61" ht="20.149999999999999" customHeight="1" x14ac:dyDescent="0.25">
      <c r="A16" s="77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0"/>
        <v>8000</v>
      </c>
      <c r="O16" s="28">
        <v>22</v>
      </c>
      <c r="P16" s="28">
        <v>22</v>
      </c>
      <c r="Q16" s="36">
        <f t="shared" si="13"/>
        <v>0</v>
      </c>
      <c r="R16" s="36">
        <f t="shared" si="14"/>
        <v>0</v>
      </c>
      <c r="S16" s="36"/>
      <c r="T16" s="36">
        <f t="shared" si="16"/>
        <v>8000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2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3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4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5"/>
        <v>8000</v>
      </c>
      <c r="AQ16" s="63">
        <f t="shared" si="6"/>
        <v>512</v>
      </c>
      <c r="AR16" s="63">
        <f t="shared" si="7"/>
        <v>131</v>
      </c>
      <c r="AS16" s="63">
        <f t="shared" si="8"/>
        <v>12.8</v>
      </c>
      <c r="AT16" s="63">
        <f t="shared" si="9"/>
        <v>320</v>
      </c>
      <c r="AU16" s="63">
        <f>$AP16+'2月工资表'!$AU16</f>
        <v>23264.37</v>
      </c>
      <c r="AV16" s="63">
        <f>$AO16+'2月工资表'!$AV16</f>
        <v>15000</v>
      </c>
      <c r="AW16" s="63">
        <f>AQ16+AR16+AS16+AT16+'2月工资表'!AW16</f>
        <v>2927.3999999999996</v>
      </c>
      <c r="AX16" s="63">
        <f>AJ16+'2月工资表'!AX16</f>
        <v>0</v>
      </c>
      <c r="AY16" s="63">
        <f>AK16+'2月工资表'!AY16</f>
        <v>0</v>
      </c>
      <c r="AZ16" s="63">
        <f>AL16+'2月工资表'!AZ16</f>
        <v>0</v>
      </c>
      <c r="BA16" s="63">
        <f>AM16+'2月工资表'!BA16</f>
        <v>0</v>
      </c>
      <c r="BB16" s="63">
        <f>AN16+'2月工资表'!BB16</f>
        <v>4500</v>
      </c>
      <c r="BC16" s="63">
        <f t="shared" si="10"/>
        <v>836.96999999999935</v>
      </c>
      <c r="BD16" s="63">
        <f>ROUND(IF(BC16="","",MAX(0,BC16*{3;10;20;25;30;35;45}%-{0;2520;16920;31920;52920;85920;181920})),2)</f>
        <v>25.11</v>
      </c>
      <c r="BE16" s="63">
        <f>'2月工资表'!BD16</f>
        <v>9.3800000000000008</v>
      </c>
      <c r="BF16" s="63">
        <f t="shared" si="11"/>
        <v>15.729999999999999</v>
      </c>
      <c r="BG16" s="36">
        <f t="shared" si="12"/>
        <v>7008.47</v>
      </c>
      <c r="BH16" s="14"/>
      <c r="BI16" s="65"/>
    </row>
    <row r="17" spans="1:61" ht="20.149999999999999" customHeight="1" x14ac:dyDescent="0.25">
      <c r="A17" s="77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0"/>
        <v>20000</v>
      </c>
      <c r="O17" s="28">
        <v>22</v>
      </c>
      <c r="P17" s="28">
        <v>22</v>
      </c>
      <c r="Q17" s="36">
        <f t="shared" si="13"/>
        <v>0</v>
      </c>
      <c r="R17" s="36">
        <f t="shared" si="14"/>
        <v>0</v>
      </c>
      <c r="S17" s="36"/>
      <c r="T17" s="36">
        <f t="shared" si="16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2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3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4"/>
        <v>550</v>
      </c>
      <c r="AJ17" s="28"/>
      <c r="AK17" s="28"/>
      <c r="AL17" s="28"/>
      <c r="AM17" s="28"/>
      <c r="AN17" s="28"/>
      <c r="AO17" s="36">
        <v>5000</v>
      </c>
      <c r="AP17" s="63">
        <f t="shared" si="5"/>
        <v>20000</v>
      </c>
      <c r="AQ17" s="63">
        <f t="shared" si="6"/>
        <v>440</v>
      </c>
      <c r="AR17" s="63">
        <f t="shared" si="7"/>
        <v>114.14</v>
      </c>
      <c r="AS17" s="63">
        <f t="shared" si="8"/>
        <v>0</v>
      </c>
      <c r="AT17" s="63">
        <f t="shared" si="9"/>
        <v>275</v>
      </c>
      <c r="AU17" s="63">
        <f>$AP17+'2月工资表'!$AU17</f>
        <v>60000</v>
      </c>
      <c r="AV17" s="63">
        <f>$AO17+'2月工资表'!$AV17</f>
        <v>15000</v>
      </c>
      <c r="AW17" s="63">
        <f>AQ17+AR17+AS17+AT17+'2月工资表'!AW17</f>
        <v>2487.42</v>
      </c>
      <c r="AX17" s="63">
        <f>AJ17+'2月工资表'!AX17</f>
        <v>0</v>
      </c>
      <c r="AY17" s="63">
        <f>AK17+'2月工资表'!AY17</f>
        <v>0</v>
      </c>
      <c r="AZ17" s="63">
        <f>AL17+'2月工资表'!AZ17</f>
        <v>0</v>
      </c>
      <c r="BA17" s="63">
        <f>AM17+'2月工资表'!BA17</f>
        <v>0</v>
      </c>
      <c r="BB17" s="63">
        <f>AN17+'2月工资表'!BB17</f>
        <v>0</v>
      </c>
      <c r="BC17" s="63">
        <f t="shared" si="10"/>
        <v>42512.58</v>
      </c>
      <c r="BD17" s="63">
        <f>ROUND(IF(BC17="","",MAX(0,BC17*{3;10;20;25;30;35;45}%-{0;2520;16920;31920;52920;85920;181920})),2)</f>
        <v>1731.26</v>
      </c>
      <c r="BE17" s="63">
        <f>'2月工资表'!BD17</f>
        <v>850.25</v>
      </c>
      <c r="BF17" s="63">
        <f t="shared" si="11"/>
        <v>881.01</v>
      </c>
      <c r="BG17" s="36">
        <f t="shared" si="12"/>
        <v>18289.850000000002</v>
      </c>
      <c r="BH17" s="14"/>
      <c r="BI17" s="65"/>
    </row>
    <row r="18" spans="1:61" ht="20.149999999999999" customHeight="1" x14ac:dyDescent="0.25">
      <c r="A18" s="77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0"/>
        <v>12000</v>
      </c>
      <c r="O18" s="28">
        <v>22</v>
      </c>
      <c r="P18" s="28">
        <v>22</v>
      </c>
      <c r="Q18" s="36">
        <f t="shared" si="13"/>
        <v>0</v>
      </c>
      <c r="R18" s="36">
        <f t="shared" si="14"/>
        <v>0</v>
      </c>
      <c r="S18" s="36"/>
      <c r="T18" s="36">
        <f t="shared" si="16"/>
        <v>12000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2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3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4"/>
        <v>550</v>
      </c>
      <c r="AJ18" s="28"/>
      <c r="AK18" s="28"/>
      <c r="AL18" s="28"/>
      <c r="AM18" s="28"/>
      <c r="AN18" s="28"/>
      <c r="AO18" s="36">
        <v>5000</v>
      </c>
      <c r="AP18" s="63">
        <f t="shared" si="5"/>
        <v>12000</v>
      </c>
      <c r="AQ18" s="63">
        <f t="shared" si="6"/>
        <v>440</v>
      </c>
      <c r="AR18" s="63">
        <f t="shared" si="7"/>
        <v>114.14</v>
      </c>
      <c r="AS18" s="63">
        <f t="shared" si="8"/>
        <v>0</v>
      </c>
      <c r="AT18" s="63">
        <f t="shared" si="9"/>
        <v>275</v>
      </c>
      <c r="AU18" s="63">
        <f>$AP18+'2月工资表'!$AU18</f>
        <v>34896.550000000003</v>
      </c>
      <c r="AV18" s="63">
        <f>$AO18+'2月工资表'!$AV18</f>
        <v>15000</v>
      </c>
      <c r="AW18" s="63">
        <f>AQ18+AR18+AS18+AT18+'2月工资表'!AW18</f>
        <v>2487.42</v>
      </c>
      <c r="AX18" s="63">
        <f>AJ18+'2月工资表'!AX18</f>
        <v>0</v>
      </c>
      <c r="AY18" s="63">
        <f>AK18+'2月工资表'!AY18</f>
        <v>0</v>
      </c>
      <c r="AZ18" s="63">
        <f>AL18+'2月工资表'!AZ18</f>
        <v>0</v>
      </c>
      <c r="BA18" s="63">
        <f>AM18+'2月工资表'!BA18</f>
        <v>0</v>
      </c>
      <c r="BB18" s="63">
        <f>AN18+'2月工资表'!BB18</f>
        <v>0</v>
      </c>
      <c r="BC18" s="63">
        <f t="shared" si="10"/>
        <v>17409.130000000005</v>
      </c>
      <c r="BD18" s="63">
        <f>ROUND(IF(BC18="","",MAX(0,BC18*{3;10;20;25;30;35;45}%-{0;2520;16920;31920;52920;85920;181920})),2)</f>
        <v>522.27</v>
      </c>
      <c r="BE18" s="63">
        <f>'2月工资表'!BD18</f>
        <v>337.15</v>
      </c>
      <c r="BF18" s="63">
        <f t="shared" si="11"/>
        <v>185.12</v>
      </c>
      <c r="BG18" s="36">
        <f t="shared" si="12"/>
        <v>10985.74</v>
      </c>
      <c r="BH18" s="66">
        <v>12000</v>
      </c>
      <c r="BI18" s="65">
        <f>BG18+BH18</f>
        <v>22985.739999999998</v>
      </c>
    </row>
    <row r="19" spans="1:61" ht="20.149999999999999" customHeight="1" x14ac:dyDescent="0.25">
      <c r="A19" s="77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0"/>
        <v>18000</v>
      </c>
      <c r="O19" s="28">
        <v>22</v>
      </c>
      <c r="P19" s="28">
        <v>22</v>
      </c>
      <c r="Q19" s="36">
        <f t="shared" si="13"/>
        <v>0</v>
      </c>
      <c r="R19" s="36">
        <f t="shared" si="14"/>
        <v>0</v>
      </c>
      <c r="S19" s="36"/>
      <c r="T19" s="36">
        <f t="shared" si="16"/>
        <v>18000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2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3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4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5"/>
        <v>18000</v>
      </c>
      <c r="AQ19" s="63">
        <f t="shared" si="6"/>
        <v>440</v>
      </c>
      <c r="AR19" s="63">
        <f t="shared" si="7"/>
        <v>114.14</v>
      </c>
      <c r="AS19" s="63">
        <f t="shared" si="8"/>
        <v>11</v>
      </c>
      <c r="AT19" s="63">
        <f t="shared" si="9"/>
        <v>275</v>
      </c>
      <c r="AU19" s="63">
        <f>$AP19+'2月工资表'!$AU19</f>
        <v>53172.41</v>
      </c>
      <c r="AV19" s="63">
        <f>$AO19+'2月工资表'!$AV19</f>
        <v>15000</v>
      </c>
      <c r="AW19" s="63">
        <f>AQ19+AR19+AS19+AT19+'2月工资表'!AW19</f>
        <v>2520.42</v>
      </c>
      <c r="AX19" s="63">
        <f>AJ19+'2月工资表'!AX19</f>
        <v>3000</v>
      </c>
      <c r="AY19" s="63">
        <f>AK19+'2月工资表'!AY19</f>
        <v>3000</v>
      </c>
      <c r="AZ19" s="63">
        <f>AL19+'2月工资表'!AZ19</f>
        <v>0</v>
      </c>
      <c r="BA19" s="63">
        <f>AM19+'2月工资表'!BA19</f>
        <v>0</v>
      </c>
      <c r="BB19" s="63">
        <f>AN19+'2月工资表'!BB19</f>
        <v>0</v>
      </c>
      <c r="BC19" s="63">
        <f t="shared" si="10"/>
        <v>29651.990000000005</v>
      </c>
      <c r="BD19" s="63">
        <f>ROUND(IF(BC19="","",MAX(0,BC19*{3;10;20;25;30;35;45}%-{0;2520;16920;31920;52920;85920;181920})),2)</f>
        <v>889.56</v>
      </c>
      <c r="BE19" s="63">
        <f>'2月工资表'!BD19</f>
        <v>584.76</v>
      </c>
      <c r="BF19" s="63">
        <f t="shared" si="11"/>
        <v>304.79999999999995</v>
      </c>
      <c r="BG19" s="36">
        <f t="shared" si="12"/>
        <v>16855.060000000001</v>
      </c>
      <c r="BH19" s="14"/>
      <c r="BI19" s="65"/>
    </row>
    <row r="20" spans="1:61" ht="20.149999999999999" customHeight="1" x14ac:dyDescent="0.25">
      <c r="A20" s="77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0"/>
        <v>8500</v>
      </c>
      <c r="O20" s="28">
        <v>22</v>
      </c>
      <c r="P20" s="28">
        <v>22</v>
      </c>
      <c r="Q20" s="36">
        <f t="shared" si="13"/>
        <v>0</v>
      </c>
      <c r="R20" s="36">
        <f t="shared" si="14"/>
        <v>0</v>
      </c>
      <c r="S20" s="36"/>
      <c r="T20" s="36">
        <f t="shared" si="16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2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3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4"/>
        <v>550</v>
      </c>
      <c r="AJ20" s="28"/>
      <c r="AK20" s="28"/>
      <c r="AL20" s="28"/>
      <c r="AM20" s="28"/>
      <c r="AN20" s="28"/>
      <c r="AO20" s="36">
        <v>5000</v>
      </c>
      <c r="AP20" s="63">
        <f t="shared" si="5"/>
        <v>8500</v>
      </c>
      <c r="AQ20" s="63">
        <f t="shared" si="6"/>
        <v>440</v>
      </c>
      <c r="AR20" s="63">
        <f t="shared" si="7"/>
        <v>114.14</v>
      </c>
      <c r="AS20" s="63">
        <f t="shared" si="8"/>
        <v>11</v>
      </c>
      <c r="AT20" s="63">
        <f t="shared" si="9"/>
        <v>275</v>
      </c>
      <c r="AU20" s="63">
        <f>$AP20+'2月工资表'!$AU20</f>
        <v>25500</v>
      </c>
      <c r="AV20" s="63">
        <f>$AO20+'2月工资表'!$AV20</f>
        <v>15000</v>
      </c>
      <c r="AW20" s="63">
        <f>AQ20+AR20+AS20+AT20+'2月工资表'!AW20</f>
        <v>2520.42</v>
      </c>
      <c r="AX20" s="63">
        <f>AJ20+'2月工资表'!AX20</f>
        <v>0</v>
      </c>
      <c r="AY20" s="63">
        <f>AK20+'2月工资表'!AY20</f>
        <v>0</v>
      </c>
      <c r="AZ20" s="63">
        <f>AL20+'2月工资表'!AZ20</f>
        <v>0</v>
      </c>
      <c r="BA20" s="63">
        <f>AM20+'2月工资表'!BA20</f>
        <v>0</v>
      </c>
      <c r="BB20" s="63">
        <f>AN20+'2月工资表'!BB20</f>
        <v>0</v>
      </c>
      <c r="BC20" s="63">
        <f t="shared" si="10"/>
        <v>7979.58</v>
      </c>
      <c r="BD20" s="63">
        <f>ROUND(IF(BC20="","",MAX(0,BC20*{3;10;20;25;30;35;45}%-{0;2520;16920;31920;52920;85920;181920})),2)</f>
        <v>239.39</v>
      </c>
      <c r="BE20" s="63">
        <f>'2月工资表'!BD20</f>
        <v>159.59</v>
      </c>
      <c r="BF20" s="63">
        <f t="shared" si="11"/>
        <v>79.799999999999983</v>
      </c>
      <c r="BG20" s="36">
        <f t="shared" si="12"/>
        <v>7580.0599999999995</v>
      </c>
      <c r="BH20" s="14"/>
      <c r="BI20" s="65"/>
    </row>
    <row r="21" spans="1:61" ht="20.149999999999999" customHeight="1" x14ac:dyDescent="0.25">
      <c r="A21" s="77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0"/>
        <v>25000</v>
      </c>
      <c r="O21" s="28">
        <v>22</v>
      </c>
      <c r="P21" s="28">
        <v>22</v>
      </c>
      <c r="Q21" s="36">
        <f t="shared" si="13"/>
        <v>0</v>
      </c>
      <c r="R21" s="36">
        <f t="shared" si="14"/>
        <v>0</v>
      </c>
      <c r="S21" s="36"/>
      <c r="T21" s="36">
        <f t="shared" si="16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2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3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4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5"/>
        <v>25000</v>
      </c>
      <c r="AQ21" s="63">
        <f t="shared" si="6"/>
        <v>640</v>
      </c>
      <c r="AR21" s="63">
        <f t="shared" si="7"/>
        <v>163</v>
      </c>
      <c r="AS21" s="63">
        <f t="shared" si="8"/>
        <v>16</v>
      </c>
      <c r="AT21" s="63">
        <f t="shared" si="9"/>
        <v>400</v>
      </c>
      <c r="AU21" s="63">
        <f>$AP21+'2月工资表'!$AU21</f>
        <v>75000</v>
      </c>
      <c r="AV21" s="63">
        <f>$AO21+'2月工资表'!$AV21</f>
        <v>15000</v>
      </c>
      <c r="AW21" s="63">
        <f>AQ21+AR21+AS21+AT21+'2月工资表'!AW21</f>
        <v>3657</v>
      </c>
      <c r="AX21" s="63">
        <f>AJ21+'2月工资表'!AX21</f>
        <v>0</v>
      </c>
      <c r="AY21" s="63">
        <f>AK21+'2月工资表'!AY21</f>
        <v>0</v>
      </c>
      <c r="AZ21" s="63">
        <f>AL21+'2月工资表'!AZ21</f>
        <v>0</v>
      </c>
      <c r="BA21" s="63">
        <f>AM21+'2月工资表'!BA21</f>
        <v>3000</v>
      </c>
      <c r="BB21" s="63">
        <f>AN21+'2月工资表'!BB21</f>
        <v>0</v>
      </c>
      <c r="BC21" s="63">
        <f t="shared" si="10"/>
        <v>53343</v>
      </c>
      <c r="BD21" s="63">
        <f>ROUND(IF(BC21="","",MAX(0,BC21*{3;10;20;25;30;35;45}%-{0;2520;16920;31920;52920;85920;181920})),2)</f>
        <v>2814.3</v>
      </c>
      <c r="BE21" s="63">
        <f>'2月工资表'!BD21</f>
        <v>1066.8599999999999</v>
      </c>
      <c r="BF21" s="63">
        <f t="shared" si="11"/>
        <v>1747.4400000000003</v>
      </c>
      <c r="BG21" s="36">
        <f t="shared" si="12"/>
        <v>22033.56</v>
      </c>
      <c r="BH21" s="14"/>
      <c r="BI21" s="65"/>
    </row>
    <row r="22" spans="1:61" ht="20.149999999999999" customHeight="1" x14ac:dyDescent="0.25">
      <c r="A22" s="77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0"/>
        <v>0</v>
      </c>
      <c r="O22" s="28"/>
      <c r="P22" s="28"/>
      <c r="Q22" s="36">
        <f t="shared" si="13"/>
        <v>0</v>
      </c>
      <c r="R22" s="36">
        <f t="shared" si="14"/>
        <v>0</v>
      </c>
      <c r="S22" s="36"/>
      <c r="T22" s="36">
        <f t="shared" si="16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2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3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4"/>
        <v>0</v>
      </c>
      <c r="AJ22" s="28"/>
      <c r="AK22" s="28"/>
      <c r="AL22" s="28"/>
      <c r="AM22" s="28"/>
      <c r="AN22" s="28"/>
      <c r="AO22" s="36"/>
      <c r="AP22" s="63">
        <f t="shared" si="5"/>
        <v>0</v>
      </c>
      <c r="AQ22" s="63">
        <f t="shared" si="6"/>
        <v>0</v>
      </c>
      <c r="AR22" s="63">
        <f t="shared" si="7"/>
        <v>0</v>
      </c>
      <c r="AS22" s="63">
        <f t="shared" si="8"/>
        <v>0</v>
      </c>
      <c r="AT22" s="63">
        <f t="shared" si="9"/>
        <v>0</v>
      </c>
      <c r="AU22" s="63">
        <f>$AP22</f>
        <v>0</v>
      </c>
      <c r="AV22" s="63"/>
      <c r="AW22" s="63">
        <f>AQ22+AR22+AS22+AT22</f>
        <v>0</v>
      </c>
      <c r="AX22" s="63">
        <f>AJ22</f>
        <v>0</v>
      </c>
      <c r="AY22" s="63">
        <f t="shared" ref="AY22:AY23" si="17">AK22</f>
        <v>0</v>
      </c>
      <c r="AZ22" s="63">
        <f>AL22+'1月工资表'!AZ22</f>
        <v>0</v>
      </c>
      <c r="BA22" s="63">
        <f>AM22+'1月工资表'!BA22</f>
        <v>0</v>
      </c>
      <c r="BB22" s="63">
        <f>AN22+'1月工资表'!BB22</f>
        <v>0</v>
      </c>
      <c r="BC22" s="63">
        <f t="shared" si="10"/>
        <v>0</v>
      </c>
      <c r="BD22" s="63">
        <f>IF(BC22="","",MAX(0,BC22*{3;10;20;25;30;35;45}%-{0;2520;16920;31920;52920;85920;181920}))</f>
        <v>0</v>
      </c>
      <c r="BE22" s="63"/>
      <c r="BF22" s="63">
        <f t="shared" si="11"/>
        <v>0</v>
      </c>
      <c r="BG22" s="36">
        <f t="shared" si="12"/>
        <v>0</v>
      </c>
      <c r="BH22" s="14"/>
      <c r="BI22" s="65"/>
    </row>
    <row r="23" spans="1:61" ht="20.149999999999999" customHeight="1" x14ac:dyDescent="0.25">
      <c r="A23" s="77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0"/>
        <v>0</v>
      </c>
      <c r="O23" s="28"/>
      <c r="P23" s="28"/>
      <c r="Q23" s="36">
        <f t="shared" si="13"/>
        <v>0</v>
      </c>
      <c r="R23" s="36">
        <f t="shared" si="14"/>
        <v>0</v>
      </c>
      <c r="S23" s="36"/>
      <c r="T23" s="36">
        <f t="shared" si="16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2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3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4"/>
        <v>0</v>
      </c>
      <c r="AJ23" s="28"/>
      <c r="AK23" s="28"/>
      <c r="AL23" s="28"/>
      <c r="AM23" s="28"/>
      <c r="AN23" s="28"/>
      <c r="AO23" s="36"/>
      <c r="AP23" s="63">
        <f t="shared" si="5"/>
        <v>0</v>
      </c>
      <c r="AQ23" s="63">
        <f t="shared" si="6"/>
        <v>0</v>
      </c>
      <c r="AR23" s="63">
        <f t="shared" si="7"/>
        <v>0</v>
      </c>
      <c r="AS23" s="63">
        <f t="shared" si="8"/>
        <v>0</v>
      </c>
      <c r="AT23" s="63">
        <f t="shared" si="9"/>
        <v>0</v>
      </c>
      <c r="AU23" s="63">
        <f>$AP23</f>
        <v>0</v>
      </c>
      <c r="AV23" s="63"/>
      <c r="AW23" s="63">
        <f>AQ23+AR23+AS23+AT23</f>
        <v>0</v>
      </c>
      <c r="AX23" s="63">
        <f>AJ23</f>
        <v>0</v>
      </c>
      <c r="AY23" s="63">
        <f t="shared" si="17"/>
        <v>0</v>
      </c>
      <c r="AZ23" s="63">
        <f>AL23+'1月工资表'!AZ23</f>
        <v>0</v>
      </c>
      <c r="BA23" s="63">
        <f>AM23+'1月工资表'!BA23</f>
        <v>0</v>
      </c>
      <c r="BB23" s="63">
        <f>AN23+'1月工资表'!BB23</f>
        <v>0</v>
      </c>
      <c r="BC23" s="63">
        <f t="shared" si="10"/>
        <v>0</v>
      </c>
      <c r="BD23" s="63">
        <f>IF(BC23="","",MAX(0,BC23*{3;10;20;25;30;35;45}%-{0;2520;16920;31920;52920;85920;181920}))</f>
        <v>0</v>
      </c>
      <c r="BE23" s="63"/>
      <c r="BF23" s="63">
        <f t="shared" si="11"/>
        <v>0</v>
      </c>
      <c r="BG23" s="36">
        <f t="shared" si="12"/>
        <v>0</v>
      </c>
      <c r="BH23" s="14"/>
      <c r="BI23" s="65"/>
    </row>
    <row r="24" spans="1:61" s="42" customFormat="1" ht="20.149999999999999" customHeight="1" x14ac:dyDescent="0.25">
      <c r="A24" s="78" t="s">
        <v>105</v>
      </c>
      <c r="G24" s="42">
        <f t="shared" ref="G24:N24" si="18">SUM(G5:G23)</f>
        <v>73600</v>
      </c>
      <c r="H24" s="42">
        <f t="shared" si="18"/>
        <v>21800</v>
      </c>
      <c r="I24" s="42">
        <f t="shared" si="18"/>
        <v>52800</v>
      </c>
      <c r="J24" s="42">
        <f t="shared" si="18"/>
        <v>35800</v>
      </c>
      <c r="K24" s="42">
        <f t="shared" si="18"/>
        <v>5000</v>
      </c>
      <c r="L24" s="42">
        <f t="shared" si="18"/>
        <v>37500</v>
      </c>
      <c r="M24" s="42">
        <f t="shared" si="18"/>
        <v>51000</v>
      </c>
      <c r="N24" s="42">
        <f t="shared" si="18"/>
        <v>277500</v>
      </c>
      <c r="Q24" s="42">
        <f t="shared" ref="Q24:T24" si="19">SUM(Q5:Q23)</f>
        <v>7</v>
      </c>
      <c r="R24" s="42">
        <f t="shared" si="19"/>
        <v>3540.23</v>
      </c>
      <c r="T24" s="42">
        <f t="shared" si="19"/>
        <v>182859.77000000002</v>
      </c>
      <c r="V24" s="42">
        <f t="shared" ref="V24:AE24" si="20">SUM(V5:V23)</f>
        <v>17392</v>
      </c>
      <c r="W24" s="42">
        <f t="shared" si="20"/>
        <v>908</v>
      </c>
      <c r="X24" s="42">
        <f t="shared" si="20"/>
        <v>227</v>
      </c>
      <c r="Y24" s="42">
        <f t="shared" si="20"/>
        <v>11529.900000000001</v>
      </c>
      <c r="Z24" s="42">
        <f t="shared" si="20"/>
        <v>922.42000000000019</v>
      </c>
      <c r="AA24" s="42">
        <f t="shared" si="20"/>
        <v>30979.32</v>
      </c>
      <c r="AB24" s="42">
        <f t="shared" si="20"/>
        <v>9080</v>
      </c>
      <c r="AC24" s="42">
        <f t="shared" si="20"/>
        <v>135</v>
      </c>
      <c r="AD24" s="42">
        <f t="shared" si="20"/>
        <v>2356.98</v>
      </c>
      <c r="AE24" s="42">
        <f t="shared" si="20"/>
        <v>11571.979999999998</v>
      </c>
      <c r="AG24" s="42">
        <f t="shared" ref="AG24:AI24" si="21">SUM(AG5:AG23)</f>
        <v>5675</v>
      </c>
      <c r="AH24" s="42">
        <f t="shared" si="21"/>
        <v>5675</v>
      </c>
      <c r="AI24" s="42">
        <f t="shared" si="21"/>
        <v>11350</v>
      </c>
      <c r="AP24" s="42">
        <f t="shared" ref="AP24:BH24" si="22">SUM(AP5:AP23)</f>
        <v>182859.77000000002</v>
      </c>
      <c r="AQ24" s="42">
        <f t="shared" si="22"/>
        <v>9080</v>
      </c>
      <c r="AR24" s="42">
        <f t="shared" si="22"/>
        <v>2356.98</v>
      </c>
      <c r="AS24" s="42">
        <f t="shared" si="22"/>
        <v>135</v>
      </c>
      <c r="AT24" s="42">
        <f t="shared" si="22"/>
        <v>5675</v>
      </c>
      <c r="AU24" s="42">
        <f t="shared" si="22"/>
        <v>641012.06999999995</v>
      </c>
      <c r="AV24" s="42">
        <f t="shared" si="22"/>
        <v>255000</v>
      </c>
      <c r="AW24" s="42">
        <f t="shared" si="22"/>
        <v>51740.939999999995</v>
      </c>
      <c r="AX24" s="42">
        <f t="shared" si="22"/>
        <v>12000</v>
      </c>
      <c r="AY24" s="42">
        <f t="shared" si="22"/>
        <v>30000</v>
      </c>
      <c r="AZ24" s="42">
        <f t="shared" si="22"/>
        <v>1200</v>
      </c>
      <c r="BA24" s="42">
        <f t="shared" si="22"/>
        <v>9000</v>
      </c>
      <c r="BB24" s="42">
        <f t="shared" si="22"/>
        <v>4500</v>
      </c>
      <c r="BC24" s="42">
        <f t="shared" si="22"/>
        <v>277571.13</v>
      </c>
      <c r="BD24" s="42">
        <f t="shared" si="22"/>
        <v>11600.86</v>
      </c>
      <c r="BE24" s="42">
        <f t="shared" si="22"/>
        <v>6628.5899999999992</v>
      </c>
      <c r="BF24" s="42">
        <f t="shared" si="22"/>
        <v>5263.3400000000011</v>
      </c>
      <c r="BG24" s="42">
        <f t="shared" si="22"/>
        <v>160349.45000000001</v>
      </c>
      <c r="BH24" s="42">
        <f t="shared" si="22"/>
        <v>39000</v>
      </c>
      <c r="BI24" s="42">
        <f>SUM(BI5:BI23)</f>
        <v>69907.859999999986</v>
      </c>
    </row>
    <row r="25" spans="1:61" ht="20.149999999999999" customHeight="1" x14ac:dyDescent="0.25">
      <c r="B25" s="51" t="s">
        <v>106</v>
      </c>
      <c r="C25" s="52">
        <f>AA24+AE24</f>
        <v>42551.299999999996</v>
      </c>
    </row>
    <row r="26" spans="1:61" ht="20.149999999999999" customHeight="1" x14ac:dyDescent="0.25">
      <c r="B26" s="51" t="s">
        <v>107</v>
      </c>
      <c r="C26" s="52">
        <f>AI24</f>
        <v>11350</v>
      </c>
    </row>
    <row r="27" spans="1:61" ht="20.149999999999999" customHeight="1" x14ac:dyDescent="0.25">
      <c r="B27" s="51" t="s">
        <v>108</v>
      </c>
      <c r="C27" s="52">
        <f>T24+AA24+AG24</f>
        <v>219514.09000000003</v>
      </c>
    </row>
  </sheetData>
  <mergeCells count="38">
    <mergeCell ref="BF2:BF4"/>
    <mergeCell ref="BG2:BG4"/>
    <mergeCell ref="BH2:BH4"/>
    <mergeCell ref="BI2:BI4"/>
    <mergeCell ref="O2:R3"/>
    <mergeCell ref="AJ2:AN3"/>
    <mergeCell ref="AX2:BB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  <mergeCell ref="AU2:AU4"/>
    <mergeCell ref="L2:L4"/>
    <mergeCell ref="M2:M4"/>
    <mergeCell ref="N2:N4"/>
    <mergeCell ref="S2:S4"/>
    <mergeCell ref="T2:T4"/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honeticPr fontId="21" type="noConversion"/>
  <dataValidations count="1">
    <dataValidation type="list" allowBlank="1" showInputMessage="1" showErrorMessage="1" sqref="E5:E23" xr:uid="{00000000-0002-0000-0200-000000000000}">
      <formula1>"城镇,农村"</formula1>
    </dataValidation>
  </dataValidations>
  <pageMargins left="0.75" right="0.75" top="1" bottom="1" header="0.5" footer="0.5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7"/>
  <sheetViews>
    <sheetView workbookViewId="0">
      <selection activeCell="L51" sqref="L51:M51"/>
    </sheetView>
  </sheetViews>
  <sheetFormatPr defaultColWidth="9" defaultRowHeight="20.149999999999999" customHeight="1" x14ac:dyDescent="0.25"/>
  <cols>
    <col min="1" max="1" width="4.7265625" style="16" customWidth="1"/>
    <col min="2" max="2" width="4.7265625" style="17" customWidth="1"/>
    <col min="3" max="3" width="6.36328125" style="16" customWidth="1"/>
    <col min="4" max="4" width="9" style="18" customWidth="1"/>
    <col min="5" max="5" width="9.453125" style="18" customWidth="1"/>
    <col min="6" max="6" width="9.6328125" style="18" customWidth="1"/>
    <col min="7" max="7" width="9.36328125" style="18" customWidth="1"/>
    <col min="8" max="8" width="9.26953125" style="18" customWidth="1"/>
    <col min="9" max="9" width="10.08984375" style="18" customWidth="1"/>
    <col min="10" max="10" width="9.08984375" style="18" customWidth="1"/>
    <col min="11" max="11" width="10.7265625" style="18" customWidth="1"/>
    <col min="12" max="12" width="6.36328125" style="19" customWidth="1"/>
    <col min="13" max="13" width="8" style="19" customWidth="1"/>
    <col min="14" max="14" width="5.90625" style="19" customWidth="1"/>
    <col min="15" max="15" width="9.90625" style="20" customWidth="1"/>
    <col min="16" max="16" width="10.36328125" style="20" customWidth="1"/>
    <col min="17" max="17" width="9.36328125" style="21" customWidth="1"/>
    <col min="18" max="18" width="6.90625" style="21" customWidth="1"/>
    <col min="19" max="19" width="8" style="21" customWidth="1"/>
    <col min="20" max="20" width="5.453125" style="21" customWidth="1"/>
    <col min="21" max="21" width="13.36328125" style="21" customWidth="1"/>
    <col min="22" max="22" width="8.26953125" style="21" customWidth="1"/>
    <col min="23" max="23" width="10.90625" style="21" customWidth="1"/>
    <col min="24" max="16384" width="9" style="16"/>
  </cols>
  <sheetData>
    <row r="1" spans="1:23" ht="20.149999999999999" customHeight="1" x14ac:dyDescent="0.25">
      <c r="A1" s="253" t="s">
        <v>120</v>
      </c>
      <c r="B1" s="254"/>
      <c r="C1" s="254"/>
      <c r="D1" s="254"/>
      <c r="E1" s="254"/>
      <c r="F1" s="254"/>
      <c r="G1" s="254"/>
      <c r="H1" s="254"/>
      <c r="I1" s="254"/>
      <c r="J1" s="254"/>
      <c r="K1" s="254"/>
      <c r="L1" s="254"/>
      <c r="M1" s="254"/>
      <c r="N1" s="254"/>
      <c r="O1" s="254"/>
      <c r="P1" s="254"/>
      <c r="Q1" s="254"/>
      <c r="R1" s="254"/>
      <c r="S1" s="254"/>
      <c r="T1" s="254"/>
      <c r="U1" s="254"/>
      <c r="V1" s="254"/>
      <c r="W1" s="254"/>
    </row>
    <row r="2" spans="1:23" ht="20.149999999999999" customHeight="1" x14ac:dyDescent="0.25">
      <c r="A2" s="22" t="s">
        <v>1</v>
      </c>
      <c r="B2" s="22" t="s">
        <v>2</v>
      </c>
      <c r="C2" s="23" t="s">
        <v>6</v>
      </c>
      <c r="D2" s="24" t="s">
        <v>7</v>
      </c>
      <c r="E2" s="24" t="s">
        <v>8</v>
      </c>
      <c r="F2" s="24" t="s">
        <v>9</v>
      </c>
      <c r="G2" s="24" t="s">
        <v>10</v>
      </c>
      <c r="H2" s="24" t="s">
        <v>11</v>
      </c>
      <c r="I2" s="24" t="s">
        <v>12</v>
      </c>
      <c r="J2" s="24" t="s">
        <v>13</v>
      </c>
      <c r="K2" s="24" t="s">
        <v>14</v>
      </c>
      <c r="L2" s="33" t="s">
        <v>38</v>
      </c>
      <c r="M2" s="33" t="s">
        <v>39</v>
      </c>
      <c r="N2" s="33" t="s">
        <v>40</v>
      </c>
      <c r="O2" s="34" t="s">
        <v>41</v>
      </c>
      <c r="P2" s="35" t="s">
        <v>17</v>
      </c>
      <c r="Q2" s="30" t="s">
        <v>42</v>
      </c>
      <c r="R2" s="30" t="s">
        <v>43</v>
      </c>
      <c r="S2" s="30" t="s">
        <v>45</v>
      </c>
      <c r="T2" s="38" t="s">
        <v>110</v>
      </c>
      <c r="U2" s="38" t="s">
        <v>111</v>
      </c>
      <c r="V2" s="39" t="s">
        <v>112</v>
      </c>
      <c r="W2" s="40" t="s">
        <v>35</v>
      </c>
    </row>
    <row r="3" spans="1:23" ht="20.149999999999999" customHeight="1" x14ac:dyDescent="0.25">
      <c r="A3" s="14">
        <v>1</v>
      </c>
      <c r="B3" s="25" t="s">
        <v>56</v>
      </c>
      <c r="C3" s="14" t="s">
        <v>60</v>
      </c>
      <c r="D3" s="26">
        <v>10000</v>
      </c>
      <c r="E3" s="26">
        <v>5000</v>
      </c>
      <c r="F3" s="26">
        <v>5000</v>
      </c>
      <c r="G3" s="26">
        <v>3000</v>
      </c>
      <c r="H3" s="26">
        <v>2000</v>
      </c>
      <c r="I3" s="26">
        <v>2000</v>
      </c>
      <c r="J3" s="26">
        <v>3000</v>
      </c>
      <c r="K3" s="36">
        <f>SUM(D3:J3)</f>
        <v>30000</v>
      </c>
      <c r="L3" s="28">
        <v>22</v>
      </c>
      <c r="M3" s="28">
        <v>22</v>
      </c>
      <c r="N3" s="36">
        <f>IF(L3="",0,L3-M3)</f>
        <v>0</v>
      </c>
      <c r="O3" s="36">
        <v>19500</v>
      </c>
      <c r="P3" s="36">
        <v>10500</v>
      </c>
      <c r="Q3" s="28">
        <v>480</v>
      </c>
      <c r="R3" s="28">
        <v>12</v>
      </c>
      <c r="S3" s="28">
        <v>123</v>
      </c>
      <c r="T3" s="32">
        <v>300</v>
      </c>
      <c r="U3" s="28">
        <v>1000</v>
      </c>
      <c r="V3" s="28">
        <v>107.55</v>
      </c>
      <c r="W3" s="28">
        <v>9477.4500000000007</v>
      </c>
    </row>
    <row r="5" spans="1:23" ht="20.149999999999999" customHeight="1" x14ac:dyDescent="0.25">
      <c r="A5" s="22" t="s">
        <v>1</v>
      </c>
      <c r="B5" s="22" t="s">
        <v>2</v>
      </c>
      <c r="C5" s="23" t="s">
        <v>6</v>
      </c>
      <c r="D5" s="24" t="s">
        <v>7</v>
      </c>
      <c r="E5" s="24" t="s">
        <v>8</v>
      </c>
      <c r="F5" s="24" t="s">
        <v>9</v>
      </c>
      <c r="G5" s="24" t="s">
        <v>10</v>
      </c>
      <c r="H5" s="24" t="s">
        <v>11</v>
      </c>
      <c r="I5" s="24" t="s">
        <v>12</v>
      </c>
      <c r="J5" s="24" t="s">
        <v>13</v>
      </c>
      <c r="K5" s="24" t="s">
        <v>14</v>
      </c>
      <c r="L5" s="33" t="s">
        <v>38</v>
      </c>
      <c r="M5" s="33" t="s">
        <v>39</v>
      </c>
      <c r="N5" s="33" t="s">
        <v>40</v>
      </c>
      <c r="O5" s="34" t="s">
        <v>41</v>
      </c>
      <c r="P5" s="35" t="s">
        <v>17</v>
      </c>
      <c r="Q5" s="30" t="s">
        <v>42</v>
      </c>
      <c r="R5" s="30" t="s">
        <v>43</v>
      </c>
      <c r="S5" s="30" t="s">
        <v>45</v>
      </c>
      <c r="T5" s="38" t="s">
        <v>110</v>
      </c>
      <c r="U5" s="38" t="s">
        <v>111</v>
      </c>
      <c r="V5" s="39" t="s">
        <v>112</v>
      </c>
      <c r="W5" s="40" t="s">
        <v>35</v>
      </c>
    </row>
    <row r="6" spans="1:23" ht="20.149999999999999" customHeight="1" x14ac:dyDescent="0.25">
      <c r="A6" s="14">
        <v>2</v>
      </c>
      <c r="B6" s="25" t="s">
        <v>56</v>
      </c>
      <c r="C6" s="14" t="s">
        <v>62</v>
      </c>
      <c r="D6" s="26">
        <v>7000</v>
      </c>
      <c r="E6" s="26">
        <v>3000</v>
      </c>
      <c r="F6" s="26">
        <v>3000</v>
      </c>
      <c r="G6" s="26">
        <v>2000</v>
      </c>
      <c r="H6" s="26">
        <v>1000</v>
      </c>
      <c r="I6" s="26">
        <v>1000</v>
      </c>
      <c r="J6" s="26">
        <v>3000</v>
      </c>
      <c r="K6" s="36">
        <f>SUM(D6:J6)</f>
        <v>20000</v>
      </c>
      <c r="L6" s="28">
        <v>22</v>
      </c>
      <c r="M6" s="28">
        <v>22</v>
      </c>
      <c r="N6" s="36">
        <f>IF(L6="",0,L6-M6)</f>
        <v>0</v>
      </c>
      <c r="O6" s="36">
        <v>13000</v>
      </c>
      <c r="P6" s="36">
        <f>K6-O6</f>
        <v>7000</v>
      </c>
      <c r="Q6" s="28">
        <v>472</v>
      </c>
      <c r="R6" s="28">
        <v>11.8</v>
      </c>
      <c r="S6" s="28">
        <v>121</v>
      </c>
      <c r="T6" s="32">
        <v>295</v>
      </c>
      <c r="U6" s="28">
        <v>4000</v>
      </c>
      <c r="V6" s="28"/>
      <c r="W6" s="28">
        <v>6100.2</v>
      </c>
    </row>
    <row r="8" spans="1:23" ht="20.149999999999999" customHeight="1" x14ac:dyDescent="0.25">
      <c r="A8" s="22" t="s">
        <v>1</v>
      </c>
      <c r="B8" s="22" t="s">
        <v>2</v>
      </c>
      <c r="C8" s="23" t="s">
        <v>6</v>
      </c>
      <c r="D8" s="24" t="s">
        <v>7</v>
      </c>
      <c r="E8" s="24" t="s">
        <v>8</v>
      </c>
      <c r="F8" s="24" t="s">
        <v>9</v>
      </c>
      <c r="G8" s="24" t="s">
        <v>10</v>
      </c>
      <c r="H8" s="24" t="s">
        <v>11</v>
      </c>
      <c r="I8" s="24" t="s">
        <v>12</v>
      </c>
      <c r="J8" s="24" t="s">
        <v>13</v>
      </c>
      <c r="K8" s="24" t="s">
        <v>14</v>
      </c>
      <c r="L8" s="33" t="s">
        <v>38</v>
      </c>
      <c r="M8" s="33" t="s">
        <v>39</v>
      </c>
      <c r="N8" s="33" t="s">
        <v>40</v>
      </c>
      <c r="O8" s="34" t="s">
        <v>41</v>
      </c>
      <c r="P8" s="35" t="s">
        <v>17</v>
      </c>
      <c r="Q8" s="30" t="s">
        <v>42</v>
      </c>
      <c r="R8" s="30" t="s">
        <v>43</v>
      </c>
      <c r="S8" s="30" t="s">
        <v>45</v>
      </c>
      <c r="T8" s="38" t="s">
        <v>110</v>
      </c>
      <c r="U8" s="38" t="s">
        <v>111</v>
      </c>
      <c r="V8" s="39" t="s">
        <v>112</v>
      </c>
      <c r="W8" s="40" t="s">
        <v>35</v>
      </c>
    </row>
    <row r="9" spans="1:23" ht="20.149999999999999" customHeight="1" x14ac:dyDescent="0.25">
      <c r="A9" s="14">
        <v>3</v>
      </c>
      <c r="B9" s="25" t="s">
        <v>56</v>
      </c>
      <c r="C9" s="14" t="s">
        <v>64</v>
      </c>
      <c r="D9" s="26">
        <v>7000</v>
      </c>
      <c r="E9" s="26">
        <v>3000</v>
      </c>
      <c r="F9" s="26">
        <v>3000</v>
      </c>
      <c r="G9" s="26">
        <v>2000</v>
      </c>
      <c r="H9" s="26">
        <v>1000</v>
      </c>
      <c r="I9" s="26">
        <v>1000</v>
      </c>
      <c r="J9" s="26">
        <v>3000</v>
      </c>
      <c r="K9" s="36">
        <f>SUM(D9:J9)</f>
        <v>20000</v>
      </c>
      <c r="L9" s="28">
        <v>22</v>
      </c>
      <c r="M9" s="28">
        <v>22</v>
      </c>
      <c r="N9" s="36">
        <f>IF(L9="",0,L9-M9)</f>
        <v>0</v>
      </c>
      <c r="O9" s="36">
        <v>13000</v>
      </c>
      <c r="P9" s="36">
        <f>K9-O9</f>
        <v>7000</v>
      </c>
      <c r="Q9" s="28">
        <v>472</v>
      </c>
      <c r="R9" s="28">
        <v>11.8</v>
      </c>
      <c r="S9" s="28">
        <v>121</v>
      </c>
      <c r="T9" s="32">
        <v>295</v>
      </c>
      <c r="U9" s="28">
        <v>3000</v>
      </c>
      <c r="V9" s="28"/>
      <c r="W9" s="28">
        <v>6100.2</v>
      </c>
    </row>
    <row r="11" spans="1:23" ht="20.149999999999999" customHeight="1" x14ac:dyDescent="0.25">
      <c r="A11" s="22" t="s">
        <v>1</v>
      </c>
      <c r="B11" s="22" t="s">
        <v>2</v>
      </c>
      <c r="C11" s="23" t="s">
        <v>6</v>
      </c>
      <c r="D11" s="24" t="s">
        <v>7</v>
      </c>
      <c r="E11" s="24" t="s">
        <v>8</v>
      </c>
      <c r="F11" s="24" t="s">
        <v>9</v>
      </c>
      <c r="G11" s="24" t="s">
        <v>10</v>
      </c>
      <c r="H11" s="24" t="s">
        <v>11</v>
      </c>
      <c r="I11" s="24" t="s">
        <v>12</v>
      </c>
      <c r="J11" s="24" t="s">
        <v>13</v>
      </c>
      <c r="K11" s="24" t="s">
        <v>14</v>
      </c>
      <c r="L11" s="33" t="s">
        <v>38</v>
      </c>
      <c r="M11" s="33" t="s">
        <v>39</v>
      </c>
      <c r="N11" s="33" t="s">
        <v>40</v>
      </c>
      <c r="O11" s="34" t="s">
        <v>41</v>
      </c>
      <c r="P11" s="35" t="s">
        <v>17</v>
      </c>
      <c r="Q11" s="30" t="s">
        <v>42</v>
      </c>
      <c r="R11" s="30" t="s">
        <v>43</v>
      </c>
      <c r="S11" s="30" t="s">
        <v>45</v>
      </c>
      <c r="T11" s="38" t="s">
        <v>110</v>
      </c>
      <c r="U11" s="38" t="s">
        <v>111</v>
      </c>
      <c r="V11" s="39" t="s">
        <v>112</v>
      </c>
      <c r="W11" s="40" t="s">
        <v>35</v>
      </c>
    </row>
    <row r="12" spans="1:23" ht="20.149999999999999" customHeight="1" x14ac:dyDescent="0.25">
      <c r="A12" s="14">
        <v>4</v>
      </c>
      <c r="B12" s="25" t="s">
        <v>65</v>
      </c>
      <c r="C12" s="14" t="s">
        <v>67</v>
      </c>
      <c r="D12" s="26">
        <v>7000</v>
      </c>
      <c r="E12" s="26">
        <v>3000</v>
      </c>
      <c r="F12" s="26">
        <v>3000</v>
      </c>
      <c r="G12" s="26">
        <v>2000</v>
      </c>
      <c r="H12" s="26">
        <v>1000</v>
      </c>
      <c r="I12" s="26">
        <v>1000</v>
      </c>
      <c r="J12" s="26">
        <v>3000</v>
      </c>
      <c r="K12" s="36">
        <f>SUM(D12:J12)</f>
        <v>20000</v>
      </c>
      <c r="L12" s="28">
        <v>22</v>
      </c>
      <c r="M12" s="28">
        <v>22</v>
      </c>
      <c r="N12" s="28">
        <v>22</v>
      </c>
      <c r="O12" s="36">
        <v>5000</v>
      </c>
      <c r="P12" s="36">
        <f>K12-O12</f>
        <v>15000</v>
      </c>
      <c r="Q12" s="28">
        <v>408</v>
      </c>
      <c r="R12" s="28">
        <v>10.199999999999999</v>
      </c>
      <c r="S12" s="28">
        <v>114.14</v>
      </c>
      <c r="T12" s="32">
        <v>255</v>
      </c>
      <c r="U12" s="28">
        <v>3000</v>
      </c>
      <c r="V12" s="28">
        <v>186.38</v>
      </c>
      <c r="W12" s="28">
        <v>14026.28</v>
      </c>
    </row>
    <row r="14" spans="1:23" ht="20.149999999999999" customHeight="1" x14ac:dyDescent="0.25">
      <c r="A14" s="22" t="s">
        <v>1</v>
      </c>
      <c r="B14" s="22" t="s">
        <v>2</v>
      </c>
      <c r="C14" s="23" t="s">
        <v>6</v>
      </c>
      <c r="D14" s="24" t="s">
        <v>7</v>
      </c>
      <c r="E14" s="24" t="s">
        <v>8</v>
      </c>
      <c r="F14" s="24" t="s">
        <v>9</v>
      </c>
      <c r="G14" s="24" t="s">
        <v>10</v>
      </c>
      <c r="H14" s="24" t="s">
        <v>11</v>
      </c>
      <c r="I14" s="24" t="s">
        <v>12</v>
      </c>
      <c r="J14" s="24" t="s">
        <v>13</v>
      </c>
      <c r="K14" s="24" t="s">
        <v>14</v>
      </c>
      <c r="L14" s="33" t="s">
        <v>38</v>
      </c>
      <c r="M14" s="33" t="s">
        <v>39</v>
      </c>
      <c r="N14" s="33" t="s">
        <v>40</v>
      </c>
      <c r="O14" s="34" t="s">
        <v>41</v>
      </c>
      <c r="P14" s="35" t="s">
        <v>17</v>
      </c>
      <c r="Q14" s="30" t="s">
        <v>42</v>
      </c>
      <c r="R14" s="30" t="s">
        <v>43</v>
      </c>
      <c r="S14" s="30" t="s">
        <v>45</v>
      </c>
      <c r="T14" s="38" t="s">
        <v>110</v>
      </c>
      <c r="U14" s="38" t="s">
        <v>111</v>
      </c>
      <c r="V14" s="39" t="s">
        <v>112</v>
      </c>
      <c r="W14" s="40" t="s">
        <v>35</v>
      </c>
    </row>
    <row r="15" spans="1:23" ht="20.149999999999999" customHeight="1" x14ac:dyDescent="0.25">
      <c r="A15" s="14">
        <v>5</v>
      </c>
      <c r="B15" s="25" t="s">
        <v>68</v>
      </c>
      <c r="C15" s="27" t="s">
        <v>70</v>
      </c>
      <c r="D15" s="26">
        <v>2500</v>
      </c>
      <c r="E15" s="26">
        <v>0</v>
      </c>
      <c r="F15" s="26">
        <v>1000</v>
      </c>
      <c r="G15" s="26">
        <v>500</v>
      </c>
      <c r="H15" s="26">
        <v>0</v>
      </c>
      <c r="I15" s="26">
        <v>1000</v>
      </c>
      <c r="J15" s="26">
        <v>3000</v>
      </c>
      <c r="K15" s="36">
        <f>SUM(D15:J15)</f>
        <v>8000</v>
      </c>
      <c r="L15" s="28">
        <v>22</v>
      </c>
      <c r="M15" s="28">
        <v>22</v>
      </c>
      <c r="N15" s="36">
        <f>IF(L15="",0,L15-M15)</f>
        <v>0</v>
      </c>
      <c r="O15" s="36">
        <f>IF(L15="",0,ROUND(K15/21.75*N15,2))</f>
        <v>0</v>
      </c>
      <c r="P15" s="36">
        <f>K15-O15</f>
        <v>8000</v>
      </c>
      <c r="Q15" s="28">
        <v>384</v>
      </c>
      <c r="R15" s="28">
        <v>9.6</v>
      </c>
      <c r="S15" s="28">
        <v>114.14</v>
      </c>
      <c r="T15" s="32">
        <v>240</v>
      </c>
      <c r="U15" s="28">
        <v>3000</v>
      </c>
      <c r="V15" s="28" t="s">
        <v>113</v>
      </c>
      <c r="W15" s="28">
        <v>7252.26</v>
      </c>
    </row>
    <row r="17" spans="1:23" ht="20.149999999999999" customHeight="1" x14ac:dyDescent="0.25">
      <c r="A17" s="22" t="s">
        <v>1</v>
      </c>
      <c r="B17" s="22" t="s">
        <v>2</v>
      </c>
      <c r="C17" s="23" t="s">
        <v>6</v>
      </c>
      <c r="D17" s="24" t="s">
        <v>7</v>
      </c>
      <c r="E17" s="24" t="s">
        <v>8</v>
      </c>
      <c r="F17" s="24" t="s">
        <v>9</v>
      </c>
      <c r="G17" s="24" t="s">
        <v>10</v>
      </c>
      <c r="H17" s="24" t="s">
        <v>11</v>
      </c>
      <c r="I17" s="24" t="s">
        <v>12</v>
      </c>
      <c r="J17" s="24" t="s">
        <v>13</v>
      </c>
      <c r="K17" s="24" t="s">
        <v>14</v>
      </c>
      <c r="L17" s="33" t="s">
        <v>38</v>
      </c>
      <c r="M17" s="33" t="s">
        <v>39</v>
      </c>
      <c r="N17" s="33" t="s">
        <v>40</v>
      </c>
      <c r="O17" s="34" t="s">
        <v>41</v>
      </c>
      <c r="P17" s="35" t="s">
        <v>17</v>
      </c>
      <c r="Q17" s="30" t="s">
        <v>42</v>
      </c>
      <c r="R17" s="30" t="s">
        <v>43</v>
      </c>
      <c r="S17" s="30" t="s">
        <v>45</v>
      </c>
      <c r="T17" s="38" t="s">
        <v>110</v>
      </c>
      <c r="U17" s="38" t="s">
        <v>111</v>
      </c>
      <c r="V17" s="39" t="s">
        <v>112</v>
      </c>
      <c r="W17" s="40" t="s">
        <v>35</v>
      </c>
    </row>
    <row r="18" spans="1:23" ht="20.149999999999999" customHeight="1" x14ac:dyDescent="0.25">
      <c r="A18" s="14">
        <v>6</v>
      </c>
      <c r="B18" s="25" t="s">
        <v>68</v>
      </c>
      <c r="C18" s="27" t="s">
        <v>72</v>
      </c>
      <c r="D18" s="28">
        <v>2200</v>
      </c>
      <c r="E18" s="26">
        <v>0</v>
      </c>
      <c r="F18" s="28">
        <v>800</v>
      </c>
      <c r="G18" s="28">
        <v>1000</v>
      </c>
      <c r="H18" s="26">
        <v>0</v>
      </c>
      <c r="I18" s="26">
        <v>0</v>
      </c>
      <c r="J18" s="28">
        <v>3000</v>
      </c>
      <c r="K18" s="36">
        <f>SUM(D18:J18)</f>
        <v>7000</v>
      </c>
      <c r="L18" s="28">
        <v>22</v>
      </c>
      <c r="M18" s="28">
        <v>22</v>
      </c>
      <c r="N18" s="36">
        <f>IF(L18="",0,L18-M18)</f>
        <v>0</v>
      </c>
      <c r="O18" s="36">
        <f>IF(L18="",0,ROUND(K18/21.75*N18,2))</f>
        <v>0</v>
      </c>
      <c r="P18" s="36">
        <f>K18-O18</f>
        <v>7000</v>
      </c>
      <c r="Q18" s="28">
        <v>448</v>
      </c>
      <c r="R18" s="28">
        <v>11.2</v>
      </c>
      <c r="S18" s="28">
        <v>115</v>
      </c>
      <c r="T18" s="32">
        <v>280</v>
      </c>
      <c r="U18" s="28">
        <v>400</v>
      </c>
      <c r="V18" s="28">
        <v>22.37</v>
      </c>
      <c r="W18" s="28">
        <v>6123.43</v>
      </c>
    </row>
    <row r="20" spans="1:23" ht="20.149999999999999" customHeight="1" x14ac:dyDescent="0.25">
      <c r="A20" s="22" t="s">
        <v>1</v>
      </c>
      <c r="B20" s="22" t="s">
        <v>2</v>
      </c>
      <c r="C20" s="23" t="s">
        <v>6</v>
      </c>
      <c r="D20" s="24" t="s">
        <v>7</v>
      </c>
      <c r="E20" s="24" t="s">
        <v>8</v>
      </c>
      <c r="F20" s="24" t="s">
        <v>9</v>
      </c>
      <c r="G20" s="24" t="s">
        <v>10</v>
      </c>
      <c r="H20" s="24" t="s">
        <v>11</v>
      </c>
      <c r="I20" s="24" t="s">
        <v>12</v>
      </c>
      <c r="J20" s="24" t="s">
        <v>13</v>
      </c>
      <c r="K20" s="24" t="s">
        <v>14</v>
      </c>
      <c r="L20" s="33" t="s">
        <v>38</v>
      </c>
      <c r="M20" s="33" t="s">
        <v>39</v>
      </c>
      <c r="N20" s="33" t="s">
        <v>40</v>
      </c>
      <c r="O20" s="34" t="s">
        <v>41</v>
      </c>
      <c r="P20" s="35" t="s">
        <v>17</v>
      </c>
      <c r="Q20" s="30" t="s">
        <v>42</v>
      </c>
      <c r="R20" s="30" t="s">
        <v>43</v>
      </c>
      <c r="S20" s="30" t="s">
        <v>45</v>
      </c>
      <c r="T20" s="38" t="s">
        <v>110</v>
      </c>
      <c r="U20" s="38" t="s">
        <v>111</v>
      </c>
      <c r="V20" s="39" t="s">
        <v>112</v>
      </c>
      <c r="W20" s="40" t="s">
        <v>35</v>
      </c>
    </row>
    <row r="21" spans="1:23" ht="20.149999999999999" customHeight="1" x14ac:dyDescent="0.25">
      <c r="A21" s="14">
        <v>7</v>
      </c>
      <c r="B21" s="25" t="s">
        <v>65</v>
      </c>
      <c r="C21" s="27" t="s">
        <v>76</v>
      </c>
      <c r="D21" s="28">
        <v>2500</v>
      </c>
      <c r="E21" s="26">
        <v>0</v>
      </c>
      <c r="F21" s="28">
        <v>1000</v>
      </c>
      <c r="G21" s="28">
        <v>1500</v>
      </c>
      <c r="H21" s="26">
        <v>0</v>
      </c>
      <c r="I21" s="28">
        <v>1000</v>
      </c>
      <c r="J21" s="28">
        <v>3000</v>
      </c>
      <c r="K21" s="36">
        <f>SUM(D21:J21)</f>
        <v>9000</v>
      </c>
      <c r="L21" s="28">
        <v>22</v>
      </c>
      <c r="M21" s="28">
        <v>22</v>
      </c>
      <c r="N21" s="36">
        <f>IF(L21="",0,L21-M21)</f>
        <v>0</v>
      </c>
      <c r="O21" s="36">
        <f>IF(L21="",0,ROUND(K21/21.75*N21,2))</f>
        <v>0</v>
      </c>
      <c r="P21" s="36">
        <f>K21-O21</f>
        <v>9000</v>
      </c>
      <c r="Q21" s="28">
        <v>640</v>
      </c>
      <c r="R21" s="28"/>
      <c r="S21" s="28">
        <v>163</v>
      </c>
      <c r="T21" s="32">
        <v>400</v>
      </c>
      <c r="U21" s="28"/>
      <c r="V21" s="28">
        <v>83.91</v>
      </c>
      <c r="W21" s="28">
        <v>7713.09</v>
      </c>
    </row>
    <row r="23" spans="1:23" ht="20.149999999999999" customHeight="1" x14ac:dyDescent="0.25">
      <c r="A23" s="22" t="s">
        <v>1</v>
      </c>
      <c r="B23" s="22" t="s">
        <v>2</v>
      </c>
      <c r="C23" s="23" t="s">
        <v>6</v>
      </c>
      <c r="D23" s="24" t="s">
        <v>7</v>
      </c>
      <c r="E23" s="24" t="s">
        <v>8</v>
      </c>
      <c r="F23" s="24" t="s">
        <v>9</v>
      </c>
      <c r="G23" s="24" t="s">
        <v>10</v>
      </c>
      <c r="H23" s="24" t="s">
        <v>11</v>
      </c>
      <c r="I23" s="24" t="s">
        <v>12</v>
      </c>
      <c r="J23" s="24" t="s">
        <v>13</v>
      </c>
      <c r="K23" s="24" t="s">
        <v>14</v>
      </c>
      <c r="L23" s="33" t="s">
        <v>38</v>
      </c>
      <c r="M23" s="33" t="s">
        <v>39</v>
      </c>
      <c r="N23" s="33" t="s">
        <v>40</v>
      </c>
      <c r="O23" s="34" t="s">
        <v>41</v>
      </c>
      <c r="P23" s="35" t="s">
        <v>17</v>
      </c>
      <c r="Q23" s="30" t="s">
        <v>42</v>
      </c>
      <c r="R23" s="30" t="s">
        <v>43</v>
      </c>
      <c r="S23" s="30" t="s">
        <v>45</v>
      </c>
      <c r="T23" s="38" t="s">
        <v>110</v>
      </c>
      <c r="U23" s="38" t="s">
        <v>111</v>
      </c>
      <c r="V23" s="39" t="s">
        <v>112</v>
      </c>
      <c r="W23" s="40" t="s">
        <v>35</v>
      </c>
    </row>
    <row r="24" spans="1:23" ht="20.149999999999999" customHeight="1" x14ac:dyDescent="0.25">
      <c r="A24" s="14">
        <v>8</v>
      </c>
      <c r="B24" s="25" t="s">
        <v>65</v>
      </c>
      <c r="C24" s="27" t="s">
        <v>78</v>
      </c>
      <c r="D24" s="26">
        <v>8000</v>
      </c>
      <c r="E24" s="26">
        <v>0</v>
      </c>
      <c r="F24" s="26">
        <v>4000</v>
      </c>
      <c r="G24" s="26">
        <v>3000</v>
      </c>
      <c r="H24" s="26">
        <v>0</v>
      </c>
      <c r="I24" s="26">
        <v>9000</v>
      </c>
      <c r="J24" s="26">
        <v>3000</v>
      </c>
      <c r="K24" s="36">
        <f>SUM(D24:J24)</f>
        <v>27000</v>
      </c>
      <c r="L24" s="28">
        <v>22</v>
      </c>
      <c r="M24" s="28">
        <v>22</v>
      </c>
      <c r="N24" s="36">
        <f>IF(L24="",0,L24-M24)</f>
        <v>0</v>
      </c>
      <c r="O24" s="36">
        <v>6750</v>
      </c>
      <c r="P24" s="36">
        <f>K24-O24</f>
        <v>20250</v>
      </c>
      <c r="Q24" s="28">
        <v>416</v>
      </c>
      <c r="R24" s="28"/>
      <c r="S24" s="28">
        <v>114.14</v>
      </c>
      <c r="T24" s="32">
        <v>260</v>
      </c>
      <c r="U24" s="28"/>
      <c r="V24" s="28">
        <v>1422.87</v>
      </c>
      <c r="W24" s="28">
        <v>18036.990000000002</v>
      </c>
    </row>
    <row r="26" spans="1:23" ht="20.149999999999999" customHeight="1" x14ac:dyDescent="0.25">
      <c r="A26" s="22" t="s">
        <v>1</v>
      </c>
      <c r="B26" s="22" t="s">
        <v>2</v>
      </c>
      <c r="C26" s="23" t="s">
        <v>6</v>
      </c>
      <c r="D26" s="24" t="s">
        <v>7</v>
      </c>
      <c r="E26" s="24" t="s">
        <v>8</v>
      </c>
      <c r="F26" s="24" t="s">
        <v>9</v>
      </c>
      <c r="G26" s="24" t="s">
        <v>10</v>
      </c>
      <c r="H26" s="24" t="s">
        <v>11</v>
      </c>
      <c r="I26" s="24" t="s">
        <v>12</v>
      </c>
      <c r="J26" s="24" t="s">
        <v>13</v>
      </c>
      <c r="K26" s="24" t="s">
        <v>14</v>
      </c>
      <c r="L26" s="33" t="s">
        <v>38</v>
      </c>
      <c r="M26" s="33" t="s">
        <v>39</v>
      </c>
      <c r="N26" s="33" t="s">
        <v>40</v>
      </c>
      <c r="O26" s="34" t="s">
        <v>41</v>
      </c>
      <c r="P26" s="35" t="s">
        <v>17</v>
      </c>
      <c r="Q26" s="30" t="s">
        <v>42</v>
      </c>
      <c r="R26" s="30" t="s">
        <v>43</v>
      </c>
      <c r="S26" s="30" t="s">
        <v>45</v>
      </c>
      <c r="T26" s="38" t="s">
        <v>110</v>
      </c>
      <c r="U26" s="38" t="s">
        <v>111</v>
      </c>
      <c r="V26" s="39" t="s">
        <v>112</v>
      </c>
      <c r="W26" s="40" t="s">
        <v>35</v>
      </c>
    </row>
    <row r="27" spans="1:23" ht="20.149999999999999" customHeight="1" x14ac:dyDescent="0.25">
      <c r="A27" s="14">
        <v>9</v>
      </c>
      <c r="B27" s="25" t="s">
        <v>65</v>
      </c>
      <c r="C27" s="27" t="s">
        <v>80</v>
      </c>
      <c r="D27" s="28">
        <v>2400</v>
      </c>
      <c r="E27" s="28">
        <v>800</v>
      </c>
      <c r="F27" s="28">
        <v>4500</v>
      </c>
      <c r="G27" s="28">
        <v>2300</v>
      </c>
      <c r="H27" s="26">
        <v>0</v>
      </c>
      <c r="I27" s="28">
        <v>3000</v>
      </c>
      <c r="J27" s="28">
        <v>3000</v>
      </c>
      <c r="K27" s="36">
        <f>SUM(D27:J27)</f>
        <v>16000</v>
      </c>
      <c r="L27" s="28">
        <v>22</v>
      </c>
      <c r="M27" s="28">
        <v>22</v>
      </c>
      <c r="N27" s="36">
        <f>IF(L27="",0,L27-M27)</f>
        <v>0</v>
      </c>
      <c r="O27" s="36">
        <f>IF(L27="",0,ROUND(K27/21.75*N27,2))</f>
        <v>0</v>
      </c>
      <c r="P27" s="36">
        <f>K27-O27</f>
        <v>16000</v>
      </c>
      <c r="Q27" s="28">
        <v>1024</v>
      </c>
      <c r="R27" s="28"/>
      <c r="S27" s="28">
        <v>259</v>
      </c>
      <c r="T27" s="32">
        <v>640</v>
      </c>
      <c r="U27" s="28"/>
      <c r="V27" s="28">
        <v>272.31</v>
      </c>
      <c r="W27" s="28">
        <v>13804.69</v>
      </c>
    </row>
    <row r="29" spans="1:23" ht="20.149999999999999" customHeight="1" x14ac:dyDescent="0.25">
      <c r="A29" s="22" t="s">
        <v>1</v>
      </c>
      <c r="B29" s="22" t="s">
        <v>2</v>
      </c>
      <c r="C29" s="23" t="s">
        <v>6</v>
      </c>
      <c r="D29" s="24" t="s">
        <v>7</v>
      </c>
      <c r="E29" s="24" t="s">
        <v>8</v>
      </c>
      <c r="F29" s="24" t="s">
        <v>9</v>
      </c>
      <c r="G29" s="24" t="s">
        <v>10</v>
      </c>
      <c r="H29" s="24" t="s">
        <v>11</v>
      </c>
      <c r="I29" s="24" t="s">
        <v>12</v>
      </c>
      <c r="J29" s="24" t="s">
        <v>13</v>
      </c>
      <c r="K29" s="24" t="s">
        <v>14</v>
      </c>
      <c r="L29" s="33" t="s">
        <v>38</v>
      </c>
      <c r="M29" s="33" t="s">
        <v>39</v>
      </c>
      <c r="N29" s="33" t="s">
        <v>40</v>
      </c>
      <c r="O29" s="34" t="s">
        <v>41</v>
      </c>
      <c r="P29" s="35" t="s">
        <v>17</v>
      </c>
      <c r="Q29" s="30" t="s">
        <v>42</v>
      </c>
      <c r="R29" s="30" t="s">
        <v>43</v>
      </c>
      <c r="S29" s="30" t="s">
        <v>45</v>
      </c>
      <c r="T29" s="38" t="s">
        <v>110</v>
      </c>
      <c r="U29" s="38" t="s">
        <v>111</v>
      </c>
      <c r="V29" s="39" t="s">
        <v>112</v>
      </c>
      <c r="W29" s="40" t="s">
        <v>35</v>
      </c>
    </row>
    <row r="30" spans="1:23" ht="20.149999999999999" customHeight="1" x14ac:dyDescent="0.25">
      <c r="A30" s="14">
        <v>10</v>
      </c>
      <c r="B30" s="25" t="s">
        <v>65</v>
      </c>
      <c r="C30" s="27" t="s">
        <v>83</v>
      </c>
      <c r="D30" s="28">
        <v>3000</v>
      </c>
      <c r="E30" s="28">
        <v>1000</v>
      </c>
      <c r="F30" s="28">
        <v>5000</v>
      </c>
      <c r="G30" s="28">
        <v>3000</v>
      </c>
      <c r="H30" s="26">
        <v>0</v>
      </c>
      <c r="I30" s="28">
        <v>3000</v>
      </c>
      <c r="J30" s="28">
        <v>3000</v>
      </c>
      <c r="K30" s="36">
        <f>SUM(D30:J30)</f>
        <v>18000</v>
      </c>
      <c r="L30" s="28">
        <v>22</v>
      </c>
      <c r="M30" s="28">
        <v>22</v>
      </c>
      <c r="N30" s="36">
        <f>IF(L30="",0,L30-M30)</f>
        <v>0</v>
      </c>
      <c r="O30" s="36">
        <f>IF(L30="",0,ROUND(K30/21.75*N30,2))</f>
        <v>0</v>
      </c>
      <c r="P30" s="36">
        <f>K30-O30</f>
        <v>18000</v>
      </c>
      <c r="Q30" s="28">
        <v>720</v>
      </c>
      <c r="R30" s="28"/>
      <c r="S30" s="28">
        <v>183</v>
      </c>
      <c r="T30" s="32">
        <v>450</v>
      </c>
      <c r="U30" s="28"/>
      <c r="V30" s="28">
        <v>349.41</v>
      </c>
      <c r="W30" s="28">
        <v>16297.59</v>
      </c>
    </row>
    <row r="32" spans="1:23" ht="20.149999999999999" customHeight="1" x14ac:dyDescent="0.25">
      <c r="A32" s="22" t="s">
        <v>1</v>
      </c>
      <c r="B32" s="22" t="s">
        <v>2</v>
      </c>
      <c r="C32" s="23" t="s">
        <v>6</v>
      </c>
      <c r="D32" s="24" t="s">
        <v>7</v>
      </c>
      <c r="E32" s="24" t="s">
        <v>8</v>
      </c>
      <c r="F32" s="24" t="s">
        <v>9</v>
      </c>
      <c r="G32" s="24" t="s">
        <v>10</v>
      </c>
      <c r="H32" s="24" t="s">
        <v>11</v>
      </c>
      <c r="I32" s="24" t="s">
        <v>12</v>
      </c>
      <c r="J32" s="24" t="s">
        <v>13</v>
      </c>
      <c r="K32" s="24" t="s">
        <v>14</v>
      </c>
      <c r="L32" s="33" t="s">
        <v>38</v>
      </c>
      <c r="M32" s="33" t="s">
        <v>39</v>
      </c>
      <c r="N32" s="33" t="s">
        <v>40</v>
      </c>
      <c r="O32" s="34" t="s">
        <v>41</v>
      </c>
      <c r="P32" s="35" t="s">
        <v>17</v>
      </c>
      <c r="Q32" s="30" t="s">
        <v>42</v>
      </c>
      <c r="R32" s="30" t="s">
        <v>43</v>
      </c>
      <c r="S32" s="30" t="s">
        <v>45</v>
      </c>
      <c r="T32" s="38" t="s">
        <v>110</v>
      </c>
      <c r="U32" s="38" t="s">
        <v>111</v>
      </c>
      <c r="V32" s="39" t="s">
        <v>112</v>
      </c>
      <c r="W32" s="40" t="s">
        <v>35</v>
      </c>
    </row>
    <row r="33" spans="1:23" ht="20.149999999999999" customHeight="1" x14ac:dyDescent="0.25">
      <c r="A33" s="14">
        <v>11</v>
      </c>
      <c r="B33" s="25" t="s">
        <v>84</v>
      </c>
      <c r="C33" s="27" t="s">
        <v>86</v>
      </c>
      <c r="D33" s="28">
        <v>2500</v>
      </c>
      <c r="E33" s="28">
        <v>1000</v>
      </c>
      <c r="F33" s="28">
        <v>2000</v>
      </c>
      <c r="G33" s="28">
        <v>1500</v>
      </c>
      <c r="H33" s="26">
        <v>0</v>
      </c>
      <c r="I33" s="28">
        <v>1000</v>
      </c>
      <c r="J33" s="28">
        <v>3000</v>
      </c>
      <c r="K33" s="36">
        <f>SUM(D33:J33)</f>
        <v>11000</v>
      </c>
      <c r="L33" s="28">
        <v>22</v>
      </c>
      <c r="M33" s="28">
        <v>15</v>
      </c>
      <c r="N33" s="36">
        <f>IF(L33="",0,L33-M33)</f>
        <v>7</v>
      </c>
      <c r="O33" s="36">
        <f>IF(L33="",0,ROUND(K33/21.75*N33,2))</f>
        <v>3540.23</v>
      </c>
      <c r="P33" s="36">
        <f>K33-O33</f>
        <v>7459.77</v>
      </c>
      <c r="Q33" s="28">
        <v>704</v>
      </c>
      <c r="R33" s="28">
        <v>17.600000000000001</v>
      </c>
      <c r="S33" s="28">
        <v>179</v>
      </c>
      <c r="T33" s="32">
        <v>440</v>
      </c>
      <c r="U33" s="28"/>
      <c r="V33" s="28">
        <v>33.57</v>
      </c>
      <c r="W33" s="28">
        <v>6085.6</v>
      </c>
    </row>
    <row r="35" spans="1:23" ht="20.149999999999999" customHeight="1" x14ac:dyDescent="0.25">
      <c r="A35" s="22" t="s">
        <v>1</v>
      </c>
      <c r="B35" s="22" t="s">
        <v>2</v>
      </c>
      <c r="C35" s="23" t="s">
        <v>6</v>
      </c>
      <c r="D35" s="24" t="s">
        <v>7</v>
      </c>
      <c r="E35" s="24" t="s">
        <v>8</v>
      </c>
      <c r="F35" s="24" t="s">
        <v>9</v>
      </c>
      <c r="G35" s="24" t="s">
        <v>10</v>
      </c>
      <c r="H35" s="24" t="s">
        <v>11</v>
      </c>
      <c r="I35" s="24" t="s">
        <v>12</v>
      </c>
      <c r="J35" s="24" t="s">
        <v>13</v>
      </c>
      <c r="K35" s="24" t="s">
        <v>14</v>
      </c>
      <c r="L35" s="33" t="s">
        <v>38</v>
      </c>
      <c r="M35" s="33" t="s">
        <v>39</v>
      </c>
      <c r="N35" s="33" t="s">
        <v>40</v>
      </c>
      <c r="O35" s="34" t="s">
        <v>41</v>
      </c>
      <c r="P35" s="35" t="s">
        <v>17</v>
      </c>
      <c r="Q35" s="30" t="s">
        <v>42</v>
      </c>
      <c r="R35" s="30" t="s">
        <v>43</v>
      </c>
      <c r="S35" s="30" t="s">
        <v>45</v>
      </c>
      <c r="T35" s="38" t="s">
        <v>110</v>
      </c>
      <c r="U35" s="38" t="s">
        <v>111</v>
      </c>
      <c r="V35" s="39" t="s">
        <v>112</v>
      </c>
      <c r="W35" s="40" t="s">
        <v>35</v>
      </c>
    </row>
    <row r="36" spans="1:23" ht="20.149999999999999" customHeight="1" x14ac:dyDescent="0.25">
      <c r="A36" s="14">
        <v>12</v>
      </c>
      <c r="B36" s="25" t="s">
        <v>87</v>
      </c>
      <c r="C36" s="27" t="s">
        <v>90</v>
      </c>
      <c r="D36" s="28">
        <v>2500</v>
      </c>
      <c r="E36" s="26">
        <v>0</v>
      </c>
      <c r="F36" s="28">
        <v>1000</v>
      </c>
      <c r="G36" s="28">
        <v>1500</v>
      </c>
      <c r="H36" s="26">
        <v>0</v>
      </c>
      <c r="I36" s="26">
        <v>0</v>
      </c>
      <c r="J36" s="28">
        <v>3000</v>
      </c>
      <c r="K36" s="36">
        <f>SUM(D36:J36)</f>
        <v>8000</v>
      </c>
      <c r="L36" s="28">
        <v>22</v>
      </c>
      <c r="M36" s="28">
        <v>22</v>
      </c>
      <c r="N36" s="36">
        <f>IF(L36="",0,L36-M36)</f>
        <v>0</v>
      </c>
      <c r="O36" s="36">
        <f>IF(L36="",0,ROUND(K36/21.75*N36,2))</f>
        <v>0</v>
      </c>
      <c r="P36" s="36">
        <f>K36-O36</f>
        <v>8000</v>
      </c>
      <c r="Q36" s="28">
        <v>512</v>
      </c>
      <c r="R36" s="28">
        <v>12.8</v>
      </c>
      <c r="S36" s="28">
        <v>131</v>
      </c>
      <c r="T36" s="32">
        <v>320</v>
      </c>
      <c r="U36" s="28">
        <v>1500</v>
      </c>
      <c r="V36" s="28">
        <v>15.73</v>
      </c>
      <c r="W36" s="28">
        <v>7008.47</v>
      </c>
    </row>
    <row r="38" spans="1:23" ht="20.149999999999999" customHeight="1" x14ac:dyDescent="0.25">
      <c r="A38" s="22" t="s">
        <v>1</v>
      </c>
      <c r="B38" s="22" t="s">
        <v>2</v>
      </c>
      <c r="C38" s="23" t="s">
        <v>6</v>
      </c>
      <c r="D38" s="24" t="s">
        <v>7</v>
      </c>
      <c r="E38" s="24" t="s">
        <v>8</v>
      </c>
      <c r="F38" s="24" t="s">
        <v>9</v>
      </c>
      <c r="G38" s="24" t="s">
        <v>10</v>
      </c>
      <c r="H38" s="24" t="s">
        <v>11</v>
      </c>
      <c r="I38" s="24" t="s">
        <v>12</v>
      </c>
      <c r="J38" s="24" t="s">
        <v>13</v>
      </c>
      <c r="K38" s="24" t="s">
        <v>14</v>
      </c>
      <c r="L38" s="33" t="s">
        <v>38</v>
      </c>
      <c r="M38" s="33" t="s">
        <v>39</v>
      </c>
      <c r="N38" s="33" t="s">
        <v>40</v>
      </c>
      <c r="O38" s="34" t="s">
        <v>41</v>
      </c>
      <c r="P38" s="35" t="s">
        <v>17</v>
      </c>
      <c r="Q38" s="30" t="s">
        <v>42</v>
      </c>
      <c r="R38" s="30" t="s">
        <v>43</v>
      </c>
      <c r="S38" s="30" t="s">
        <v>45</v>
      </c>
      <c r="T38" s="38" t="s">
        <v>110</v>
      </c>
      <c r="U38" s="38" t="s">
        <v>111</v>
      </c>
      <c r="V38" s="39" t="s">
        <v>112</v>
      </c>
      <c r="W38" s="40" t="s">
        <v>35</v>
      </c>
    </row>
    <row r="39" spans="1:23" ht="20.149999999999999" customHeight="1" x14ac:dyDescent="0.25">
      <c r="A39" s="14">
        <v>13</v>
      </c>
      <c r="B39" s="25" t="s">
        <v>91</v>
      </c>
      <c r="C39" s="29" t="s">
        <v>94</v>
      </c>
      <c r="D39" s="28">
        <v>3000</v>
      </c>
      <c r="E39" s="28">
        <v>1000</v>
      </c>
      <c r="F39" s="28">
        <v>6000</v>
      </c>
      <c r="G39" s="28">
        <v>3000</v>
      </c>
      <c r="H39" s="26">
        <v>0</v>
      </c>
      <c r="I39" s="28">
        <v>4000</v>
      </c>
      <c r="J39" s="28">
        <v>3000</v>
      </c>
      <c r="K39" s="36">
        <f>SUM(D39:J39)</f>
        <v>20000</v>
      </c>
      <c r="L39" s="28">
        <v>22</v>
      </c>
      <c r="M39" s="28">
        <v>22</v>
      </c>
      <c r="N39" s="36">
        <f>IF(L39="",0,L39-M39)</f>
        <v>0</v>
      </c>
      <c r="O39" s="36">
        <f>IF(L39="",0,ROUND(K39/21.75*N39,2))</f>
        <v>0</v>
      </c>
      <c r="P39" s="36">
        <f>K39-O39</f>
        <v>20000</v>
      </c>
      <c r="Q39" s="28">
        <v>440</v>
      </c>
      <c r="R39" s="28"/>
      <c r="S39" s="28">
        <v>114.14</v>
      </c>
      <c r="T39" s="32">
        <v>275</v>
      </c>
      <c r="U39" s="28"/>
      <c r="V39" s="28">
        <v>881.01</v>
      </c>
      <c r="W39" s="28">
        <v>18289.849999999999</v>
      </c>
    </row>
    <row r="41" spans="1:23" ht="20.149999999999999" customHeight="1" x14ac:dyDescent="0.25">
      <c r="A41" s="22" t="s">
        <v>1</v>
      </c>
      <c r="B41" s="22" t="s">
        <v>2</v>
      </c>
      <c r="C41" s="23" t="s">
        <v>6</v>
      </c>
      <c r="D41" s="24" t="s">
        <v>7</v>
      </c>
      <c r="E41" s="24" t="s">
        <v>8</v>
      </c>
      <c r="F41" s="24" t="s">
        <v>9</v>
      </c>
      <c r="G41" s="24" t="s">
        <v>10</v>
      </c>
      <c r="H41" s="24" t="s">
        <v>11</v>
      </c>
      <c r="I41" s="24" t="s">
        <v>12</v>
      </c>
      <c r="J41" s="24" t="s">
        <v>13</v>
      </c>
      <c r="K41" s="24" t="s">
        <v>14</v>
      </c>
      <c r="L41" s="33" t="s">
        <v>38</v>
      </c>
      <c r="M41" s="33" t="s">
        <v>39</v>
      </c>
      <c r="N41" s="33" t="s">
        <v>40</v>
      </c>
      <c r="O41" s="34" t="s">
        <v>41</v>
      </c>
      <c r="P41" s="35" t="s">
        <v>17</v>
      </c>
      <c r="Q41" s="30" t="s">
        <v>42</v>
      </c>
      <c r="R41" s="30" t="s">
        <v>43</v>
      </c>
      <c r="S41" s="30" t="s">
        <v>45</v>
      </c>
      <c r="T41" s="38" t="s">
        <v>110</v>
      </c>
      <c r="U41" s="38" t="s">
        <v>111</v>
      </c>
      <c r="V41" s="39" t="s">
        <v>112</v>
      </c>
      <c r="W41" s="40" t="s">
        <v>35</v>
      </c>
    </row>
    <row r="42" spans="1:23" ht="20.149999999999999" customHeight="1" x14ac:dyDescent="0.25">
      <c r="A42" s="14">
        <v>14</v>
      </c>
      <c r="B42" s="25" t="s">
        <v>68</v>
      </c>
      <c r="C42" s="29" t="s">
        <v>97</v>
      </c>
      <c r="D42" s="28">
        <v>2500</v>
      </c>
      <c r="E42" s="30">
        <v>1000</v>
      </c>
      <c r="F42" s="30">
        <v>2000</v>
      </c>
      <c r="G42" s="30">
        <v>2000</v>
      </c>
      <c r="H42" s="26">
        <v>0</v>
      </c>
      <c r="I42" s="28">
        <v>1500</v>
      </c>
      <c r="J42" s="28">
        <v>3000</v>
      </c>
      <c r="K42" s="36">
        <f>SUM(D42:J42)</f>
        <v>12000</v>
      </c>
      <c r="L42" s="28">
        <v>22</v>
      </c>
      <c r="M42" s="28">
        <v>22</v>
      </c>
      <c r="N42" s="36">
        <f>IF(L42="",0,L42-M42)</f>
        <v>0</v>
      </c>
      <c r="O42" s="36">
        <f>IF(L42="",0,ROUND(K42/21.75*N42,2))</f>
        <v>0</v>
      </c>
      <c r="P42" s="36">
        <f>K42-O42</f>
        <v>12000</v>
      </c>
      <c r="Q42" s="28">
        <v>440</v>
      </c>
      <c r="R42" s="28"/>
      <c r="S42" s="28">
        <v>114.14</v>
      </c>
      <c r="T42" s="32">
        <v>275</v>
      </c>
      <c r="U42" s="28"/>
      <c r="V42" s="28">
        <v>185.12</v>
      </c>
      <c r="W42" s="28">
        <v>10985.74</v>
      </c>
    </row>
    <row r="44" spans="1:23" ht="20.149999999999999" customHeight="1" x14ac:dyDescent="0.25">
      <c r="A44" s="22" t="s">
        <v>1</v>
      </c>
      <c r="B44" s="22" t="s">
        <v>2</v>
      </c>
      <c r="C44" s="23" t="s">
        <v>6</v>
      </c>
      <c r="D44" s="24" t="s">
        <v>7</v>
      </c>
      <c r="E44" s="24" t="s">
        <v>8</v>
      </c>
      <c r="F44" s="24" t="s">
        <v>9</v>
      </c>
      <c r="G44" s="24" t="s">
        <v>10</v>
      </c>
      <c r="H44" s="24" t="s">
        <v>11</v>
      </c>
      <c r="I44" s="24" t="s">
        <v>12</v>
      </c>
      <c r="J44" s="24" t="s">
        <v>13</v>
      </c>
      <c r="K44" s="24" t="s">
        <v>14</v>
      </c>
      <c r="L44" s="33" t="s">
        <v>38</v>
      </c>
      <c r="M44" s="33" t="s">
        <v>39</v>
      </c>
      <c r="N44" s="33" t="s">
        <v>40</v>
      </c>
      <c r="O44" s="34" t="s">
        <v>41</v>
      </c>
      <c r="P44" s="35" t="s">
        <v>17</v>
      </c>
      <c r="Q44" s="30" t="s">
        <v>42</v>
      </c>
      <c r="R44" s="30" t="s">
        <v>43</v>
      </c>
      <c r="S44" s="30" t="s">
        <v>45</v>
      </c>
      <c r="T44" s="38" t="s">
        <v>110</v>
      </c>
      <c r="U44" s="38" t="s">
        <v>111</v>
      </c>
      <c r="V44" s="39" t="s">
        <v>112</v>
      </c>
      <c r="W44" s="40" t="s">
        <v>35</v>
      </c>
    </row>
    <row r="45" spans="1:23" ht="20.149999999999999" customHeight="1" x14ac:dyDescent="0.25">
      <c r="A45" s="14">
        <v>15</v>
      </c>
      <c r="B45" s="25" t="s">
        <v>68</v>
      </c>
      <c r="C45" s="29" t="s">
        <v>99</v>
      </c>
      <c r="D45" s="28">
        <v>3000</v>
      </c>
      <c r="E45" s="30">
        <v>1000</v>
      </c>
      <c r="F45" s="30">
        <v>5000</v>
      </c>
      <c r="G45" s="30">
        <v>3000</v>
      </c>
      <c r="H45" s="26">
        <v>0</v>
      </c>
      <c r="I45" s="28">
        <v>3000</v>
      </c>
      <c r="J45" s="28">
        <v>3000</v>
      </c>
      <c r="K45" s="36">
        <f>SUM(D45:J45)</f>
        <v>18000</v>
      </c>
      <c r="L45" s="28">
        <v>22</v>
      </c>
      <c r="M45" s="28">
        <v>22</v>
      </c>
      <c r="N45" s="36">
        <f>IF(L45="",0,L45-M45)</f>
        <v>0</v>
      </c>
      <c r="O45" s="36">
        <f>IF(L45="",0,ROUND(K45/21.75*N45,2))</f>
        <v>0</v>
      </c>
      <c r="P45" s="36">
        <f>K45-O45</f>
        <v>18000</v>
      </c>
      <c r="Q45" s="28">
        <v>440</v>
      </c>
      <c r="R45" s="28">
        <v>11</v>
      </c>
      <c r="S45" s="28">
        <v>114.14</v>
      </c>
      <c r="T45" s="32">
        <v>275</v>
      </c>
      <c r="U45" s="28">
        <v>2000</v>
      </c>
      <c r="V45" s="28">
        <v>304.8</v>
      </c>
      <c r="W45" s="28">
        <v>16855.060000000001</v>
      </c>
    </row>
    <row r="47" spans="1:23" ht="20.149999999999999" customHeight="1" x14ac:dyDescent="0.25">
      <c r="A47" s="22" t="s">
        <v>1</v>
      </c>
      <c r="B47" s="22" t="s">
        <v>2</v>
      </c>
      <c r="C47" s="23" t="s">
        <v>6</v>
      </c>
      <c r="D47" s="24" t="s">
        <v>7</v>
      </c>
      <c r="E47" s="24" t="s">
        <v>8</v>
      </c>
      <c r="F47" s="24" t="s">
        <v>9</v>
      </c>
      <c r="G47" s="24" t="s">
        <v>10</v>
      </c>
      <c r="H47" s="24" t="s">
        <v>11</v>
      </c>
      <c r="I47" s="24" t="s">
        <v>12</v>
      </c>
      <c r="J47" s="24" t="s">
        <v>13</v>
      </c>
      <c r="K47" s="24" t="s">
        <v>14</v>
      </c>
      <c r="L47" s="33" t="s">
        <v>38</v>
      </c>
      <c r="M47" s="33" t="s">
        <v>39</v>
      </c>
      <c r="N47" s="33" t="s">
        <v>40</v>
      </c>
      <c r="O47" s="34" t="s">
        <v>41</v>
      </c>
      <c r="P47" s="35" t="s">
        <v>17</v>
      </c>
      <c r="Q47" s="30" t="s">
        <v>42</v>
      </c>
      <c r="R47" s="30" t="s">
        <v>43</v>
      </c>
      <c r="S47" s="30" t="s">
        <v>45</v>
      </c>
      <c r="T47" s="38" t="s">
        <v>110</v>
      </c>
      <c r="U47" s="38" t="s">
        <v>111</v>
      </c>
      <c r="V47" s="39" t="s">
        <v>112</v>
      </c>
      <c r="W47" s="40" t="s">
        <v>35</v>
      </c>
    </row>
    <row r="48" spans="1:23" ht="20.149999999999999" customHeight="1" x14ac:dyDescent="0.25">
      <c r="A48" s="14">
        <v>16</v>
      </c>
      <c r="B48" s="25" t="s">
        <v>87</v>
      </c>
      <c r="C48" s="29" t="s">
        <v>101</v>
      </c>
      <c r="D48" s="28">
        <v>2500</v>
      </c>
      <c r="E48" s="26">
        <v>0</v>
      </c>
      <c r="F48" s="28">
        <v>1500</v>
      </c>
      <c r="G48" s="28">
        <v>1500</v>
      </c>
      <c r="H48" s="26">
        <v>0</v>
      </c>
      <c r="I48" s="26">
        <v>0</v>
      </c>
      <c r="J48" s="28">
        <v>3000</v>
      </c>
      <c r="K48" s="36">
        <f>SUM(D48:J48)</f>
        <v>8500</v>
      </c>
      <c r="L48" s="28">
        <v>22</v>
      </c>
      <c r="M48" s="28">
        <v>22</v>
      </c>
      <c r="N48" s="36">
        <f>IF(L48="",0,L48-M48)</f>
        <v>0</v>
      </c>
      <c r="O48" s="36">
        <f>IF(L48="",0,ROUND(K48/21.75*N48,2))</f>
        <v>0</v>
      </c>
      <c r="P48" s="36">
        <f>K48-O48</f>
        <v>8500</v>
      </c>
      <c r="Q48" s="28">
        <v>440</v>
      </c>
      <c r="R48" s="28">
        <v>11</v>
      </c>
      <c r="S48" s="28">
        <v>114.14</v>
      </c>
      <c r="T48" s="32">
        <v>275</v>
      </c>
      <c r="U48" s="28"/>
      <c r="V48" s="28">
        <v>79.8</v>
      </c>
      <c r="W48" s="28">
        <v>7580.06</v>
      </c>
    </row>
    <row r="50" spans="1:23" ht="20.149999999999999" customHeight="1" x14ac:dyDescent="0.25">
      <c r="A50" s="22" t="s">
        <v>1</v>
      </c>
      <c r="B50" s="22" t="s">
        <v>2</v>
      </c>
      <c r="C50" s="23" t="s">
        <v>6</v>
      </c>
      <c r="D50" s="24" t="s">
        <v>7</v>
      </c>
      <c r="E50" s="24" t="s">
        <v>8</v>
      </c>
      <c r="F50" s="24" t="s">
        <v>9</v>
      </c>
      <c r="G50" s="24" t="s">
        <v>10</v>
      </c>
      <c r="H50" s="24" t="s">
        <v>11</v>
      </c>
      <c r="I50" s="24" t="s">
        <v>12</v>
      </c>
      <c r="J50" s="24" t="s">
        <v>13</v>
      </c>
      <c r="K50" s="24" t="s">
        <v>14</v>
      </c>
      <c r="L50" s="33" t="s">
        <v>38</v>
      </c>
      <c r="M50" s="33" t="s">
        <v>39</v>
      </c>
      <c r="N50" s="33" t="s">
        <v>40</v>
      </c>
      <c r="O50" s="34" t="s">
        <v>41</v>
      </c>
      <c r="P50" s="35" t="s">
        <v>17</v>
      </c>
      <c r="Q50" s="30" t="s">
        <v>42</v>
      </c>
      <c r="R50" s="30" t="s">
        <v>43</v>
      </c>
      <c r="S50" s="30" t="s">
        <v>45</v>
      </c>
      <c r="T50" s="38" t="s">
        <v>110</v>
      </c>
      <c r="U50" s="38" t="s">
        <v>111</v>
      </c>
      <c r="V50" s="39" t="s">
        <v>112</v>
      </c>
      <c r="W50" s="40" t="s">
        <v>35</v>
      </c>
    </row>
    <row r="51" spans="1:23" ht="20.149999999999999" customHeight="1" x14ac:dyDescent="0.25">
      <c r="A51" s="14">
        <v>17</v>
      </c>
      <c r="B51" s="25" t="s">
        <v>65</v>
      </c>
      <c r="C51" s="29" t="s">
        <v>104</v>
      </c>
      <c r="D51" s="28">
        <v>6000</v>
      </c>
      <c r="E51" s="31">
        <v>2000</v>
      </c>
      <c r="F51" s="28">
        <v>5000</v>
      </c>
      <c r="G51" s="28">
        <v>3000</v>
      </c>
      <c r="H51" s="26">
        <v>0</v>
      </c>
      <c r="I51" s="28">
        <v>6000</v>
      </c>
      <c r="J51" s="28">
        <v>3000</v>
      </c>
      <c r="K51" s="36">
        <f>SUM(D51:J51)</f>
        <v>25000</v>
      </c>
      <c r="L51" s="28">
        <v>22</v>
      </c>
      <c r="M51" s="28">
        <v>22</v>
      </c>
      <c r="N51" s="36">
        <f>IF(L51="",0,L51-M51)</f>
        <v>0</v>
      </c>
      <c r="O51" s="36">
        <f>IF(L51="",0,ROUND(K51/21.75*N51,2))</f>
        <v>0</v>
      </c>
      <c r="P51" s="36">
        <f>K51-O51</f>
        <v>25000</v>
      </c>
      <c r="Q51" s="28">
        <v>640</v>
      </c>
      <c r="R51" s="28">
        <v>16</v>
      </c>
      <c r="S51" s="28">
        <v>163</v>
      </c>
      <c r="T51" s="32">
        <v>400</v>
      </c>
      <c r="U51" s="28">
        <v>1000</v>
      </c>
      <c r="V51" s="28">
        <v>1747.44</v>
      </c>
      <c r="W51" s="28">
        <v>22033.56</v>
      </c>
    </row>
    <row r="53" spans="1:23" ht="20.149999999999999" customHeight="1" x14ac:dyDescent="0.25">
      <c r="A53" s="22" t="s">
        <v>1</v>
      </c>
      <c r="B53" s="22" t="s">
        <v>2</v>
      </c>
      <c r="C53" s="23" t="s">
        <v>6</v>
      </c>
      <c r="D53" s="24" t="s">
        <v>7</v>
      </c>
      <c r="E53" s="24" t="s">
        <v>8</v>
      </c>
      <c r="F53" s="24" t="s">
        <v>9</v>
      </c>
      <c r="G53" s="24" t="s">
        <v>10</v>
      </c>
      <c r="H53" s="24" t="s">
        <v>11</v>
      </c>
      <c r="I53" s="24" t="s">
        <v>12</v>
      </c>
      <c r="J53" s="24" t="s">
        <v>13</v>
      </c>
      <c r="K53" s="24" t="s">
        <v>14</v>
      </c>
      <c r="L53" s="33" t="s">
        <v>38</v>
      </c>
      <c r="M53" s="33" t="s">
        <v>39</v>
      </c>
      <c r="N53" s="33" t="s">
        <v>40</v>
      </c>
      <c r="O53" s="34" t="s">
        <v>41</v>
      </c>
      <c r="P53" s="35" t="s">
        <v>17</v>
      </c>
      <c r="Q53" s="30" t="s">
        <v>42</v>
      </c>
      <c r="R53" s="30" t="s">
        <v>43</v>
      </c>
      <c r="S53" s="30" t="s">
        <v>45</v>
      </c>
      <c r="T53" s="38" t="s">
        <v>110</v>
      </c>
      <c r="U53" s="38" t="s">
        <v>111</v>
      </c>
      <c r="V53" s="39" t="s">
        <v>112</v>
      </c>
      <c r="W53" s="40" t="s">
        <v>35</v>
      </c>
    </row>
    <row r="54" spans="1:23" ht="20.149999999999999" customHeight="1" x14ac:dyDescent="0.25">
      <c r="A54" s="14">
        <v>18</v>
      </c>
      <c r="B54" s="25"/>
      <c r="C54" s="14"/>
      <c r="D54" s="32"/>
      <c r="E54" s="32"/>
      <c r="F54" s="32"/>
      <c r="G54" s="32"/>
      <c r="H54" s="32"/>
      <c r="I54" s="32"/>
      <c r="J54" s="32"/>
      <c r="K54" s="32" t="s">
        <v>113</v>
      </c>
      <c r="L54" s="37"/>
      <c r="M54" s="37"/>
      <c r="N54" s="37" t="s">
        <v>113</v>
      </c>
      <c r="O54" s="2" t="s">
        <v>113</v>
      </c>
      <c r="P54" s="2" t="s">
        <v>113</v>
      </c>
      <c r="Q54" s="28" t="s">
        <v>113</v>
      </c>
      <c r="R54" s="28" t="s">
        <v>113</v>
      </c>
      <c r="S54" s="28" t="s">
        <v>113</v>
      </c>
      <c r="T54" s="32" t="s">
        <v>113</v>
      </c>
      <c r="U54" s="28"/>
      <c r="V54" s="28" t="s">
        <v>113</v>
      </c>
      <c r="W54" s="28" t="s">
        <v>113</v>
      </c>
    </row>
    <row r="56" spans="1:23" ht="20.149999999999999" customHeight="1" x14ac:dyDescent="0.25">
      <c r="A56" s="22" t="s">
        <v>1</v>
      </c>
      <c r="B56" s="22" t="s">
        <v>2</v>
      </c>
      <c r="C56" s="23" t="s">
        <v>6</v>
      </c>
      <c r="D56" s="24" t="s">
        <v>7</v>
      </c>
      <c r="E56" s="24" t="s">
        <v>8</v>
      </c>
      <c r="F56" s="24" t="s">
        <v>9</v>
      </c>
      <c r="G56" s="24" t="s">
        <v>10</v>
      </c>
      <c r="H56" s="24" t="s">
        <v>11</v>
      </c>
      <c r="I56" s="24" t="s">
        <v>12</v>
      </c>
      <c r="J56" s="24" t="s">
        <v>13</v>
      </c>
      <c r="K56" s="24" t="s">
        <v>14</v>
      </c>
      <c r="L56" s="33" t="s">
        <v>38</v>
      </c>
      <c r="M56" s="33" t="s">
        <v>39</v>
      </c>
      <c r="N56" s="33" t="s">
        <v>40</v>
      </c>
      <c r="O56" s="34" t="s">
        <v>41</v>
      </c>
      <c r="P56" s="35" t="s">
        <v>17</v>
      </c>
      <c r="Q56" s="30" t="s">
        <v>42</v>
      </c>
      <c r="R56" s="30" t="s">
        <v>43</v>
      </c>
      <c r="S56" s="30" t="s">
        <v>45</v>
      </c>
      <c r="T56" s="38" t="s">
        <v>110</v>
      </c>
      <c r="U56" s="38" t="s">
        <v>111</v>
      </c>
      <c r="V56" s="39" t="s">
        <v>112</v>
      </c>
      <c r="W56" s="40" t="s">
        <v>35</v>
      </c>
    </row>
    <row r="57" spans="1:23" ht="20.149999999999999" customHeight="1" x14ac:dyDescent="0.25">
      <c r="A57" s="14">
        <v>19</v>
      </c>
      <c r="B57" s="25"/>
      <c r="C57" s="14"/>
      <c r="D57" s="32"/>
      <c r="E57" s="32"/>
      <c r="F57" s="32"/>
      <c r="G57" s="32"/>
      <c r="H57" s="32"/>
      <c r="I57" s="32"/>
      <c r="J57" s="32"/>
      <c r="K57" s="32" t="s">
        <v>113</v>
      </c>
      <c r="L57" s="37"/>
      <c r="M57" s="37"/>
      <c r="N57" s="37" t="s">
        <v>113</v>
      </c>
      <c r="O57" s="2" t="s">
        <v>113</v>
      </c>
      <c r="P57" s="2" t="s">
        <v>113</v>
      </c>
      <c r="Q57" s="28" t="s">
        <v>113</v>
      </c>
      <c r="R57" s="28" t="s">
        <v>113</v>
      </c>
      <c r="S57" s="28" t="s">
        <v>113</v>
      </c>
      <c r="T57" s="32" t="s">
        <v>113</v>
      </c>
      <c r="U57" s="28"/>
      <c r="V57" s="28" t="s">
        <v>113</v>
      </c>
      <c r="W57" s="28" t="s">
        <v>113</v>
      </c>
    </row>
  </sheetData>
  <mergeCells count="1">
    <mergeCell ref="A1:W1"/>
  </mergeCells>
  <phoneticPr fontId="2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G27"/>
  <sheetViews>
    <sheetView topLeftCell="A16" workbookViewId="0">
      <selection activeCell="S12" sqref="S12"/>
    </sheetView>
  </sheetViews>
  <sheetFormatPr defaultColWidth="9" defaultRowHeight="20.149999999999999" customHeight="1" outlineLevelCol="2" x14ac:dyDescent="0.25"/>
  <cols>
    <col min="1" max="1" width="4.7265625" style="41" customWidth="1"/>
    <col min="2" max="2" width="8.08984375" style="43" hidden="1" customWidth="1" outlineLevel="1"/>
    <col min="3" max="3" width="13.08984375" style="43" hidden="1" customWidth="1" outlineLevel="1"/>
    <col min="4" max="4" width="10.26953125" style="43" hidden="1" customWidth="1" outlineLevel="1"/>
    <col min="5" max="5" width="4.7265625" style="41" hidden="1" customWidth="1" outlineLevel="1"/>
    <col min="6" max="6" width="6.36328125" style="41" customWidth="1" collapsed="1"/>
    <col min="7" max="7" width="8.90625" style="44" customWidth="1" outlineLevel="2"/>
    <col min="8" max="8" width="9.6328125" style="44" customWidth="1" outlineLevel="2"/>
    <col min="9" max="9" width="10" style="44" customWidth="1" outlineLevel="2"/>
    <col min="10" max="10" width="10.6328125" style="44" customWidth="1" outlineLevel="2"/>
    <col min="11" max="11" width="8" style="44" customWidth="1" outlineLevel="2"/>
    <col min="12" max="12" width="9.26953125" style="44" customWidth="1" outlineLevel="2"/>
    <col min="13" max="13" width="9.6328125" style="44" customWidth="1" outlineLevel="2"/>
    <col min="14" max="14" width="10" style="44" customWidth="1" outlineLevel="2"/>
    <col min="15" max="15" width="6.36328125" style="45" customWidth="1" outlineLevel="2"/>
    <col min="16" max="16" width="8" style="45" customWidth="1" outlineLevel="2"/>
    <col min="17" max="17" width="4.7265625" style="45" customWidth="1" outlineLevel="2"/>
    <col min="18" max="19" width="10.453125" style="46" customWidth="1" outlineLevel="2"/>
    <col min="20" max="20" width="10.453125" style="46" customWidth="1" outlineLevel="1"/>
    <col min="21" max="21" width="8" style="46" customWidth="1" outlineLevel="2"/>
    <col min="22" max="22" width="8.7265625" style="42" customWidth="1" outlineLevel="2"/>
    <col min="23" max="23" width="7.453125" style="42" customWidth="1" outlineLevel="2"/>
    <col min="24" max="24" width="6.6328125" style="42" customWidth="1" outlineLevel="2"/>
    <col min="25" max="25" width="9.90625" style="42" customWidth="1" outlineLevel="2"/>
    <col min="26" max="26" width="6.90625" style="42" customWidth="1" outlineLevel="2"/>
    <col min="27" max="27" width="8.90625" style="42" customWidth="1" outlineLevel="1"/>
    <col min="28" max="28" width="8.453125" style="42" customWidth="1" outlineLevel="2"/>
    <col min="29" max="29" width="7.36328125" style="42" customWidth="1" outlineLevel="2"/>
    <col min="30" max="30" width="8.36328125" style="42" customWidth="1" outlineLevel="2"/>
    <col min="31" max="31" width="8.6328125" style="42" customWidth="1" outlineLevel="1"/>
    <col min="32" max="32" width="9" style="44" customWidth="1" outlineLevel="2"/>
    <col min="33" max="33" width="7.7265625" style="42" customWidth="1" outlineLevel="2"/>
    <col min="34" max="34" width="7.453125" style="42" customWidth="1" outlineLevel="2"/>
    <col min="35" max="35" width="9.7265625" style="42" customWidth="1" outlineLevel="1"/>
    <col min="36" max="40" width="8.7265625" style="42" customWidth="1" outlineLevel="1"/>
    <col min="41" max="41" width="11.6328125" style="44" customWidth="1" outlineLevel="1"/>
    <col min="42" max="42" width="9.453125" style="42" customWidth="1"/>
    <col min="43" max="43" width="7.90625" style="42" customWidth="1"/>
    <col min="44" max="44" width="8.36328125" style="42" customWidth="1"/>
    <col min="45" max="45" width="7.26953125" style="42" customWidth="1"/>
    <col min="46" max="46" width="8.7265625" style="42" customWidth="1"/>
    <col min="47" max="47" width="9.7265625" style="42" customWidth="1" outlineLevel="1"/>
    <col min="48" max="49" width="11.36328125" style="42" customWidth="1" outlineLevel="1"/>
    <col min="50" max="54" width="8.7265625" style="42" customWidth="1" outlineLevel="1"/>
    <col min="55" max="55" width="15.36328125" style="42" customWidth="1" outlineLevel="1"/>
    <col min="56" max="57" width="11.7265625" style="42" customWidth="1" outlineLevel="1"/>
    <col min="58" max="58" width="11.7265625" style="42" customWidth="1"/>
    <col min="59" max="59" width="10.08984375" style="42" customWidth="1"/>
    <col min="60" max="60" width="9" style="41"/>
    <col min="61" max="61" width="11.08984375" style="41"/>
    <col min="62" max="16384" width="9" style="41"/>
  </cols>
  <sheetData>
    <row r="1" spans="1:59" ht="20.149999999999999" customHeight="1" x14ac:dyDescent="0.25">
      <c r="A1" s="222" t="s">
        <v>0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  <c r="N1" s="223"/>
      <c r="O1" s="223"/>
      <c r="P1" s="223"/>
      <c r="Q1" s="223"/>
      <c r="R1" s="223"/>
      <c r="S1" s="223"/>
      <c r="T1" s="223"/>
      <c r="U1" s="223"/>
      <c r="V1" s="223"/>
      <c r="W1" s="223"/>
      <c r="X1" s="223"/>
      <c r="Y1" s="223"/>
      <c r="Z1" s="223"/>
      <c r="AA1" s="223"/>
      <c r="AB1" s="223"/>
      <c r="AC1" s="223"/>
      <c r="AD1" s="223"/>
      <c r="AE1" s="223"/>
      <c r="AF1" s="223"/>
      <c r="AG1" s="223"/>
      <c r="AH1" s="223"/>
      <c r="AI1" s="223"/>
      <c r="AJ1" s="223"/>
      <c r="AK1" s="223"/>
      <c r="AL1" s="223"/>
      <c r="AM1" s="223"/>
      <c r="AN1" s="223"/>
      <c r="AO1" s="223"/>
      <c r="AP1" s="223"/>
      <c r="AQ1" s="223"/>
      <c r="AR1" s="223"/>
      <c r="AS1" s="223"/>
      <c r="AT1" s="223"/>
      <c r="AU1" s="223"/>
      <c r="AV1" s="223"/>
      <c r="AW1" s="223"/>
      <c r="AX1" s="223"/>
      <c r="AY1" s="223"/>
      <c r="AZ1" s="223"/>
      <c r="BA1" s="223"/>
      <c r="BB1" s="223"/>
      <c r="BC1" s="223"/>
      <c r="BD1" s="223"/>
      <c r="BE1" s="223"/>
      <c r="BF1" s="223"/>
      <c r="BG1" s="223"/>
    </row>
    <row r="2" spans="1:59" ht="20.149999999999999" customHeight="1" x14ac:dyDescent="0.25">
      <c r="A2" s="225" t="s">
        <v>1</v>
      </c>
      <c r="B2" s="225" t="s">
        <v>2</v>
      </c>
      <c r="C2" s="225" t="s">
        <v>3</v>
      </c>
      <c r="D2" s="226" t="s">
        <v>4</v>
      </c>
      <c r="E2" s="229" t="s">
        <v>5</v>
      </c>
      <c r="F2" s="247" t="s">
        <v>6</v>
      </c>
      <c r="G2" s="236" t="s">
        <v>7</v>
      </c>
      <c r="H2" s="236" t="s">
        <v>8</v>
      </c>
      <c r="I2" s="237" t="s">
        <v>9</v>
      </c>
      <c r="J2" s="237" t="s">
        <v>10</v>
      </c>
      <c r="K2" s="237" t="s">
        <v>11</v>
      </c>
      <c r="L2" s="236" t="s">
        <v>12</v>
      </c>
      <c r="M2" s="236" t="s">
        <v>13</v>
      </c>
      <c r="N2" s="236" t="s">
        <v>14</v>
      </c>
      <c r="O2" s="218" t="s">
        <v>15</v>
      </c>
      <c r="P2" s="219"/>
      <c r="Q2" s="219"/>
      <c r="R2" s="219"/>
      <c r="S2" s="192" t="s">
        <v>16</v>
      </c>
      <c r="T2" s="193" t="s">
        <v>17</v>
      </c>
      <c r="U2" s="193" t="s">
        <v>18</v>
      </c>
      <c r="V2" s="196" t="s">
        <v>19</v>
      </c>
      <c r="W2" s="197"/>
      <c r="X2" s="197"/>
      <c r="Y2" s="197"/>
      <c r="Z2" s="197"/>
      <c r="AA2" s="198"/>
      <c r="AB2" s="199" t="s">
        <v>20</v>
      </c>
      <c r="AC2" s="199"/>
      <c r="AD2" s="199"/>
      <c r="AE2" s="199"/>
      <c r="AF2" s="200" t="s">
        <v>21</v>
      </c>
      <c r="AG2" s="196" t="s">
        <v>22</v>
      </c>
      <c r="AH2" s="197"/>
      <c r="AI2" s="198"/>
      <c r="AJ2" s="203" t="s">
        <v>23</v>
      </c>
      <c r="AK2" s="204"/>
      <c r="AL2" s="204"/>
      <c r="AM2" s="204"/>
      <c r="AN2" s="205"/>
      <c r="AO2" s="209" t="s">
        <v>24</v>
      </c>
      <c r="AP2" s="212" t="s">
        <v>25</v>
      </c>
      <c r="AQ2" s="215" t="s">
        <v>26</v>
      </c>
      <c r="AR2" s="216"/>
      <c r="AS2" s="216"/>
      <c r="AT2" s="217"/>
      <c r="AU2" s="212" t="s">
        <v>27</v>
      </c>
      <c r="AV2" s="212" t="s">
        <v>28</v>
      </c>
      <c r="AW2" s="240" t="s">
        <v>29</v>
      </c>
      <c r="AX2" s="241" t="s">
        <v>30</v>
      </c>
      <c r="AY2" s="242"/>
      <c r="AZ2" s="242"/>
      <c r="BA2" s="242"/>
      <c r="BB2" s="243"/>
      <c r="BC2" s="189" t="s">
        <v>31</v>
      </c>
      <c r="BD2" s="189" t="s">
        <v>32</v>
      </c>
      <c r="BE2" s="189" t="s">
        <v>33</v>
      </c>
      <c r="BF2" s="189" t="s">
        <v>34</v>
      </c>
      <c r="BG2" s="250" t="s">
        <v>35</v>
      </c>
    </row>
    <row r="3" spans="1:59" ht="20.149999999999999" customHeight="1" x14ac:dyDescent="0.25">
      <c r="A3" s="225"/>
      <c r="B3" s="225"/>
      <c r="C3" s="225"/>
      <c r="D3" s="227"/>
      <c r="E3" s="230"/>
      <c r="F3" s="248"/>
      <c r="G3" s="210"/>
      <c r="H3" s="210"/>
      <c r="I3" s="237"/>
      <c r="J3" s="237"/>
      <c r="K3" s="237"/>
      <c r="L3" s="210"/>
      <c r="M3" s="210"/>
      <c r="N3" s="210"/>
      <c r="O3" s="220"/>
      <c r="P3" s="221"/>
      <c r="Q3" s="221"/>
      <c r="R3" s="221"/>
      <c r="S3" s="192"/>
      <c r="T3" s="194"/>
      <c r="U3" s="194"/>
      <c r="V3" s="54">
        <v>0.16</v>
      </c>
      <c r="W3" s="54">
        <v>8.0000000000000002E-3</v>
      </c>
      <c r="X3" s="54">
        <v>2E-3</v>
      </c>
      <c r="Y3" s="54">
        <v>0.1</v>
      </c>
      <c r="Z3" s="54">
        <v>8.0000000000000002E-3</v>
      </c>
      <c r="AA3" s="54">
        <f>SUM(V3:Z3)</f>
        <v>0.27800000000000002</v>
      </c>
      <c r="AB3" s="54">
        <v>0.08</v>
      </c>
      <c r="AC3" s="54">
        <v>2E-3</v>
      </c>
      <c r="AD3" s="54" t="s">
        <v>36</v>
      </c>
      <c r="AE3" s="54" t="s">
        <v>37</v>
      </c>
      <c r="AF3" s="201"/>
      <c r="AG3" s="56">
        <v>0.05</v>
      </c>
      <c r="AH3" s="56">
        <v>0.05</v>
      </c>
      <c r="AI3" s="56">
        <v>0.1</v>
      </c>
      <c r="AJ3" s="206"/>
      <c r="AK3" s="207"/>
      <c r="AL3" s="207"/>
      <c r="AM3" s="207"/>
      <c r="AN3" s="208"/>
      <c r="AO3" s="210"/>
      <c r="AP3" s="213"/>
      <c r="AQ3" s="59">
        <v>0.08</v>
      </c>
      <c r="AR3" s="59" t="s">
        <v>36</v>
      </c>
      <c r="AS3" s="59">
        <v>2E-3</v>
      </c>
      <c r="AT3" s="60">
        <v>0.05</v>
      </c>
      <c r="AU3" s="213"/>
      <c r="AV3" s="213"/>
      <c r="AW3" s="213"/>
      <c r="AX3" s="244"/>
      <c r="AY3" s="245"/>
      <c r="AZ3" s="245"/>
      <c r="BA3" s="245"/>
      <c r="BB3" s="246"/>
      <c r="BC3" s="190"/>
      <c r="BD3" s="190"/>
      <c r="BE3" s="190"/>
      <c r="BF3" s="190"/>
      <c r="BG3" s="251"/>
    </row>
    <row r="4" spans="1:59" ht="20.149999999999999" customHeight="1" x14ac:dyDescent="0.25">
      <c r="A4" s="225"/>
      <c r="B4" s="225"/>
      <c r="C4" s="225"/>
      <c r="D4" s="228"/>
      <c r="E4" s="231"/>
      <c r="F4" s="249"/>
      <c r="G4" s="211"/>
      <c r="H4" s="211"/>
      <c r="I4" s="237"/>
      <c r="J4" s="237"/>
      <c r="K4" s="237"/>
      <c r="L4" s="211"/>
      <c r="M4" s="211"/>
      <c r="N4" s="211"/>
      <c r="O4" s="53" t="s">
        <v>38</v>
      </c>
      <c r="P4" s="53" t="s">
        <v>39</v>
      </c>
      <c r="Q4" s="53" t="s">
        <v>40</v>
      </c>
      <c r="R4" s="55" t="s">
        <v>41</v>
      </c>
      <c r="S4" s="192"/>
      <c r="T4" s="195"/>
      <c r="U4" s="195"/>
      <c r="V4" s="56" t="s">
        <v>42</v>
      </c>
      <c r="W4" s="56" t="s">
        <v>43</v>
      </c>
      <c r="X4" s="56" t="s">
        <v>44</v>
      </c>
      <c r="Y4" s="56" t="s">
        <v>45</v>
      </c>
      <c r="Z4" s="56" t="s">
        <v>46</v>
      </c>
      <c r="AA4" s="56" t="s">
        <v>47</v>
      </c>
      <c r="AB4" s="56" t="s">
        <v>42</v>
      </c>
      <c r="AC4" s="56" t="s">
        <v>43</v>
      </c>
      <c r="AD4" s="56" t="s">
        <v>45</v>
      </c>
      <c r="AE4" s="56" t="s">
        <v>47</v>
      </c>
      <c r="AF4" s="202"/>
      <c r="AG4" s="56" t="s">
        <v>48</v>
      </c>
      <c r="AH4" s="56" t="s">
        <v>49</v>
      </c>
      <c r="AI4" s="56" t="s">
        <v>47</v>
      </c>
      <c r="AJ4" s="57" t="s">
        <v>50</v>
      </c>
      <c r="AK4" s="57" t="s">
        <v>51</v>
      </c>
      <c r="AL4" s="57" t="s">
        <v>52</v>
      </c>
      <c r="AM4" s="57" t="s">
        <v>53</v>
      </c>
      <c r="AN4" s="58" t="s">
        <v>54</v>
      </c>
      <c r="AO4" s="211"/>
      <c r="AP4" s="214"/>
      <c r="AQ4" s="62" t="s">
        <v>42</v>
      </c>
      <c r="AR4" s="62" t="s">
        <v>45</v>
      </c>
      <c r="AS4" s="62" t="s">
        <v>43</v>
      </c>
      <c r="AT4" s="62" t="s">
        <v>22</v>
      </c>
      <c r="AU4" s="214"/>
      <c r="AV4" s="214"/>
      <c r="AW4" s="214"/>
      <c r="AX4" s="61" t="s">
        <v>50</v>
      </c>
      <c r="AY4" s="61" t="s">
        <v>51</v>
      </c>
      <c r="AZ4" s="61" t="s">
        <v>52</v>
      </c>
      <c r="BA4" s="61" t="s">
        <v>53</v>
      </c>
      <c r="BB4" s="64" t="s">
        <v>55</v>
      </c>
      <c r="BC4" s="191"/>
      <c r="BD4" s="191"/>
      <c r="BE4" s="191"/>
      <c r="BF4" s="191"/>
      <c r="BG4" s="252"/>
    </row>
    <row r="5" spans="1:59" ht="20.149999999999999" customHeight="1" x14ac:dyDescent="0.25">
      <c r="A5" s="14">
        <v>1</v>
      </c>
      <c r="B5" s="47" t="s">
        <v>56</v>
      </c>
      <c r="C5" s="47" t="s">
        <v>57</v>
      </c>
      <c r="D5" s="25" t="s">
        <v>58</v>
      </c>
      <c r="E5" s="14" t="s">
        <v>59</v>
      </c>
      <c r="F5" s="27" t="s">
        <v>60</v>
      </c>
      <c r="G5" s="26">
        <v>10000</v>
      </c>
      <c r="H5" s="26">
        <v>5000</v>
      </c>
      <c r="I5" s="26">
        <v>5000</v>
      </c>
      <c r="J5" s="26">
        <v>3000</v>
      </c>
      <c r="K5" s="26">
        <v>2000</v>
      </c>
      <c r="L5" s="26">
        <v>2000</v>
      </c>
      <c r="M5" s="26">
        <v>3000</v>
      </c>
      <c r="N5" s="36">
        <f>SUM(G5:M5)</f>
        <v>30000</v>
      </c>
      <c r="O5" s="28">
        <v>22</v>
      </c>
      <c r="P5" s="28">
        <v>22</v>
      </c>
      <c r="Q5" s="36"/>
      <c r="R5" s="36"/>
      <c r="S5" s="36">
        <v>15000</v>
      </c>
      <c r="T5" s="36">
        <f>N5-R5-S5</f>
        <v>15000</v>
      </c>
      <c r="U5" s="26">
        <v>6000</v>
      </c>
      <c r="V5" s="36">
        <f>IF($U5="",0,ROUND(MAX('1-6月基数信息'!C$5,MIN($U5,'1-6月基数信息'!C$6))*V$3,2))</f>
        <v>960</v>
      </c>
      <c r="W5" s="36">
        <f>IF($U5="",0,ROUND(MAX('1-6月基数信息'!D$5,MIN($U5,'1-6月基数信息'!D$6))*W$3,2))</f>
        <v>48</v>
      </c>
      <c r="X5" s="36">
        <f>IF($U5="",0,ROUND(MAX('1-6月基数信息'!E$5,MIN($U5,'1-6月基数信息'!E$6))*X$3,2))</f>
        <v>12</v>
      </c>
      <c r="Y5" s="36">
        <f>IF($U5="",0,ROUND(MAX('1-6月基数信息'!F$5,MIN($U5,'1-6月基数信息'!F$6))*Y$3,2))</f>
        <v>600</v>
      </c>
      <c r="Z5" s="36">
        <f>IF($U5="",0,ROUND(MAX('1-6月基数信息'!G$5,MIN($U5,'1-6月基数信息'!G$6))*Z$3,2))</f>
        <v>48</v>
      </c>
      <c r="AA5" s="36">
        <f>IF($U5="",0,SUM(V5:Z5))</f>
        <v>1668</v>
      </c>
      <c r="AB5" s="36">
        <f>IF($U5="",0,ROUND(MAX('1-6月基数信息'!I$5,MIN($U5,'1-6月基数信息'!I$6))*AB$3,2))</f>
        <v>480</v>
      </c>
      <c r="AC5" s="36">
        <f>IF($E5="农村",0,IF($U5="",0,ROUND(MAX('1-6月基数信息'!J$5,MIN($U5,'1-6月基数信息'!J$6))*AC$3,2)))</f>
        <v>12</v>
      </c>
      <c r="AD5" s="36">
        <f>IF($U5="",0,ROUND(MAX('1-6月基数信息'!K$5,MIN($U5,'1-6月基数信息'!K$6))*2%+3,2))</f>
        <v>123</v>
      </c>
      <c r="AE5" s="36">
        <f>IF($U5="",0,SUM(AB5:AD5))</f>
        <v>615</v>
      </c>
      <c r="AF5" s="26">
        <v>6000</v>
      </c>
      <c r="AG5" s="36">
        <f>IF($AF5="",0,ROUND(MAX('1-6月基数信息'!M$5,MIN($AF5,'1-6月基数信息'!M$6))*AG$3,0))</f>
        <v>300</v>
      </c>
      <c r="AH5" s="36">
        <f>IF($AF5="",0,ROUND(MAX('1-6月基数信息'!N$5,MIN($AF5,'1-6月基数信息'!N$6))*AH$3,0))</f>
        <v>300</v>
      </c>
      <c r="AI5" s="36">
        <f>IF($AF5="",0,SUM(AG5:AH5))</f>
        <v>600</v>
      </c>
      <c r="AJ5" s="28"/>
      <c r="AK5" s="28">
        <v>1000</v>
      </c>
      <c r="AL5" s="28"/>
      <c r="AM5" s="28"/>
      <c r="AN5" s="28"/>
      <c r="AO5" s="36">
        <v>5000</v>
      </c>
      <c r="AP5" s="63">
        <f>$T5</f>
        <v>15000</v>
      </c>
      <c r="AQ5" s="63">
        <f>$AB5</f>
        <v>480</v>
      </c>
      <c r="AR5" s="63">
        <f>$AD5</f>
        <v>123</v>
      </c>
      <c r="AS5" s="63">
        <f>$AC5</f>
        <v>12</v>
      </c>
      <c r="AT5" s="63">
        <f>$AH5</f>
        <v>300</v>
      </c>
      <c r="AU5" s="63">
        <f>$AP5</f>
        <v>15000</v>
      </c>
      <c r="AV5" s="63">
        <f>$AO5</f>
        <v>5000</v>
      </c>
      <c r="AW5" s="63">
        <f>AQ5+AR5+AS5+AT5</f>
        <v>915</v>
      </c>
      <c r="AX5" s="63">
        <f>AJ5</f>
        <v>0</v>
      </c>
      <c r="AY5" s="63">
        <f t="shared" ref="AY5:BB5" si="0">AK5</f>
        <v>1000</v>
      </c>
      <c r="AZ5" s="63">
        <f t="shared" si="0"/>
        <v>0</v>
      </c>
      <c r="BA5" s="63">
        <f t="shared" si="0"/>
        <v>0</v>
      </c>
      <c r="BB5" s="63">
        <f t="shared" si="0"/>
        <v>0</v>
      </c>
      <c r="BC5" s="63">
        <f>AU5-AV5-AW5-AX5-AY5-AZ5-BA5-BB5</f>
        <v>8085</v>
      </c>
      <c r="BD5" s="63">
        <f>IF(BC5="","",MAX(0,BC5*{3;10;20;25;30;35;45}%-{0;2520;16920;31920;52920;85920;181920}))</f>
        <v>242.54999999999998</v>
      </c>
      <c r="BE5" s="63"/>
      <c r="BF5" s="63">
        <f>IF(BD5="","",IF(BD5&lt;=BE5,0,BD5-BE5))</f>
        <v>242.54999999999998</v>
      </c>
      <c r="BG5" s="36">
        <f>IF(AP5="","",AP5-AQ5-AR5-AS5-AT5-BF5)</f>
        <v>13842.45</v>
      </c>
    </row>
    <row r="6" spans="1:59" ht="20.149999999999999" customHeight="1" x14ac:dyDescent="0.25">
      <c r="A6" s="14">
        <v>2</v>
      </c>
      <c r="B6" s="47" t="s">
        <v>56</v>
      </c>
      <c r="C6" s="47" t="s">
        <v>61</v>
      </c>
      <c r="D6" s="25" t="s">
        <v>58</v>
      </c>
      <c r="E6" s="14" t="s">
        <v>59</v>
      </c>
      <c r="F6" s="27" t="s">
        <v>62</v>
      </c>
      <c r="G6" s="26">
        <v>7000</v>
      </c>
      <c r="H6" s="26">
        <v>3000</v>
      </c>
      <c r="I6" s="26">
        <v>3000</v>
      </c>
      <c r="J6" s="26">
        <v>2000</v>
      </c>
      <c r="K6" s="26">
        <v>1000</v>
      </c>
      <c r="L6" s="26">
        <v>1000</v>
      </c>
      <c r="M6" s="26">
        <v>3000</v>
      </c>
      <c r="N6" s="36">
        <f>SUM(G6:M6)</f>
        <v>20000</v>
      </c>
      <c r="O6" s="28">
        <v>22</v>
      </c>
      <c r="P6" s="28">
        <v>22</v>
      </c>
      <c r="Q6" s="36">
        <f t="shared" ref="Q6:Q23" si="1">IF(O6="",0,O6-P6)</f>
        <v>0</v>
      </c>
      <c r="R6" s="36">
        <f t="shared" ref="R6:R23" si="2">IF(O6="",0,ROUND(N6/21.75*Q6,2))</f>
        <v>0</v>
      </c>
      <c r="S6" s="36">
        <v>10000</v>
      </c>
      <c r="T6" s="36">
        <f>N6-R6-S6</f>
        <v>10000</v>
      </c>
      <c r="U6" s="26">
        <v>5900</v>
      </c>
      <c r="V6" s="36">
        <f>IF($U6="",0,ROUND(MAX('1-6月基数信息'!C$5,MIN($U6,'1-6月基数信息'!C$6))*V$3,2))</f>
        <v>944</v>
      </c>
      <c r="W6" s="36">
        <f>IF($U6="",0,ROUND(MAX('1-6月基数信息'!D$5,MIN($U6,'1-6月基数信息'!D$6))*W$3,2))</f>
        <v>47.2</v>
      </c>
      <c r="X6" s="36">
        <f>IF($U6="",0,ROUND(MAX('1-6月基数信息'!E$5,MIN($U6,'1-6月基数信息'!E$6))*X$3,2))</f>
        <v>11.8</v>
      </c>
      <c r="Y6" s="36">
        <f>IF($U6="",0,ROUND(MAX('1-6月基数信息'!F$5,MIN($U6,'1-6月基数信息'!F$6))*Y$3,2))</f>
        <v>590</v>
      </c>
      <c r="Z6" s="36">
        <f>IF($U6="",0,ROUND(MAX('1-6月基数信息'!G$5,MIN($U6,'1-6月基数信息'!G$6))*Z$3,2))</f>
        <v>47.2</v>
      </c>
      <c r="AA6" s="36">
        <f t="shared" ref="AA6:AA23" si="3">IF($U6="",0,SUM(V6:Z6))</f>
        <v>1640.2</v>
      </c>
      <c r="AB6" s="36">
        <f>IF($U6="",0,ROUND(MAX('1-6月基数信息'!I$5,MIN($U6,'1-6月基数信息'!I$6))*AB$3,2))</f>
        <v>472</v>
      </c>
      <c r="AC6" s="36">
        <f>IF($E6="农村",0,IF($U6="",0,ROUND(MAX('1-6月基数信息'!J$5,MIN($U6,'1-6月基数信息'!J$6))*AC$3,2)))</f>
        <v>11.8</v>
      </c>
      <c r="AD6" s="36">
        <f>IF($U6="",0,ROUND(MAX('1-6月基数信息'!K$5,MIN($U6,'1-6月基数信息'!K$6))*2%+3,2))</f>
        <v>121</v>
      </c>
      <c r="AE6" s="36">
        <f t="shared" ref="AE6:AE23" si="4">IF($U6="",0,SUM(AB6:AD6))</f>
        <v>604.79999999999995</v>
      </c>
      <c r="AF6" s="26">
        <v>5900</v>
      </c>
      <c r="AG6" s="36">
        <f>IF($AF6="",0,ROUND(MAX('1-6月基数信息'!M$5,MIN($AF6,'1-6月基数信息'!M$6))*AG$3,0))</f>
        <v>295</v>
      </c>
      <c r="AH6" s="36">
        <f>IF($AF6="",0,ROUND(MAX('1-6月基数信息'!N$5,MIN($AF6,'1-6月基数信息'!N$6))*AH$3,0))</f>
        <v>295</v>
      </c>
      <c r="AI6" s="36">
        <f t="shared" ref="AI6:AI23" si="5">IF($AF6="",0,SUM(AG6:AH6))</f>
        <v>590</v>
      </c>
      <c r="AJ6" s="28">
        <v>1000</v>
      </c>
      <c r="AK6" s="28">
        <v>2000</v>
      </c>
      <c r="AL6" s="28"/>
      <c r="AM6" s="28">
        <v>1000</v>
      </c>
      <c r="AN6" s="28"/>
      <c r="AO6" s="36">
        <v>5000</v>
      </c>
      <c r="AP6" s="63">
        <f t="shared" ref="AP6:AP23" si="6">$T6</f>
        <v>10000</v>
      </c>
      <c r="AQ6" s="63">
        <f t="shared" ref="AQ6:AQ23" si="7">$AB6</f>
        <v>472</v>
      </c>
      <c r="AR6" s="63">
        <f t="shared" ref="AR6:AR23" si="8">$AD6</f>
        <v>121</v>
      </c>
      <c r="AS6" s="63">
        <f t="shared" ref="AS6:AS23" si="9">$AC6</f>
        <v>11.8</v>
      </c>
      <c r="AT6" s="63">
        <f t="shared" ref="AT6:AT23" si="10">$AH6</f>
        <v>295</v>
      </c>
      <c r="AU6" s="63">
        <f t="shared" ref="AU6:AU23" si="11">$AP6</f>
        <v>10000</v>
      </c>
      <c r="AV6" s="63">
        <f t="shared" ref="AV6:AV23" si="12">$AO6</f>
        <v>5000</v>
      </c>
      <c r="AW6" s="63">
        <f t="shared" ref="AW6:AW23" si="13">AQ6+AR6+AS6+AT6</f>
        <v>899.8</v>
      </c>
      <c r="AX6" s="63">
        <f t="shared" ref="AX6:AX23" si="14">AJ6</f>
        <v>1000</v>
      </c>
      <c r="AY6" s="63">
        <f t="shared" ref="AY6:AY23" si="15">AK6</f>
        <v>2000</v>
      </c>
      <c r="AZ6" s="63">
        <f t="shared" ref="AZ6:AZ23" si="16">AL6</f>
        <v>0</v>
      </c>
      <c r="BA6" s="63">
        <f t="shared" ref="BA6:BA23" si="17">AM6</f>
        <v>1000</v>
      </c>
      <c r="BB6" s="63">
        <f t="shared" ref="BB6:BB23" si="18">AN6</f>
        <v>0</v>
      </c>
      <c r="BC6" s="63">
        <f t="shared" ref="BC6:BC23" si="19">IF(AU6="","",AU6-AV6-AW6-AX6-AY6-AZ6-BA6-BB6)</f>
        <v>100.19999999999982</v>
      </c>
      <c r="BD6" s="63">
        <f>IF(BC6="","",MAX(0,BC6*{3;10;20;25;30;35;45}%-{0;2520;16920;31920;52920;85920;181920}))</f>
        <v>3.0059999999999945</v>
      </c>
      <c r="BE6" s="63"/>
      <c r="BF6" s="63">
        <f t="shared" ref="BF6:BF23" si="20">IF(BD6="","",IF(BD6&lt;=BE6,0,BD6-BE6))</f>
        <v>3.0059999999999945</v>
      </c>
      <c r="BG6" s="36">
        <f t="shared" ref="BG6:BG23" si="21">IF(AP6="","",AP6-AQ6-AR6-AS6-AT6-BF6)</f>
        <v>9097.1940000000013</v>
      </c>
    </row>
    <row r="7" spans="1:59" ht="20.149999999999999" customHeight="1" x14ac:dyDescent="0.25">
      <c r="A7" s="14">
        <v>3</v>
      </c>
      <c r="B7" s="47" t="s">
        <v>56</v>
      </c>
      <c r="C7" s="47" t="s">
        <v>63</v>
      </c>
      <c r="D7" s="25" t="s">
        <v>58</v>
      </c>
      <c r="E7" s="14" t="s">
        <v>59</v>
      </c>
      <c r="F7" s="27" t="s">
        <v>64</v>
      </c>
      <c r="G7" s="26">
        <v>7000</v>
      </c>
      <c r="H7" s="26">
        <v>3000</v>
      </c>
      <c r="I7" s="26">
        <v>3000</v>
      </c>
      <c r="J7" s="26">
        <v>2000</v>
      </c>
      <c r="K7" s="26">
        <v>1000</v>
      </c>
      <c r="L7" s="26">
        <v>1000</v>
      </c>
      <c r="M7" s="26">
        <v>3000</v>
      </c>
      <c r="N7" s="36">
        <f t="shared" ref="N7:N23" si="22">SUM(G7:M7)</f>
        <v>20000</v>
      </c>
      <c r="O7" s="28">
        <v>22</v>
      </c>
      <c r="P7" s="28">
        <v>22</v>
      </c>
      <c r="Q7" s="36">
        <f t="shared" si="1"/>
        <v>0</v>
      </c>
      <c r="R7" s="36">
        <f t="shared" si="2"/>
        <v>0</v>
      </c>
      <c r="S7" s="36">
        <v>10000</v>
      </c>
      <c r="T7" s="36">
        <f>N7-R7-S7</f>
        <v>10000</v>
      </c>
      <c r="U7" s="26">
        <v>5900</v>
      </c>
      <c r="V7" s="36">
        <f>IF($U7="",0,ROUND(MAX('1-6月基数信息'!C$5,MIN($U7,'1-6月基数信息'!C$6))*V$3,2))</f>
        <v>944</v>
      </c>
      <c r="W7" s="36">
        <f>IF($U7="",0,ROUND(MAX('1-6月基数信息'!D$5,MIN($U7,'1-6月基数信息'!D$6))*W$3,2))</f>
        <v>47.2</v>
      </c>
      <c r="X7" s="36">
        <f>IF($U7="",0,ROUND(MAX('1-6月基数信息'!E$5,MIN($U7,'1-6月基数信息'!E$6))*X$3,2))</f>
        <v>11.8</v>
      </c>
      <c r="Y7" s="36">
        <f>IF($U7="",0,ROUND(MAX('1-6月基数信息'!F$5,MIN($U7,'1-6月基数信息'!F$6))*Y$3,2))</f>
        <v>590</v>
      </c>
      <c r="Z7" s="36">
        <f>IF($U7="",0,ROUND(MAX('1-6月基数信息'!G$5,MIN($U7,'1-6月基数信息'!G$6))*Z$3,2))</f>
        <v>47.2</v>
      </c>
      <c r="AA7" s="36">
        <f t="shared" si="3"/>
        <v>1640.2</v>
      </c>
      <c r="AB7" s="36">
        <f>IF($U7="",0,ROUND(MAX('1-6月基数信息'!I$5,MIN($U7,'1-6月基数信息'!I$6))*AB$3,2))</f>
        <v>472</v>
      </c>
      <c r="AC7" s="36">
        <f>IF($E7="农村",0,IF($U7="",0,ROUND(MAX('1-6月基数信息'!J$5,MIN($U7,'1-6月基数信息'!J$6))*AC$3,2)))</f>
        <v>11.8</v>
      </c>
      <c r="AD7" s="36">
        <f>IF($U7="",0,ROUND(MAX('1-6月基数信息'!K$5,MIN($U7,'1-6月基数信息'!K$6))*2%+3,2))</f>
        <v>121</v>
      </c>
      <c r="AE7" s="36">
        <f t="shared" si="4"/>
        <v>604.79999999999995</v>
      </c>
      <c r="AF7" s="26">
        <v>5900</v>
      </c>
      <c r="AG7" s="36">
        <f>IF($AF7="",0,ROUND(MAX('1-6月基数信息'!M$5,MIN($AF7,'1-6月基数信息'!M$6))*AG$3,0))</f>
        <v>295</v>
      </c>
      <c r="AH7" s="36">
        <f>IF($AF7="",0,ROUND(MAX('1-6月基数信息'!N$5,MIN($AF7,'1-6月基数信息'!N$6))*AH$3,0))</f>
        <v>295</v>
      </c>
      <c r="AI7" s="36">
        <f t="shared" si="5"/>
        <v>590</v>
      </c>
      <c r="AJ7" s="28"/>
      <c r="AK7" s="28">
        <v>2000</v>
      </c>
      <c r="AL7" s="28"/>
      <c r="AM7" s="28">
        <v>1000</v>
      </c>
      <c r="AN7" s="28"/>
      <c r="AO7" s="36">
        <v>5000</v>
      </c>
      <c r="AP7" s="63">
        <f t="shared" si="6"/>
        <v>10000</v>
      </c>
      <c r="AQ7" s="63">
        <f t="shared" si="7"/>
        <v>472</v>
      </c>
      <c r="AR7" s="63">
        <f t="shared" si="8"/>
        <v>121</v>
      </c>
      <c r="AS7" s="63">
        <f t="shared" si="9"/>
        <v>11.8</v>
      </c>
      <c r="AT7" s="63">
        <f t="shared" si="10"/>
        <v>295</v>
      </c>
      <c r="AU7" s="63">
        <f t="shared" si="11"/>
        <v>10000</v>
      </c>
      <c r="AV7" s="63">
        <f t="shared" si="12"/>
        <v>5000</v>
      </c>
      <c r="AW7" s="63">
        <f t="shared" si="13"/>
        <v>899.8</v>
      </c>
      <c r="AX7" s="63">
        <f t="shared" si="14"/>
        <v>0</v>
      </c>
      <c r="AY7" s="63">
        <f t="shared" si="15"/>
        <v>2000</v>
      </c>
      <c r="AZ7" s="63">
        <f t="shared" si="16"/>
        <v>0</v>
      </c>
      <c r="BA7" s="63">
        <f t="shared" si="17"/>
        <v>1000</v>
      </c>
      <c r="BB7" s="63">
        <f t="shared" si="18"/>
        <v>0</v>
      </c>
      <c r="BC7" s="63">
        <f t="shared" si="19"/>
        <v>1100.1999999999998</v>
      </c>
      <c r="BD7" s="63">
        <f>IF(BC7="","",MAX(0,BC7*{3;10;20;25;30;35;45}%-{0;2520;16920;31920;52920;85920;181920}))</f>
        <v>33.005999999999993</v>
      </c>
      <c r="BE7" s="63"/>
      <c r="BF7" s="63">
        <f t="shared" si="20"/>
        <v>33.005999999999993</v>
      </c>
      <c r="BG7" s="36">
        <f t="shared" si="21"/>
        <v>9067.1940000000013</v>
      </c>
    </row>
    <row r="8" spans="1:59" ht="20.149999999999999" customHeight="1" x14ac:dyDescent="0.25">
      <c r="A8" s="14">
        <v>4</v>
      </c>
      <c r="B8" s="47" t="s">
        <v>65</v>
      </c>
      <c r="C8" s="47" t="s">
        <v>66</v>
      </c>
      <c r="D8" s="25" t="s">
        <v>58</v>
      </c>
      <c r="E8" s="14" t="s">
        <v>59</v>
      </c>
      <c r="F8" s="27" t="s">
        <v>67</v>
      </c>
      <c r="G8" s="26">
        <v>7000</v>
      </c>
      <c r="H8" s="26">
        <v>3000</v>
      </c>
      <c r="I8" s="26">
        <v>3000</v>
      </c>
      <c r="J8" s="26">
        <v>2000</v>
      </c>
      <c r="K8" s="26">
        <v>1000</v>
      </c>
      <c r="L8" s="26">
        <v>1000</v>
      </c>
      <c r="M8" s="26">
        <v>3000</v>
      </c>
      <c r="N8" s="36">
        <f t="shared" si="22"/>
        <v>20000</v>
      </c>
      <c r="O8" s="28">
        <v>22</v>
      </c>
      <c r="P8" s="28">
        <v>22</v>
      </c>
      <c r="Q8" s="36"/>
      <c r="R8" s="36"/>
      <c r="S8" s="36"/>
      <c r="T8" s="36">
        <f t="shared" ref="T8:T23" si="23">N8-R8</f>
        <v>20000</v>
      </c>
      <c r="U8" s="26">
        <v>5100</v>
      </c>
      <c r="V8" s="36">
        <f>IF($U8="",0,ROUND(MAX('1-6月基数信息'!C$5,MIN($U8,'1-6月基数信息'!C$6))*V$3,2))</f>
        <v>816</v>
      </c>
      <c r="W8" s="36">
        <f>IF($U8="",0,ROUND(MAX('1-6月基数信息'!D$5,MIN($U8,'1-6月基数信息'!D$6))*W$3,2))</f>
        <v>40.799999999999997</v>
      </c>
      <c r="X8" s="36">
        <f>IF($U8="",0,ROUND(MAX('1-6月基数信息'!E$5,MIN($U8,'1-6月基数信息'!E$6))*X$3,2))</f>
        <v>10.199999999999999</v>
      </c>
      <c r="Y8" s="36">
        <f>IF($U8="",0,ROUND(MAX('1-6月基数信息'!F$5,MIN($U8,'1-6月基数信息'!F$6))*Y$3,2))</f>
        <v>555.70000000000005</v>
      </c>
      <c r="Z8" s="36">
        <f>IF($U8="",0,ROUND(MAX('1-6月基数信息'!G$5,MIN($U8,'1-6月基数信息'!G$6))*Z$3,2))</f>
        <v>44.46</v>
      </c>
      <c r="AA8" s="36">
        <f t="shared" si="3"/>
        <v>1467.16</v>
      </c>
      <c r="AB8" s="36">
        <f>IF($U8="",0,ROUND(MAX('1-6月基数信息'!I$5,MIN($U8,'1-6月基数信息'!I$6))*AB$3,2))</f>
        <v>408</v>
      </c>
      <c r="AC8" s="36">
        <f>IF($E8="农村",0,IF($U8="",0,ROUND(MAX('1-6月基数信息'!J$5,MIN($U8,'1-6月基数信息'!J$6))*AC$3,2)))</f>
        <v>10.199999999999999</v>
      </c>
      <c r="AD8" s="36">
        <f>IF($U8="",0,ROUND(MAX('1-6月基数信息'!K$5,MIN($U8,'1-6月基数信息'!K$6))*2%+3,2))</f>
        <v>114.14</v>
      </c>
      <c r="AE8" s="36">
        <f t="shared" si="4"/>
        <v>532.34</v>
      </c>
      <c r="AF8" s="26">
        <v>5100</v>
      </c>
      <c r="AG8" s="36">
        <f>IF($AF8="",0,ROUND(MAX('1-6月基数信息'!M$5,MIN($AF8,'1-6月基数信息'!M$6))*AG$3,0))</f>
        <v>255</v>
      </c>
      <c r="AH8" s="36">
        <f>IF($AF8="",0,ROUND(MAX('1-6月基数信息'!N$5,MIN($AF8,'1-6月基数信息'!N$6))*AH$3,0))</f>
        <v>255</v>
      </c>
      <c r="AI8" s="36">
        <f t="shared" si="5"/>
        <v>510</v>
      </c>
      <c r="AJ8" s="28">
        <v>1000</v>
      </c>
      <c r="AK8" s="28">
        <v>2000</v>
      </c>
      <c r="AL8" s="28"/>
      <c r="AM8" s="28"/>
      <c r="AN8" s="28"/>
      <c r="AO8" s="36">
        <v>5000</v>
      </c>
      <c r="AP8" s="63">
        <f t="shared" si="6"/>
        <v>20000</v>
      </c>
      <c r="AQ8" s="63">
        <f t="shared" si="7"/>
        <v>408</v>
      </c>
      <c r="AR8" s="63">
        <f t="shared" si="8"/>
        <v>114.14</v>
      </c>
      <c r="AS8" s="63">
        <f t="shared" si="9"/>
        <v>10.199999999999999</v>
      </c>
      <c r="AT8" s="63">
        <f t="shared" si="10"/>
        <v>255</v>
      </c>
      <c r="AU8" s="63">
        <f t="shared" si="11"/>
        <v>20000</v>
      </c>
      <c r="AV8" s="63">
        <f t="shared" si="12"/>
        <v>5000</v>
      </c>
      <c r="AW8" s="63">
        <f t="shared" si="13"/>
        <v>787.34</v>
      </c>
      <c r="AX8" s="63">
        <f t="shared" si="14"/>
        <v>1000</v>
      </c>
      <c r="AY8" s="63">
        <f t="shared" si="15"/>
        <v>2000</v>
      </c>
      <c r="AZ8" s="63">
        <f t="shared" si="16"/>
        <v>0</v>
      </c>
      <c r="BA8" s="63">
        <f t="shared" si="17"/>
        <v>0</v>
      </c>
      <c r="BB8" s="63">
        <f t="shared" si="18"/>
        <v>0</v>
      </c>
      <c r="BC8" s="63">
        <f t="shared" si="19"/>
        <v>11212.66</v>
      </c>
      <c r="BD8" s="63">
        <f>IF(BC8="","",MAX(0,BC8*{3;10;20;25;30;35;45}%-{0;2520;16920;31920;52920;85920;181920}))</f>
        <v>336.37979999999999</v>
      </c>
      <c r="BE8" s="63"/>
      <c r="BF8" s="63">
        <f t="shared" si="20"/>
        <v>336.37979999999999</v>
      </c>
      <c r="BG8" s="36">
        <f t="shared" si="21"/>
        <v>18876.280200000001</v>
      </c>
    </row>
    <row r="9" spans="1:59" ht="20.149999999999999" customHeight="1" x14ac:dyDescent="0.25">
      <c r="A9" s="14">
        <v>5</v>
      </c>
      <c r="B9" s="47" t="s">
        <v>68</v>
      </c>
      <c r="C9" s="47" t="s">
        <v>69</v>
      </c>
      <c r="D9" s="25" t="s">
        <v>58</v>
      </c>
      <c r="E9" s="14" t="s">
        <v>59</v>
      </c>
      <c r="F9" s="27" t="s">
        <v>70</v>
      </c>
      <c r="G9" s="26">
        <v>2500</v>
      </c>
      <c r="H9" s="26">
        <v>0</v>
      </c>
      <c r="I9" s="26">
        <v>1000</v>
      </c>
      <c r="J9" s="26">
        <v>500</v>
      </c>
      <c r="K9" s="26">
        <v>0</v>
      </c>
      <c r="L9" s="26">
        <v>1000</v>
      </c>
      <c r="M9" s="26">
        <v>3000</v>
      </c>
      <c r="N9" s="36">
        <f t="shared" si="22"/>
        <v>8000</v>
      </c>
      <c r="O9" s="28">
        <v>22</v>
      </c>
      <c r="P9" s="28">
        <v>22</v>
      </c>
      <c r="Q9" s="36">
        <f t="shared" si="1"/>
        <v>0</v>
      </c>
      <c r="R9" s="36">
        <f t="shared" si="2"/>
        <v>0</v>
      </c>
      <c r="S9" s="36"/>
      <c r="T9" s="36">
        <f t="shared" si="23"/>
        <v>8000</v>
      </c>
      <c r="U9" s="26">
        <v>4800</v>
      </c>
      <c r="V9" s="36">
        <f>IF($U9="",0,ROUND(MAX('1-6月基数信息'!C$5,MIN($U9,'1-6月基数信息'!C$6))*V$3,2))</f>
        <v>768</v>
      </c>
      <c r="W9" s="36">
        <f>IF($U9="",0,ROUND(MAX('1-6月基数信息'!D$5,MIN($U9,'1-6月基数信息'!D$6))*W$3,2))</f>
        <v>38.4</v>
      </c>
      <c r="X9" s="36">
        <f>IF($U9="",0,ROUND(MAX('1-6月基数信息'!E$5,MIN($U9,'1-6月基数信息'!E$6))*X$3,2))</f>
        <v>9.6</v>
      </c>
      <c r="Y9" s="36">
        <f>IF($U9="",0,ROUND(MAX('1-6月基数信息'!F$5,MIN($U9,'1-6月基数信息'!F$6))*Y$3,2))</f>
        <v>555.70000000000005</v>
      </c>
      <c r="Z9" s="36">
        <f>IF($U9="",0,ROUND(MAX('1-6月基数信息'!G$5,MIN($U9,'1-6月基数信息'!G$6))*Z$3,2))</f>
        <v>44.46</v>
      </c>
      <c r="AA9" s="36">
        <f t="shared" si="3"/>
        <v>1416.16</v>
      </c>
      <c r="AB9" s="36">
        <f>IF($U9="",0,ROUND(MAX('1-6月基数信息'!I$5,MIN($U9,'1-6月基数信息'!I$6))*AB$3,2))</f>
        <v>384</v>
      </c>
      <c r="AC9" s="36">
        <f>IF($E9="农村",0,IF($U9="",0,ROUND(MAX('1-6月基数信息'!J$5,MIN($U9,'1-6月基数信息'!J$6))*AC$3,2)))</f>
        <v>9.6</v>
      </c>
      <c r="AD9" s="36">
        <f>IF($U9="",0,ROUND(MAX('1-6月基数信息'!K$5,MIN($U9,'1-6月基数信息'!K$6))*2%+3,2))</f>
        <v>114.14</v>
      </c>
      <c r="AE9" s="36">
        <f t="shared" si="4"/>
        <v>507.74</v>
      </c>
      <c r="AF9" s="26">
        <v>4800</v>
      </c>
      <c r="AG9" s="36">
        <f>IF($AF9="",0,ROUND(MAX('1-6月基数信息'!M$5,MIN($AF9,'1-6月基数信息'!M$6))*AG$3,0))</f>
        <v>240</v>
      </c>
      <c r="AH9" s="36">
        <f>IF($AF9="",0,ROUND(MAX('1-6月基数信息'!N$5,MIN($AF9,'1-6月基数信息'!N$6))*AH$3,0))</f>
        <v>240</v>
      </c>
      <c r="AI9" s="36">
        <f t="shared" si="5"/>
        <v>480</v>
      </c>
      <c r="AJ9" s="28">
        <v>1000</v>
      </c>
      <c r="AK9" s="28">
        <v>2000</v>
      </c>
      <c r="AL9" s="28"/>
      <c r="AM9" s="28"/>
      <c r="AN9" s="28"/>
      <c r="AO9" s="36">
        <v>5000</v>
      </c>
      <c r="AP9" s="63">
        <f t="shared" si="6"/>
        <v>8000</v>
      </c>
      <c r="AQ9" s="63">
        <f t="shared" si="7"/>
        <v>384</v>
      </c>
      <c r="AR9" s="63">
        <f t="shared" si="8"/>
        <v>114.14</v>
      </c>
      <c r="AS9" s="63">
        <f t="shared" si="9"/>
        <v>9.6</v>
      </c>
      <c r="AT9" s="63">
        <f t="shared" si="10"/>
        <v>240</v>
      </c>
      <c r="AU9" s="63">
        <f t="shared" si="11"/>
        <v>8000</v>
      </c>
      <c r="AV9" s="63">
        <f t="shared" si="12"/>
        <v>5000</v>
      </c>
      <c r="AW9" s="63">
        <f t="shared" si="13"/>
        <v>747.74</v>
      </c>
      <c r="AX9" s="63">
        <f t="shared" si="14"/>
        <v>1000</v>
      </c>
      <c r="AY9" s="63">
        <f t="shared" si="15"/>
        <v>2000</v>
      </c>
      <c r="AZ9" s="63">
        <f t="shared" si="16"/>
        <v>0</v>
      </c>
      <c r="BA9" s="63">
        <f t="shared" si="17"/>
        <v>0</v>
      </c>
      <c r="BB9" s="63">
        <f t="shared" si="18"/>
        <v>0</v>
      </c>
      <c r="BC9" s="63">
        <f t="shared" si="19"/>
        <v>-747.73999999999978</v>
      </c>
      <c r="BD9" s="63">
        <f>IF(BC9="","",MAX(0,BC9*{3;10;20;25;30;35;45}%-{0;2520;16920;31920;52920;85920;181920}))</f>
        <v>0</v>
      </c>
      <c r="BE9" s="63"/>
      <c r="BF9" s="63">
        <f t="shared" si="20"/>
        <v>0</v>
      </c>
      <c r="BG9" s="36">
        <f t="shared" si="21"/>
        <v>7252.2599999999993</v>
      </c>
    </row>
    <row r="10" spans="1:59" ht="20.149999999999999" customHeight="1" x14ac:dyDescent="0.25">
      <c r="A10" s="14">
        <v>6</v>
      </c>
      <c r="B10" s="47" t="s">
        <v>68</v>
      </c>
      <c r="C10" s="47" t="s">
        <v>69</v>
      </c>
      <c r="D10" s="25" t="s">
        <v>71</v>
      </c>
      <c r="E10" s="14" t="s">
        <v>59</v>
      </c>
      <c r="F10" s="27" t="s">
        <v>72</v>
      </c>
      <c r="G10" s="26">
        <v>2200</v>
      </c>
      <c r="H10" s="26">
        <v>0</v>
      </c>
      <c r="I10" s="26">
        <v>800</v>
      </c>
      <c r="J10" s="26">
        <v>1000</v>
      </c>
      <c r="K10" s="26">
        <v>0</v>
      </c>
      <c r="L10" s="26">
        <v>0</v>
      </c>
      <c r="M10" s="26">
        <v>3000</v>
      </c>
      <c r="N10" s="36">
        <f t="shared" si="22"/>
        <v>7000</v>
      </c>
      <c r="O10" s="28">
        <v>22</v>
      </c>
      <c r="P10" s="28">
        <v>22</v>
      </c>
      <c r="Q10" s="36">
        <f t="shared" si="1"/>
        <v>0</v>
      </c>
      <c r="R10" s="36">
        <f t="shared" si="2"/>
        <v>0</v>
      </c>
      <c r="S10" s="36"/>
      <c r="T10" s="36">
        <f t="shared" si="23"/>
        <v>7000</v>
      </c>
      <c r="U10" s="26">
        <v>5600</v>
      </c>
      <c r="V10" s="36">
        <f>IF($U10="",0,ROUND(MAX('1-6月基数信息'!C$5,MIN($U10,'1-6月基数信息'!C$6))*V$3,2))</f>
        <v>896</v>
      </c>
      <c r="W10" s="36">
        <f>IF($U10="",0,ROUND(MAX('1-6月基数信息'!D$5,MIN($U10,'1-6月基数信息'!D$6))*W$3,2))</f>
        <v>44.8</v>
      </c>
      <c r="X10" s="36">
        <f>IF($U10="",0,ROUND(MAX('1-6月基数信息'!E$5,MIN($U10,'1-6月基数信息'!E$6))*X$3,2))</f>
        <v>11.2</v>
      </c>
      <c r="Y10" s="36">
        <f>IF($U10="",0,ROUND(MAX('1-6月基数信息'!F$5,MIN($U10,'1-6月基数信息'!F$6))*Y$3,2))</f>
        <v>560</v>
      </c>
      <c r="Z10" s="36">
        <f>IF($U10="",0,ROUND(MAX('1-6月基数信息'!G$5,MIN($U10,'1-6月基数信息'!G$6))*Z$3,2))</f>
        <v>44.8</v>
      </c>
      <c r="AA10" s="36">
        <f t="shared" si="3"/>
        <v>1556.8</v>
      </c>
      <c r="AB10" s="36">
        <f>IF($U10="",0,ROUND(MAX('1-6月基数信息'!I$5,MIN($U10,'1-6月基数信息'!I$6))*AB$3,2))</f>
        <v>448</v>
      </c>
      <c r="AC10" s="36">
        <f>IF($E10="农村",0,IF($U10="",0,ROUND(MAX('1-6月基数信息'!J$5,MIN($U10,'1-6月基数信息'!J$6))*AC$3,2)))</f>
        <v>11.2</v>
      </c>
      <c r="AD10" s="36">
        <f>IF($U10="",0,ROUND(MAX('1-6月基数信息'!K$5,MIN($U10,'1-6月基数信息'!K$6))*2%+3,2))</f>
        <v>115</v>
      </c>
      <c r="AE10" s="36">
        <f t="shared" si="4"/>
        <v>574.20000000000005</v>
      </c>
      <c r="AF10" s="26">
        <v>5600</v>
      </c>
      <c r="AG10" s="36">
        <f>IF($AF10="",0,ROUND(MAX('1-6月基数信息'!M$5,MIN($AF10,'1-6月基数信息'!M$6))*AG$3,0))</f>
        <v>280</v>
      </c>
      <c r="AH10" s="36">
        <f>IF($AF10="",0,ROUND(MAX('1-6月基数信息'!N$5,MIN($AF10,'1-6月基数信息'!N$6))*AH$3,0))</f>
        <v>280</v>
      </c>
      <c r="AI10" s="36">
        <f t="shared" si="5"/>
        <v>560</v>
      </c>
      <c r="AJ10" s="28"/>
      <c r="AK10" s="28"/>
      <c r="AL10" s="28">
        <v>400</v>
      </c>
      <c r="AM10" s="28"/>
      <c r="AN10" s="28"/>
      <c r="AO10" s="36">
        <v>5000</v>
      </c>
      <c r="AP10" s="63">
        <f t="shared" si="6"/>
        <v>7000</v>
      </c>
      <c r="AQ10" s="63">
        <f t="shared" si="7"/>
        <v>448</v>
      </c>
      <c r="AR10" s="63">
        <f t="shared" si="8"/>
        <v>115</v>
      </c>
      <c r="AS10" s="63">
        <f t="shared" si="9"/>
        <v>11.2</v>
      </c>
      <c r="AT10" s="63">
        <f t="shared" si="10"/>
        <v>280</v>
      </c>
      <c r="AU10" s="63">
        <f t="shared" si="11"/>
        <v>7000</v>
      </c>
      <c r="AV10" s="63">
        <f t="shared" si="12"/>
        <v>5000</v>
      </c>
      <c r="AW10" s="63">
        <f t="shared" si="13"/>
        <v>854.2</v>
      </c>
      <c r="AX10" s="63">
        <f t="shared" si="14"/>
        <v>0</v>
      </c>
      <c r="AY10" s="63">
        <f t="shared" si="15"/>
        <v>0</v>
      </c>
      <c r="AZ10" s="63">
        <f t="shared" si="16"/>
        <v>400</v>
      </c>
      <c r="BA10" s="63">
        <f t="shared" si="17"/>
        <v>0</v>
      </c>
      <c r="BB10" s="63">
        <f t="shared" si="18"/>
        <v>0</v>
      </c>
      <c r="BC10" s="63">
        <f t="shared" si="19"/>
        <v>745.8</v>
      </c>
      <c r="BD10" s="63">
        <f>IF(BC10="","",MAX(0,BC10*{3;10;20;25;30;35;45}%-{0;2520;16920;31920;52920;85920;181920}))</f>
        <v>22.373999999999999</v>
      </c>
      <c r="BE10" s="63"/>
      <c r="BF10" s="63">
        <f t="shared" si="20"/>
        <v>22.373999999999999</v>
      </c>
      <c r="BG10" s="36">
        <f t="shared" si="21"/>
        <v>6123.4260000000004</v>
      </c>
    </row>
    <row r="11" spans="1:59" ht="20.149999999999999" customHeight="1" x14ac:dyDescent="0.25">
      <c r="A11" s="14">
        <v>7</v>
      </c>
      <c r="B11" s="47" t="s">
        <v>65</v>
      </c>
      <c r="C11" s="47" t="s">
        <v>73</v>
      </c>
      <c r="D11" s="25" t="s">
        <v>74</v>
      </c>
      <c r="E11" s="14" t="s">
        <v>75</v>
      </c>
      <c r="F11" s="27" t="s">
        <v>76</v>
      </c>
      <c r="G11" s="26">
        <v>2500</v>
      </c>
      <c r="H11" s="26">
        <v>0</v>
      </c>
      <c r="I11" s="26">
        <v>1000</v>
      </c>
      <c r="J11" s="26">
        <v>1500</v>
      </c>
      <c r="K11" s="26">
        <v>0</v>
      </c>
      <c r="L11" s="26">
        <v>1000</v>
      </c>
      <c r="M11" s="26">
        <v>3000</v>
      </c>
      <c r="N11" s="36">
        <f t="shared" si="22"/>
        <v>9000</v>
      </c>
      <c r="O11" s="28">
        <v>22</v>
      </c>
      <c r="P11" s="28">
        <v>21</v>
      </c>
      <c r="Q11" s="36">
        <f t="shared" si="1"/>
        <v>1</v>
      </c>
      <c r="R11" s="36">
        <f t="shared" si="2"/>
        <v>413.79</v>
      </c>
      <c r="S11" s="36"/>
      <c r="T11" s="36">
        <f t="shared" si="23"/>
        <v>8586.2099999999991</v>
      </c>
      <c r="U11" s="26">
        <v>8000</v>
      </c>
      <c r="V11" s="36">
        <f>IF($U11="",0,ROUND(MAX('1-6月基数信息'!C$5,MIN($U11,'1-6月基数信息'!C$6))*V$3,2))</f>
        <v>1280</v>
      </c>
      <c r="W11" s="36">
        <f>IF($U11="",0,ROUND(MAX('1-6月基数信息'!D$5,MIN($U11,'1-6月基数信息'!D$6))*W$3,2))</f>
        <v>64</v>
      </c>
      <c r="X11" s="36">
        <f>IF($U11="",0,ROUND(MAX('1-6月基数信息'!E$5,MIN($U11,'1-6月基数信息'!E$6))*X$3,2))</f>
        <v>16</v>
      </c>
      <c r="Y11" s="36">
        <f>IF($U11="",0,ROUND(MAX('1-6月基数信息'!F$5,MIN($U11,'1-6月基数信息'!F$6))*Y$3,2))</f>
        <v>800</v>
      </c>
      <c r="Z11" s="36">
        <f>IF($U11="",0,ROUND(MAX('1-6月基数信息'!G$5,MIN($U11,'1-6月基数信息'!G$6))*Z$3,2))</f>
        <v>64</v>
      </c>
      <c r="AA11" s="36">
        <f t="shared" si="3"/>
        <v>2224</v>
      </c>
      <c r="AB11" s="36">
        <f>IF($U11="",0,ROUND(MAX('1-6月基数信息'!I$5,MIN($U11,'1-6月基数信息'!I$6))*AB$3,2))</f>
        <v>640</v>
      </c>
      <c r="AC11" s="36">
        <f>IF($E11="农村",0,IF($U11="",0,ROUND(MAX('1-6月基数信息'!J$5,MIN($U11,'1-6月基数信息'!J$6))*AC$3,2)))</f>
        <v>0</v>
      </c>
      <c r="AD11" s="36">
        <f>IF($U11="",0,ROUND(MAX('1-6月基数信息'!K$5,MIN($U11,'1-6月基数信息'!K$6))*2%+3,2))</f>
        <v>163</v>
      </c>
      <c r="AE11" s="36">
        <f t="shared" si="4"/>
        <v>803</v>
      </c>
      <c r="AF11" s="26">
        <v>8000</v>
      </c>
      <c r="AG11" s="36">
        <f>IF($AF11="",0,ROUND(MAX('1-6月基数信息'!M$5,MIN($AF11,'1-6月基数信息'!M$6))*AG$3,0))</f>
        <v>400</v>
      </c>
      <c r="AH11" s="36">
        <f>IF($AF11="",0,ROUND(MAX('1-6月基数信息'!N$5,MIN($AF11,'1-6月基数信息'!N$6))*AH$3,0))</f>
        <v>400</v>
      </c>
      <c r="AI11" s="36">
        <f t="shared" si="5"/>
        <v>800</v>
      </c>
      <c r="AJ11" s="28"/>
      <c r="AK11" s="28"/>
      <c r="AL11" s="28"/>
      <c r="AM11" s="28"/>
      <c r="AN11" s="28"/>
      <c r="AO11" s="36">
        <v>5000</v>
      </c>
      <c r="AP11" s="63">
        <f t="shared" si="6"/>
        <v>8586.2099999999991</v>
      </c>
      <c r="AQ11" s="63">
        <f t="shared" si="7"/>
        <v>640</v>
      </c>
      <c r="AR11" s="63">
        <f t="shared" si="8"/>
        <v>163</v>
      </c>
      <c r="AS11" s="63">
        <f t="shared" si="9"/>
        <v>0</v>
      </c>
      <c r="AT11" s="63">
        <f t="shared" si="10"/>
        <v>400</v>
      </c>
      <c r="AU11" s="63">
        <f t="shared" si="11"/>
        <v>8586.2099999999991</v>
      </c>
      <c r="AV11" s="63">
        <f t="shared" si="12"/>
        <v>5000</v>
      </c>
      <c r="AW11" s="63">
        <f t="shared" si="13"/>
        <v>1203</v>
      </c>
      <c r="AX11" s="63">
        <f t="shared" si="14"/>
        <v>0</v>
      </c>
      <c r="AY11" s="63">
        <f t="shared" si="15"/>
        <v>0</v>
      </c>
      <c r="AZ11" s="63">
        <f t="shared" si="16"/>
        <v>0</v>
      </c>
      <c r="BA11" s="63">
        <f t="shared" si="17"/>
        <v>0</v>
      </c>
      <c r="BB11" s="63">
        <f t="shared" si="18"/>
        <v>0</v>
      </c>
      <c r="BC11" s="63">
        <f t="shared" si="19"/>
        <v>2383.2099999999991</v>
      </c>
      <c r="BD11" s="63">
        <f>IF(BC11="","",MAX(0,BC11*{3;10;20;25;30;35;45}%-{0;2520;16920;31920;52920;85920;181920}))</f>
        <v>71.496299999999977</v>
      </c>
      <c r="BE11" s="63"/>
      <c r="BF11" s="63">
        <f t="shared" si="20"/>
        <v>71.496299999999977</v>
      </c>
      <c r="BG11" s="36">
        <f t="shared" si="21"/>
        <v>7311.7136999999993</v>
      </c>
    </row>
    <row r="12" spans="1:59" ht="20.149999999999999" customHeight="1" x14ac:dyDescent="0.25">
      <c r="A12" s="14">
        <v>8</v>
      </c>
      <c r="B12" s="47" t="s">
        <v>65</v>
      </c>
      <c r="C12" s="47" t="s">
        <v>77</v>
      </c>
      <c r="D12" s="25" t="s">
        <v>74</v>
      </c>
      <c r="E12" s="14" t="s">
        <v>75</v>
      </c>
      <c r="F12" s="27" t="s">
        <v>78</v>
      </c>
      <c r="G12" s="26">
        <v>8000</v>
      </c>
      <c r="H12" s="26">
        <v>0</v>
      </c>
      <c r="I12" s="26">
        <v>4000</v>
      </c>
      <c r="J12" s="26">
        <v>3000</v>
      </c>
      <c r="K12" s="26">
        <v>0</v>
      </c>
      <c r="L12" s="26">
        <v>9000</v>
      </c>
      <c r="M12" s="26">
        <v>3000</v>
      </c>
      <c r="N12" s="36">
        <f t="shared" si="22"/>
        <v>27000</v>
      </c>
      <c r="O12" s="28">
        <v>22</v>
      </c>
      <c r="P12" s="28">
        <v>22</v>
      </c>
      <c r="Q12" s="36">
        <f t="shared" si="1"/>
        <v>0</v>
      </c>
      <c r="R12" s="36">
        <f t="shared" si="2"/>
        <v>0</v>
      </c>
      <c r="S12" s="36"/>
      <c r="T12" s="36">
        <f t="shared" si="23"/>
        <v>27000</v>
      </c>
      <c r="U12" s="26">
        <v>5200</v>
      </c>
      <c r="V12" s="36">
        <f>IF($U12="",0,ROUND(MAX('1-6月基数信息'!C$5,MIN($U12,'1-6月基数信息'!C$6))*V$3,2))</f>
        <v>832</v>
      </c>
      <c r="W12" s="36">
        <f>IF($U12="",0,ROUND(MAX('1-6月基数信息'!D$5,MIN($U12,'1-6月基数信息'!D$6))*W$3,2))</f>
        <v>41.6</v>
      </c>
      <c r="X12" s="36">
        <f>IF($U12="",0,ROUND(MAX('1-6月基数信息'!E$5,MIN($U12,'1-6月基数信息'!E$6))*X$3,2))</f>
        <v>10.4</v>
      </c>
      <c r="Y12" s="36">
        <f>IF($U12="",0,ROUND(MAX('1-6月基数信息'!F$5,MIN($U12,'1-6月基数信息'!F$6))*Y$3,2))</f>
        <v>555.70000000000005</v>
      </c>
      <c r="Z12" s="36">
        <f>IF($U12="",0,ROUND(MAX('1-6月基数信息'!G$5,MIN($U12,'1-6月基数信息'!G$6))*Z$3,2))</f>
        <v>44.46</v>
      </c>
      <c r="AA12" s="36">
        <f t="shared" si="3"/>
        <v>1484.16</v>
      </c>
      <c r="AB12" s="36">
        <f>IF($U12="",0,ROUND(MAX('1-6月基数信息'!I$5,MIN($U12,'1-6月基数信息'!I$6))*AB$3,2))</f>
        <v>416</v>
      </c>
      <c r="AC12" s="36">
        <f>IF($E12="农村",0,IF($U12="",0,ROUND(MAX('1-6月基数信息'!J$5,MIN($U12,'1-6月基数信息'!J$6))*AC$3,2)))</f>
        <v>0</v>
      </c>
      <c r="AD12" s="36">
        <f>IF($U12="",0,ROUND(MAX('1-6月基数信息'!K$5,MIN($U12,'1-6月基数信息'!K$6))*2%+3,2))</f>
        <v>114.14</v>
      </c>
      <c r="AE12" s="36">
        <f t="shared" si="4"/>
        <v>530.14</v>
      </c>
      <c r="AF12" s="26">
        <v>5200</v>
      </c>
      <c r="AG12" s="36">
        <f>IF($AF12="",0,ROUND(MAX('1-6月基数信息'!M$5,MIN($AF12,'1-6月基数信息'!M$6))*AG$3,0))</f>
        <v>260</v>
      </c>
      <c r="AH12" s="36">
        <f>IF($AF12="",0,ROUND(MAX('1-6月基数信息'!N$5,MIN($AF12,'1-6月基数信息'!N$6))*AH$3,0))</f>
        <v>260</v>
      </c>
      <c r="AI12" s="36">
        <f t="shared" si="5"/>
        <v>520</v>
      </c>
      <c r="AJ12" s="28"/>
      <c r="AK12" s="28"/>
      <c r="AL12" s="28"/>
      <c r="AM12" s="28"/>
      <c r="AN12" s="28"/>
      <c r="AO12" s="36">
        <v>5000</v>
      </c>
      <c r="AP12" s="63">
        <f t="shared" si="6"/>
        <v>27000</v>
      </c>
      <c r="AQ12" s="63">
        <f t="shared" si="7"/>
        <v>416</v>
      </c>
      <c r="AR12" s="63">
        <f t="shared" si="8"/>
        <v>114.14</v>
      </c>
      <c r="AS12" s="63">
        <f t="shared" si="9"/>
        <v>0</v>
      </c>
      <c r="AT12" s="63">
        <f t="shared" si="10"/>
        <v>260</v>
      </c>
      <c r="AU12" s="63">
        <f t="shared" si="11"/>
        <v>27000</v>
      </c>
      <c r="AV12" s="63">
        <f t="shared" si="12"/>
        <v>5000</v>
      </c>
      <c r="AW12" s="63">
        <f t="shared" si="13"/>
        <v>790.14</v>
      </c>
      <c r="AX12" s="63">
        <f t="shared" si="14"/>
        <v>0</v>
      </c>
      <c r="AY12" s="63">
        <f t="shared" si="15"/>
        <v>0</v>
      </c>
      <c r="AZ12" s="63">
        <f t="shared" si="16"/>
        <v>0</v>
      </c>
      <c r="BA12" s="63">
        <f t="shared" si="17"/>
        <v>0</v>
      </c>
      <c r="BB12" s="63">
        <f t="shared" si="18"/>
        <v>0</v>
      </c>
      <c r="BC12" s="63">
        <f t="shared" si="19"/>
        <v>21209.86</v>
      </c>
      <c r="BD12" s="63">
        <f>IF(BC12="","",MAX(0,BC12*{3;10;20;25;30;35;45}%-{0;2520;16920;31920;52920;85920;181920}))</f>
        <v>636.29579999999999</v>
      </c>
      <c r="BE12" s="63"/>
      <c r="BF12" s="63">
        <f t="shared" si="20"/>
        <v>636.29579999999999</v>
      </c>
      <c r="BG12" s="36">
        <f t="shared" si="21"/>
        <v>25573.564200000001</v>
      </c>
    </row>
    <row r="13" spans="1:59" ht="20.149999999999999" customHeight="1" x14ac:dyDescent="0.25">
      <c r="A13" s="14">
        <v>9</v>
      </c>
      <c r="B13" s="47" t="s">
        <v>65</v>
      </c>
      <c r="C13" s="47" t="s">
        <v>73</v>
      </c>
      <c r="D13" s="25" t="s">
        <v>79</v>
      </c>
      <c r="E13" s="14" t="s">
        <v>75</v>
      </c>
      <c r="F13" s="27" t="s">
        <v>80</v>
      </c>
      <c r="G13" s="28">
        <v>2400</v>
      </c>
      <c r="H13" s="28">
        <v>800</v>
      </c>
      <c r="I13" s="28">
        <v>4500</v>
      </c>
      <c r="J13" s="28">
        <v>2300</v>
      </c>
      <c r="K13" s="26">
        <v>0</v>
      </c>
      <c r="L13" s="28">
        <v>3000</v>
      </c>
      <c r="M13" s="28">
        <v>3000</v>
      </c>
      <c r="N13" s="36">
        <f t="shared" si="22"/>
        <v>16000</v>
      </c>
      <c r="O13" s="28">
        <v>22</v>
      </c>
      <c r="P13" s="28">
        <v>22</v>
      </c>
      <c r="Q13" s="36">
        <f t="shared" si="1"/>
        <v>0</v>
      </c>
      <c r="R13" s="36">
        <f t="shared" si="2"/>
        <v>0</v>
      </c>
      <c r="S13" s="36"/>
      <c r="T13" s="36">
        <f t="shared" si="23"/>
        <v>16000</v>
      </c>
      <c r="U13" s="26">
        <v>12800</v>
      </c>
      <c r="V13" s="36">
        <f>IF($U13="",0,ROUND(MAX('1-6月基数信息'!C$5,MIN($U13,'1-6月基数信息'!C$6))*V$3,2))</f>
        <v>2048</v>
      </c>
      <c r="W13" s="36">
        <f>IF($U13="",0,ROUND(MAX('1-6月基数信息'!D$5,MIN($U13,'1-6月基数信息'!D$6))*W$3,2))</f>
        <v>102.4</v>
      </c>
      <c r="X13" s="36">
        <f>IF($U13="",0,ROUND(MAX('1-6月基数信息'!E$5,MIN($U13,'1-6月基数信息'!E$6))*X$3,2))</f>
        <v>25.6</v>
      </c>
      <c r="Y13" s="36">
        <f>IF($U13="",0,ROUND(MAX('1-6月基数信息'!F$5,MIN($U13,'1-6月基数信息'!F$6))*Y$3,2))</f>
        <v>1280</v>
      </c>
      <c r="Z13" s="36">
        <f>IF($U13="",0,ROUND(MAX('1-6月基数信息'!G$5,MIN($U13,'1-6月基数信息'!G$6))*Z$3,2))</f>
        <v>102.4</v>
      </c>
      <c r="AA13" s="36">
        <f t="shared" si="3"/>
        <v>3558.4</v>
      </c>
      <c r="AB13" s="36">
        <f>IF($U13="",0,ROUND(MAX('1-6月基数信息'!I$5,MIN($U13,'1-6月基数信息'!I$6))*AB$3,2))</f>
        <v>1024</v>
      </c>
      <c r="AC13" s="36">
        <f>IF($E13="农村",0,IF($U13="",0,ROUND(MAX('1-6月基数信息'!J$5,MIN($U13,'1-6月基数信息'!J$6))*AC$3,2)))</f>
        <v>0</v>
      </c>
      <c r="AD13" s="36">
        <f>IF($U13="",0,ROUND(MAX('1-6月基数信息'!K$5,MIN($U13,'1-6月基数信息'!K$6))*2%+3,2))</f>
        <v>259</v>
      </c>
      <c r="AE13" s="36">
        <f t="shared" si="4"/>
        <v>1283</v>
      </c>
      <c r="AF13" s="26">
        <v>12800</v>
      </c>
      <c r="AG13" s="36">
        <f>IF($AF13="",0,ROUND(MAX('1-6月基数信息'!M$5,MIN($AF13,'1-6月基数信息'!M$6))*AG$3,0))</f>
        <v>640</v>
      </c>
      <c r="AH13" s="36">
        <f>IF($AF13="",0,ROUND(MAX('1-6月基数信息'!N$5,MIN($AF13,'1-6月基数信息'!N$6))*AH$3,0))</f>
        <v>640</v>
      </c>
      <c r="AI13" s="36">
        <f t="shared" si="5"/>
        <v>1280</v>
      </c>
      <c r="AJ13" s="28"/>
      <c r="AK13" s="28"/>
      <c r="AL13" s="28"/>
      <c r="AM13" s="28"/>
      <c r="AN13" s="28"/>
      <c r="AO13" s="36">
        <v>5000</v>
      </c>
      <c r="AP13" s="63">
        <f t="shared" si="6"/>
        <v>16000</v>
      </c>
      <c r="AQ13" s="63">
        <f t="shared" si="7"/>
        <v>1024</v>
      </c>
      <c r="AR13" s="63">
        <f t="shared" si="8"/>
        <v>259</v>
      </c>
      <c r="AS13" s="63">
        <f t="shared" si="9"/>
        <v>0</v>
      </c>
      <c r="AT13" s="63">
        <f t="shared" si="10"/>
        <v>640</v>
      </c>
      <c r="AU13" s="63">
        <f t="shared" si="11"/>
        <v>16000</v>
      </c>
      <c r="AV13" s="63">
        <f t="shared" si="12"/>
        <v>5000</v>
      </c>
      <c r="AW13" s="63">
        <f t="shared" si="13"/>
        <v>1923</v>
      </c>
      <c r="AX13" s="63">
        <f t="shared" si="14"/>
        <v>0</v>
      </c>
      <c r="AY13" s="63">
        <f t="shared" si="15"/>
        <v>0</v>
      </c>
      <c r="AZ13" s="63">
        <f t="shared" si="16"/>
        <v>0</v>
      </c>
      <c r="BA13" s="63">
        <f t="shared" si="17"/>
        <v>0</v>
      </c>
      <c r="BB13" s="63">
        <f t="shared" si="18"/>
        <v>0</v>
      </c>
      <c r="BC13" s="63">
        <f t="shared" si="19"/>
        <v>9077</v>
      </c>
      <c r="BD13" s="63">
        <f>IF(BC13="","",MAX(0,BC13*{3;10;20;25;30;35;45}%-{0;2520;16920;31920;52920;85920;181920}))</f>
        <v>272.31</v>
      </c>
      <c r="BE13" s="63"/>
      <c r="BF13" s="63">
        <f t="shared" si="20"/>
        <v>272.31</v>
      </c>
      <c r="BG13" s="36">
        <f t="shared" si="21"/>
        <v>13804.69</v>
      </c>
    </row>
    <row r="14" spans="1:59" ht="20.149999999999999" customHeight="1" x14ac:dyDescent="0.25">
      <c r="A14" s="14">
        <v>10</v>
      </c>
      <c r="B14" s="47" t="s">
        <v>65</v>
      </c>
      <c r="C14" s="47" t="s">
        <v>81</v>
      </c>
      <c r="D14" s="25" t="s">
        <v>82</v>
      </c>
      <c r="E14" s="14" t="s">
        <v>75</v>
      </c>
      <c r="F14" s="27" t="s">
        <v>83</v>
      </c>
      <c r="G14" s="28">
        <v>3000</v>
      </c>
      <c r="H14" s="28">
        <v>1000</v>
      </c>
      <c r="I14" s="28">
        <v>5000</v>
      </c>
      <c r="J14" s="28">
        <v>3000</v>
      </c>
      <c r="K14" s="26">
        <v>0</v>
      </c>
      <c r="L14" s="28">
        <v>3000</v>
      </c>
      <c r="M14" s="28">
        <v>3000</v>
      </c>
      <c r="N14" s="36">
        <f t="shared" si="22"/>
        <v>18000</v>
      </c>
      <c r="O14" s="28">
        <v>22</v>
      </c>
      <c r="P14" s="28">
        <v>22</v>
      </c>
      <c r="Q14" s="36">
        <f t="shared" si="1"/>
        <v>0</v>
      </c>
      <c r="R14" s="36">
        <f t="shared" si="2"/>
        <v>0</v>
      </c>
      <c r="S14" s="36"/>
      <c r="T14" s="36">
        <f t="shared" si="23"/>
        <v>18000</v>
      </c>
      <c r="U14" s="26">
        <v>9000</v>
      </c>
      <c r="V14" s="36">
        <f>IF($U14="",0,ROUND(MAX('1-6月基数信息'!C$5,MIN($U14,'1-6月基数信息'!C$6))*V$3,2))</f>
        <v>1440</v>
      </c>
      <c r="W14" s="36">
        <f>IF($U14="",0,ROUND(MAX('1-6月基数信息'!D$5,MIN($U14,'1-6月基数信息'!D$6))*W$3,2))</f>
        <v>72</v>
      </c>
      <c r="X14" s="36">
        <f>IF($U14="",0,ROUND(MAX('1-6月基数信息'!E$5,MIN($U14,'1-6月基数信息'!E$6))*X$3,2))</f>
        <v>18</v>
      </c>
      <c r="Y14" s="36">
        <f>IF($U14="",0,ROUND(MAX('1-6月基数信息'!F$5,MIN($U14,'1-6月基数信息'!F$6))*Y$3,2))</f>
        <v>900</v>
      </c>
      <c r="Z14" s="36">
        <f>IF($U14="",0,ROUND(MAX('1-6月基数信息'!G$5,MIN($U14,'1-6月基数信息'!G$6))*Z$3,2))</f>
        <v>72</v>
      </c>
      <c r="AA14" s="36">
        <f t="shared" si="3"/>
        <v>2502</v>
      </c>
      <c r="AB14" s="36">
        <f>IF($U14="",0,ROUND(MAX('1-6月基数信息'!I$5,MIN($U14,'1-6月基数信息'!I$6))*AB$3,2))</f>
        <v>720</v>
      </c>
      <c r="AC14" s="36">
        <f>IF($E14="农村",0,IF($U14="",0,ROUND(MAX('1-6月基数信息'!J$5,MIN($U14,'1-6月基数信息'!J$6))*AC$3,2)))</f>
        <v>0</v>
      </c>
      <c r="AD14" s="36">
        <f>IF($U14="",0,ROUND(MAX('1-6月基数信息'!K$5,MIN($U14,'1-6月基数信息'!K$6))*2%+3,2))</f>
        <v>183</v>
      </c>
      <c r="AE14" s="36">
        <f t="shared" si="4"/>
        <v>903</v>
      </c>
      <c r="AF14" s="26">
        <v>9000</v>
      </c>
      <c r="AG14" s="36">
        <f>IF($AF14="",0,ROUND(MAX('1-6月基数信息'!M$5,MIN($AF14,'1-6月基数信息'!M$6))*AG$3,0))</f>
        <v>450</v>
      </c>
      <c r="AH14" s="36">
        <f>IF($AF14="",0,ROUND(MAX('1-6月基数信息'!N$5,MIN($AF14,'1-6月基数信息'!N$6))*AH$3,0))</f>
        <v>450</v>
      </c>
      <c r="AI14" s="36">
        <f t="shared" si="5"/>
        <v>900</v>
      </c>
      <c r="AJ14" s="28"/>
      <c r="AK14" s="28"/>
      <c r="AL14" s="28"/>
      <c r="AM14" s="28"/>
      <c r="AN14" s="28"/>
      <c r="AO14" s="36">
        <v>5000</v>
      </c>
      <c r="AP14" s="63">
        <f t="shared" si="6"/>
        <v>18000</v>
      </c>
      <c r="AQ14" s="63">
        <f t="shared" si="7"/>
        <v>720</v>
      </c>
      <c r="AR14" s="63">
        <f t="shared" si="8"/>
        <v>183</v>
      </c>
      <c r="AS14" s="63">
        <f t="shared" si="9"/>
        <v>0</v>
      </c>
      <c r="AT14" s="63">
        <f t="shared" si="10"/>
        <v>450</v>
      </c>
      <c r="AU14" s="63">
        <f t="shared" si="11"/>
        <v>18000</v>
      </c>
      <c r="AV14" s="63">
        <f t="shared" si="12"/>
        <v>5000</v>
      </c>
      <c r="AW14" s="63">
        <f t="shared" si="13"/>
        <v>1353</v>
      </c>
      <c r="AX14" s="63">
        <f t="shared" si="14"/>
        <v>0</v>
      </c>
      <c r="AY14" s="63">
        <f t="shared" si="15"/>
        <v>0</v>
      </c>
      <c r="AZ14" s="63">
        <f t="shared" si="16"/>
        <v>0</v>
      </c>
      <c r="BA14" s="63">
        <f t="shared" si="17"/>
        <v>0</v>
      </c>
      <c r="BB14" s="63">
        <f t="shared" si="18"/>
        <v>0</v>
      </c>
      <c r="BC14" s="63">
        <f t="shared" si="19"/>
        <v>11647</v>
      </c>
      <c r="BD14" s="63">
        <f>IF(BC14="","",MAX(0,BC14*{3;10;20;25;30;35;45}%-{0;2520;16920;31920;52920;85920;181920}))</f>
        <v>349.40999999999997</v>
      </c>
      <c r="BE14" s="63"/>
      <c r="BF14" s="63">
        <f t="shared" si="20"/>
        <v>349.40999999999997</v>
      </c>
      <c r="BG14" s="36">
        <f t="shared" si="21"/>
        <v>16297.59</v>
      </c>
    </row>
    <row r="15" spans="1:59" ht="20.149999999999999" customHeight="1" x14ac:dyDescent="0.25">
      <c r="A15" s="14">
        <v>11</v>
      </c>
      <c r="B15" s="47" t="s">
        <v>84</v>
      </c>
      <c r="C15" s="47" t="s">
        <v>85</v>
      </c>
      <c r="D15" s="25" t="s">
        <v>82</v>
      </c>
      <c r="E15" s="14" t="s">
        <v>59</v>
      </c>
      <c r="F15" s="27" t="s">
        <v>86</v>
      </c>
      <c r="G15" s="28">
        <v>2500</v>
      </c>
      <c r="H15" s="28">
        <v>1000</v>
      </c>
      <c r="I15" s="28">
        <v>2000</v>
      </c>
      <c r="J15" s="28">
        <v>1500</v>
      </c>
      <c r="K15" s="26">
        <v>0</v>
      </c>
      <c r="L15" s="28">
        <v>1000</v>
      </c>
      <c r="M15" s="28">
        <v>3000</v>
      </c>
      <c r="N15" s="36">
        <f t="shared" si="22"/>
        <v>11000</v>
      </c>
      <c r="O15" s="28">
        <v>22</v>
      </c>
      <c r="P15" s="28">
        <v>19</v>
      </c>
      <c r="Q15" s="36">
        <f t="shared" si="1"/>
        <v>3</v>
      </c>
      <c r="R15" s="36">
        <f t="shared" si="2"/>
        <v>1517.24</v>
      </c>
      <c r="S15" s="36"/>
      <c r="T15" s="36">
        <f t="shared" si="23"/>
        <v>9482.76</v>
      </c>
      <c r="U15" s="26">
        <v>8800</v>
      </c>
      <c r="V15" s="36">
        <f>IF($U15="",0,ROUND(MAX('1-6月基数信息'!C$5,MIN($U15,'1-6月基数信息'!C$6))*V$3,2))</f>
        <v>1408</v>
      </c>
      <c r="W15" s="36">
        <f>IF($U15="",0,ROUND(MAX('1-6月基数信息'!D$5,MIN($U15,'1-6月基数信息'!D$6))*W$3,2))</f>
        <v>70.400000000000006</v>
      </c>
      <c r="X15" s="36">
        <f>IF($U15="",0,ROUND(MAX('1-6月基数信息'!E$5,MIN($U15,'1-6月基数信息'!E$6))*X$3,2))</f>
        <v>17.600000000000001</v>
      </c>
      <c r="Y15" s="36">
        <f>IF($U15="",0,ROUND(MAX('1-6月基数信息'!F$5,MIN($U15,'1-6月基数信息'!F$6))*Y$3,2))</f>
        <v>880</v>
      </c>
      <c r="Z15" s="36">
        <f>IF($U15="",0,ROUND(MAX('1-6月基数信息'!G$5,MIN($U15,'1-6月基数信息'!G$6))*Z$3,2))</f>
        <v>70.400000000000006</v>
      </c>
      <c r="AA15" s="36">
        <f t="shared" si="3"/>
        <v>2446.4</v>
      </c>
      <c r="AB15" s="36">
        <f>IF($U15="",0,ROUND(MAX('1-6月基数信息'!I$5,MIN($U15,'1-6月基数信息'!I$6))*AB$3,2))</f>
        <v>704</v>
      </c>
      <c r="AC15" s="36">
        <f>IF($E15="农村",0,IF($U15="",0,ROUND(MAX('1-6月基数信息'!J$5,MIN($U15,'1-6月基数信息'!J$6))*AC$3,2)))</f>
        <v>17.600000000000001</v>
      </c>
      <c r="AD15" s="36">
        <f>IF($U15="",0,ROUND(MAX('1-6月基数信息'!K$5,MIN($U15,'1-6月基数信息'!K$6))*2%+3,2))</f>
        <v>179</v>
      </c>
      <c r="AE15" s="36">
        <f t="shared" si="4"/>
        <v>900.6</v>
      </c>
      <c r="AF15" s="26">
        <v>8800</v>
      </c>
      <c r="AG15" s="36">
        <f>IF($AF15="",0,ROUND(MAX('1-6月基数信息'!M$5,MIN($AF15,'1-6月基数信息'!M$6))*AG$3,0))</f>
        <v>440</v>
      </c>
      <c r="AH15" s="36">
        <f>IF($AF15="",0,ROUND(MAX('1-6月基数信息'!N$5,MIN($AF15,'1-6月基数信息'!N$6))*AH$3,0))</f>
        <v>440</v>
      </c>
      <c r="AI15" s="36">
        <f t="shared" si="5"/>
        <v>880</v>
      </c>
      <c r="AJ15" s="28"/>
      <c r="AK15" s="28"/>
      <c r="AL15" s="28"/>
      <c r="AM15" s="28"/>
      <c r="AN15" s="28"/>
      <c r="AO15" s="36">
        <v>5000</v>
      </c>
      <c r="AP15" s="63">
        <f t="shared" si="6"/>
        <v>9482.76</v>
      </c>
      <c r="AQ15" s="63">
        <f t="shared" si="7"/>
        <v>704</v>
      </c>
      <c r="AR15" s="63">
        <f t="shared" si="8"/>
        <v>179</v>
      </c>
      <c r="AS15" s="63">
        <f t="shared" si="9"/>
        <v>17.600000000000001</v>
      </c>
      <c r="AT15" s="63">
        <f t="shared" si="10"/>
        <v>440</v>
      </c>
      <c r="AU15" s="63">
        <f t="shared" si="11"/>
        <v>9482.76</v>
      </c>
      <c r="AV15" s="63">
        <f t="shared" si="12"/>
        <v>5000</v>
      </c>
      <c r="AW15" s="63">
        <f t="shared" si="13"/>
        <v>1340.6</v>
      </c>
      <c r="AX15" s="63">
        <f t="shared" si="14"/>
        <v>0</v>
      </c>
      <c r="AY15" s="63">
        <f t="shared" si="15"/>
        <v>0</v>
      </c>
      <c r="AZ15" s="63">
        <f t="shared" si="16"/>
        <v>0</v>
      </c>
      <c r="BA15" s="63">
        <f t="shared" si="17"/>
        <v>0</v>
      </c>
      <c r="BB15" s="63">
        <f t="shared" si="18"/>
        <v>0</v>
      </c>
      <c r="BC15" s="63">
        <f t="shared" si="19"/>
        <v>3142.1600000000003</v>
      </c>
      <c r="BD15" s="63">
        <f>IF(BC15="","",MAX(0,BC15*{3;10;20;25;30;35;45}%-{0;2520;16920;31920;52920;85920;181920}))</f>
        <v>94.264800000000008</v>
      </c>
      <c r="BE15" s="63"/>
      <c r="BF15" s="63">
        <f t="shared" si="20"/>
        <v>94.264800000000008</v>
      </c>
      <c r="BG15" s="36">
        <f t="shared" si="21"/>
        <v>8047.8951999999999</v>
      </c>
    </row>
    <row r="16" spans="1:59" ht="20.149999999999999" customHeight="1" x14ac:dyDescent="0.25">
      <c r="A16" s="14">
        <v>12</v>
      </c>
      <c r="B16" s="47" t="s">
        <v>87</v>
      </c>
      <c r="C16" s="47" t="s">
        <v>88</v>
      </c>
      <c r="D16" s="25" t="s">
        <v>89</v>
      </c>
      <c r="E16" s="14" t="s">
        <v>59</v>
      </c>
      <c r="F16" s="27" t="s">
        <v>90</v>
      </c>
      <c r="G16" s="28">
        <v>2500</v>
      </c>
      <c r="H16" s="26">
        <v>0</v>
      </c>
      <c r="I16" s="28">
        <v>1000</v>
      </c>
      <c r="J16" s="28">
        <v>1500</v>
      </c>
      <c r="K16" s="26">
        <v>0</v>
      </c>
      <c r="L16" s="26">
        <v>0</v>
      </c>
      <c r="M16" s="28">
        <v>3000</v>
      </c>
      <c r="N16" s="36">
        <f t="shared" si="22"/>
        <v>8000</v>
      </c>
      <c r="O16" s="28">
        <v>22</v>
      </c>
      <c r="P16" s="28">
        <v>20</v>
      </c>
      <c r="Q16" s="36">
        <f t="shared" si="1"/>
        <v>2</v>
      </c>
      <c r="R16" s="36">
        <f t="shared" si="2"/>
        <v>735.63</v>
      </c>
      <c r="S16" s="36"/>
      <c r="T16" s="36">
        <f t="shared" si="23"/>
        <v>7264.37</v>
      </c>
      <c r="U16" s="26">
        <v>6400</v>
      </c>
      <c r="V16" s="36">
        <f>IF($U16="",0,ROUND(MAX('1-6月基数信息'!C$5,MIN($U16,'1-6月基数信息'!C$6))*V$3,2))</f>
        <v>1024</v>
      </c>
      <c r="W16" s="36">
        <f>IF($U16="",0,ROUND(MAX('1-6月基数信息'!D$5,MIN($U16,'1-6月基数信息'!D$6))*W$3,2))</f>
        <v>51.2</v>
      </c>
      <c r="X16" s="36">
        <f>IF($U16="",0,ROUND(MAX('1-6月基数信息'!E$5,MIN($U16,'1-6月基数信息'!E$6))*X$3,2))</f>
        <v>12.8</v>
      </c>
      <c r="Y16" s="36">
        <f>IF($U16="",0,ROUND(MAX('1-6月基数信息'!F$5,MIN($U16,'1-6月基数信息'!F$6))*Y$3,2))</f>
        <v>640</v>
      </c>
      <c r="Z16" s="36">
        <f>IF($U16="",0,ROUND(MAX('1-6月基数信息'!G$5,MIN($U16,'1-6月基数信息'!G$6))*Z$3,2))</f>
        <v>51.2</v>
      </c>
      <c r="AA16" s="36">
        <f t="shared" si="3"/>
        <v>1779.2</v>
      </c>
      <c r="AB16" s="36">
        <f>IF($U16="",0,ROUND(MAX('1-6月基数信息'!I$5,MIN($U16,'1-6月基数信息'!I$6))*AB$3,2))</f>
        <v>512</v>
      </c>
      <c r="AC16" s="36">
        <f>IF($E16="农村",0,IF($U16="",0,ROUND(MAX('1-6月基数信息'!J$5,MIN($U16,'1-6月基数信息'!J$6))*AC$3,2)))</f>
        <v>12.8</v>
      </c>
      <c r="AD16" s="36">
        <f>IF($U16="",0,ROUND(MAX('1-6月基数信息'!K$5,MIN($U16,'1-6月基数信息'!K$6))*2%+3,2))</f>
        <v>131</v>
      </c>
      <c r="AE16" s="36">
        <f t="shared" si="4"/>
        <v>655.8</v>
      </c>
      <c r="AF16" s="26">
        <v>6400</v>
      </c>
      <c r="AG16" s="36">
        <f>IF($AF16="",0,ROUND(MAX('1-6月基数信息'!M$5,MIN($AF16,'1-6月基数信息'!M$6))*AG$3,0))</f>
        <v>320</v>
      </c>
      <c r="AH16" s="36">
        <f>IF($AF16="",0,ROUND(MAX('1-6月基数信息'!N$5,MIN($AF16,'1-6月基数信息'!N$6))*AH$3,0))</f>
        <v>320</v>
      </c>
      <c r="AI16" s="36">
        <f t="shared" si="5"/>
        <v>640</v>
      </c>
      <c r="AJ16" s="28"/>
      <c r="AK16" s="28"/>
      <c r="AL16" s="28"/>
      <c r="AM16" s="28"/>
      <c r="AN16" s="28">
        <v>1500</v>
      </c>
      <c r="AO16" s="36">
        <v>5000</v>
      </c>
      <c r="AP16" s="63">
        <f t="shared" si="6"/>
        <v>7264.37</v>
      </c>
      <c r="AQ16" s="63">
        <f t="shared" si="7"/>
        <v>512</v>
      </c>
      <c r="AR16" s="63">
        <f t="shared" si="8"/>
        <v>131</v>
      </c>
      <c r="AS16" s="63">
        <f t="shared" si="9"/>
        <v>12.8</v>
      </c>
      <c r="AT16" s="63">
        <f t="shared" si="10"/>
        <v>320</v>
      </c>
      <c r="AU16" s="63">
        <f t="shared" si="11"/>
        <v>7264.37</v>
      </c>
      <c r="AV16" s="63">
        <f t="shared" si="12"/>
        <v>5000</v>
      </c>
      <c r="AW16" s="63">
        <f t="shared" si="13"/>
        <v>975.8</v>
      </c>
      <c r="AX16" s="63">
        <f t="shared" si="14"/>
        <v>0</v>
      </c>
      <c r="AY16" s="63">
        <f t="shared" si="15"/>
        <v>0</v>
      </c>
      <c r="AZ16" s="63">
        <f t="shared" si="16"/>
        <v>0</v>
      </c>
      <c r="BA16" s="63">
        <f t="shared" si="17"/>
        <v>0</v>
      </c>
      <c r="BB16" s="63">
        <f t="shared" si="18"/>
        <v>1500</v>
      </c>
      <c r="BC16" s="63">
        <f t="shared" si="19"/>
        <v>-211.43000000000006</v>
      </c>
      <c r="BD16" s="63">
        <f>IF(BC16="","",MAX(0,BC16*{3;10;20;25;30;35;45}%-{0;2520;16920;31920;52920;85920;181920}))</f>
        <v>0</v>
      </c>
      <c r="BE16" s="63"/>
      <c r="BF16" s="63">
        <f t="shared" si="20"/>
        <v>0</v>
      </c>
      <c r="BG16" s="36">
        <f t="shared" si="21"/>
        <v>6288.57</v>
      </c>
    </row>
    <row r="17" spans="1:59" ht="20.149999999999999" customHeight="1" x14ac:dyDescent="0.25">
      <c r="A17" s="14">
        <v>13</v>
      </c>
      <c r="B17" s="47" t="s">
        <v>91</v>
      </c>
      <c r="C17" s="47" t="s">
        <v>92</v>
      </c>
      <c r="D17" s="25" t="s">
        <v>93</v>
      </c>
      <c r="E17" s="14" t="s">
        <v>75</v>
      </c>
      <c r="F17" s="29" t="s">
        <v>94</v>
      </c>
      <c r="G17" s="28">
        <v>3000</v>
      </c>
      <c r="H17" s="28">
        <v>1000</v>
      </c>
      <c r="I17" s="28">
        <v>6000</v>
      </c>
      <c r="J17" s="28">
        <v>3000</v>
      </c>
      <c r="K17" s="26">
        <v>0</v>
      </c>
      <c r="L17" s="28">
        <v>4000</v>
      </c>
      <c r="M17" s="28">
        <v>3000</v>
      </c>
      <c r="N17" s="36">
        <f t="shared" si="22"/>
        <v>20000</v>
      </c>
      <c r="O17" s="28">
        <v>22</v>
      </c>
      <c r="P17" s="28">
        <v>22</v>
      </c>
      <c r="Q17" s="36">
        <f t="shared" si="1"/>
        <v>0</v>
      </c>
      <c r="R17" s="36">
        <f t="shared" si="2"/>
        <v>0</v>
      </c>
      <c r="S17" s="36"/>
      <c r="T17" s="36">
        <f t="shared" si="23"/>
        <v>20000</v>
      </c>
      <c r="U17" s="2">
        <v>5500</v>
      </c>
      <c r="V17" s="36">
        <f>IF($U17="",0,ROUND(MAX('1-6月基数信息'!C$5,MIN($U17,'1-6月基数信息'!C$6))*V$3,2))</f>
        <v>880</v>
      </c>
      <c r="W17" s="36">
        <f>IF($U17="",0,ROUND(MAX('1-6月基数信息'!D$5,MIN($U17,'1-6月基数信息'!D$6))*W$3,2))</f>
        <v>44</v>
      </c>
      <c r="X17" s="36">
        <f>IF($U17="",0,ROUND(MAX('1-6月基数信息'!E$5,MIN($U17,'1-6月基数信息'!E$6))*X$3,2))</f>
        <v>11</v>
      </c>
      <c r="Y17" s="36">
        <f>IF($U17="",0,ROUND(MAX('1-6月基数信息'!F$5,MIN($U17,'1-6月基数信息'!F$6))*Y$3,2))</f>
        <v>555.70000000000005</v>
      </c>
      <c r="Z17" s="36">
        <f>IF($U17="",0,ROUND(MAX('1-6月基数信息'!G$5,MIN($U17,'1-6月基数信息'!G$6))*Z$3,2))</f>
        <v>44.46</v>
      </c>
      <c r="AA17" s="36">
        <f t="shared" si="3"/>
        <v>1535.16</v>
      </c>
      <c r="AB17" s="36">
        <f>IF($U17="",0,ROUND(MAX('1-6月基数信息'!I$5,MIN($U17,'1-6月基数信息'!I$6))*AB$3,2))</f>
        <v>440</v>
      </c>
      <c r="AC17" s="36">
        <f>IF($E17="农村",0,IF($U17="",0,ROUND(MAX('1-6月基数信息'!J$5,MIN($U17,'1-6月基数信息'!J$6))*AC$3,2)))</f>
        <v>0</v>
      </c>
      <c r="AD17" s="36">
        <f>IF($U17="",0,ROUND(MAX('1-6月基数信息'!K$5,MIN($U17,'1-6月基数信息'!K$6))*2%+3,2))</f>
        <v>114.14</v>
      </c>
      <c r="AE17" s="36">
        <f t="shared" si="4"/>
        <v>554.14</v>
      </c>
      <c r="AF17" s="2">
        <v>5500</v>
      </c>
      <c r="AG17" s="36">
        <f>IF($AF17="",0,ROUND(MAX('1-6月基数信息'!M$5,MIN($AF17,'1-6月基数信息'!M$6))*AG$3,0))</f>
        <v>275</v>
      </c>
      <c r="AH17" s="36">
        <f>IF($AF17="",0,ROUND(MAX('1-6月基数信息'!N$5,MIN($AF17,'1-6月基数信息'!N$6))*AH$3,0))</f>
        <v>275</v>
      </c>
      <c r="AI17" s="36">
        <f t="shared" si="5"/>
        <v>550</v>
      </c>
      <c r="AJ17" s="28"/>
      <c r="AK17" s="28"/>
      <c r="AL17" s="28"/>
      <c r="AM17" s="28"/>
      <c r="AN17" s="28"/>
      <c r="AO17" s="36">
        <v>5000</v>
      </c>
      <c r="AP17" s="63">
        <f t="shared" si="6"/>
        <v>20000</v>
      </c>
      <c r="AQ17" s="63">
        <f t="shared" si="7"/>
        <v>440</v>
      </c>
      <c r="AR17" s="63">
        <f t="shared" si="8"/>
        <v>114.14</v>
      </c>
      <c r="AS17" s="63">
        <f t="shared" si="9"/>
        <v>0</v>
      </c>
      <c r="AT17" s="63">
        <f t="shared" si="10"/>
        <v>275</v>
      </c>
      <c r="AU17" s="63">
        <f t="shared" si="11"/>
        <v>20000</v>
      </c>
      <c r="AV17" s="63">
        <f t="shared" si="12"/>
        <v>5000</v>
      </c>
      <c r="AW17" s="63">
        <f t="shared" si="13"/>
        <v>829.14</v>
      </c>
      <c r="AX17" s="63">
        <f t="shared" si="14"/>
        <v>0</v>
      </c>
      <c r="AY17" s="63">
        <f t="shared" si="15"/>
        <v>0</v>
      </c>
      <c r="AZ17" s="63">
        <f t="shared" si="16"/>
        <v>0</v>
      </c>
      <c r="BA17" s="63">
        <f t="shared" si="17"/>
        <v>0</v>
      </c>
      <c r="BB17" s="63">
        <f t="shared" si="18"/>
        <v>0</v>
      </c>
      <c r="BC17" s="63">
        <f t="shared" si="19"/>
        <v>14170.86</v>
      </c>
      <c r="BD17" s="63">
        <f>IF(BC17="","",MAX(0,BC17*{3;10;20;25;30;35;45}%-{0;2520;16920;31920;52920;85920;181920}))</f>
        <v>425.12580000000003</v>
      </c>
      <c r="BE17" s="63"/>
      <c r="BF17" s="63">
        <f t="shared" si="20"/>
        <v>425.12580000000003</v>
      </c>
      <c r="BG17" s="36">
        <f t="shared" si="21"/>
        <v>18745.734199999999</v>
      </c>
    </row>
    <row r="18" spans="1:59" ht="20.149999999999999" customHeight="1" x14ac:dyDescent="0.25">
      <c r="A18" s="14">
        <v>14</v>
      </c>
      <c r="B18" s="47" t="s">
        <v>68</v>
      </c>
      <c r="C18" s="47" t="s">
        <v>95</v>
      </c>
      <c r="D18" s="48" t="s">
        <v>96</v>
      </c>
      <c r="E18" s="14" t="s">
        <v>75</v>
      </c>
      <c r="F18" s="29" t="s">
        <v>97</v>
      </c>
      <c r="G18" s="28">
        <v>2500</v>
      </c>
      <c r="H18" s="30">
        <v>1000</v>
      </c>
      <c r="I18" s="30">
        <v>2000</v>
      </c>
      <c r="J18" s="30">
        <v>2000</v>
      </c>
      <c r="K18" s="26">
        <v>0</v>
      </c>
      <c r="L18" s="28">
        <v>1500</v>
      </c>
      <c r="M18" s="28">
        <v>3000</v>
      </c>
      <c r="N18" s="36">
        <f t="shared" si="22"/>
        <v>12000</v>
      </c>
      <c r="O18" s="30">
        <v>22</v>
      </c>
      <c r="P18" s="30">
        <v>20</v>
      </c>
      <c r="Q18" s="36">
        <f t="shared" si="1"/>
        <v>2</v>
      </c>
      <c r="R18" s="36">
        <f t="shared" si="2"/>
        <v>1103.45</v>
      </c>
      <c r="S18" s="36"/>
      <c r="T18" s="36">
        <f t="shared" si="23"/>
        <v>10896.55</v>
      </c>
      <c r="U18" s="2">
        <v>5500</v>
      </c>
      <c r="V18" s="36">
        <f>IF($U18="",0,ROUND(MAX('1-6月基数信息'!C$5,MIN($U18,'1-6月基数信息'!C$6))*V$3,2))</f>
        <v>880</v>
      </c>
      <c r="W18" s="36">
        <f>IF($U18="",0,ROUND(MAX('1-6月基数信息'!D$5,MIN($U18,'1-6月基数信息'!D$6))*W$3,2))</f>
        <v>44</v>
      </c>
      <c r="X18" s="36">
        <f>IF($U18="",0,ROUND(MAX('1-6月基数信息'!E$5,MIN($U18,'1-6月基数信息'!E$6))*X$3,2))</f>
        <v>11</v>
      </c>
      <c r="Y18" s="36">
        <f>IF($U18="",0,ROUND(MAX('1-6月基数信息'!F$5,MIN($U18,'1-6月基数信息'!F$6))*Y$3,2))</f>
        <v>555.70000000000005</v>
      </c>
      <c r="Z18" s="36">
        <f>IF($U18="",0,ROUND(MAX('1-6月基数信息'!G$5,MIN($U18,'1-6月基数信息'!G$6))*Z$3,2))</f>
        <v>44.46</v>
      </c>
      <c r="AA18" s="36">
        <f t="shared" si="3"/>
        <v>1535.16</v>
      </c>
      <c r="AB18" s="36">
        <f>IF($U18="",0,ROUND(MAX('1-6月基数信息'!I$5,MIN($U18,'1-6月基数信息'!I$6))*AB$3,2))</f>
        <v>440</v>
      </c>
      <c r="AC18" s="36">
        <f>IF($E18="农村",0,IF($U18="",0,ROUND(MAX('1-6月基数信息'!J$5,MIN($U18,'1-6月基数信息'!J$6))*AC$3,2)))</f>
        <v>0</v>
      </c>
      <c r="AD18" s="36">
        <f>IF($U18="",0,ROUND(MAX('1-6月基数信息'!K$5,MIN($U18,'1-6月基数信息'!K$6))*2%+3,2))</f>
        <v>114.14</v>
      </c>
      <c r="AE18" s="36">
        <f t="shared" si="4"/>
        <v>554.14</v>
      </c>
      <c r="AF18" s="2">
        <v>5500</v>
      </c>
      <c r="AG18" s="36">
        <f>IF($AF18="",0,ROUND(MAX('1-6月基数信息'!M$5,MIN($AF18,'1-6月基数信息'!M$6))*AG$3,0))</f>
        <v>275</v>
      </c>
      <c r="AH18" s="36">
        <f>IF($AF18="",0,ROUND(MAX('1-6月基数信息'!N$5,MIN($AF18,'1-6月基数信息'!N$6))*AH$3,0))</f>
        <v>275</v>
      </c>
      <c r="AI18" s="36">
        <f t="shared" si="5"/>
        <v>550</v>
      </c>
      <c r="AJ18" s="28"/>
      <c r="AK18" s="28"/>
      <c r="AL18" s="28"/>
      <c r="AM18" s="28"/>
      <c r="AN18" s="28"/>
      <c r="AO18" s="36">
        <v>5000</v>
      </c>
      <c r="AP18" s="63">
        <f t="shared" si="6"/>
        <v>10896.55</v>
      </c>
      <c r="AQ18" s="63">
        <f t="shared" si="7"/>
        <v>440</v>
      </c>
      <c r="AR18" s="63">
        <f t="shared" si="8"/>
        <v>114.14</v>
      </c>
      <c r="AS18" s="63">
        <f t="shared" si="9"/>
        <v>0</v>
      </c>
      <c r="AT18" s="63">
        <f t="shared" si="10"/>
        <v>275</v>
      </c>
      <c r="AU18" s="63">
        <f t="shared" si="11"/>
        <v>10896.55</v>
      </c>
      <c r="AV18" s="63">
        <f t="shared" si="12"/>
        <v>5000</v>
      </c>
      <c r="AW18" s="63">
        <f t="shared" si="13"/>
        <v>829.14</v>
      </c>
      <c r="AX18" s="63">
        <f t="shared" si="14"/>
        <v>0</v>
      </c>
      <c r="AY18" s="63">
        <f t="shared" si="15"/>
        <v>0</v>
      </c>
      <c r="AZ18" s="63">
        <f t="shared" si="16"/>
        <v>0</v>
      </c>
      <c r="BA18" s="63">
        <f t="shared" si="17"/>
        <v>0</v>
      </c>
      <c r="BB18" s="63">
        <f t="shared" si="18"/>
        <v>0</v>
      </c>
      <c r="BC18" s="63">
        <f t="shared" si="19"/>
        <v>5067.4099999999989</v>
      </c>
      <c r="BD18" s="63">
        <f>IF(BC18="","",MAX(0,BC18*{3;10;20;25;30;35;45}%-{0;2520;16920;31920;52920;85920;181920}))</f>
        <v>152.02229999999997</v>
      </c>
      <c r="BE18" s="63"/>
      <c r="BF18" s="63">
        <f t="shared" si="20"/>
        <v>152.02229999999997</v>
      </c>
      <c r="BG18" s="36">
        <f t="shared" si="21"/>
        <v>9915.3876999999993</v>
      </c>
    </row>
    <row r="19" spans="1:59" ht="20.149999999999999" customHeight="1" x14ac:dyDescent="0.25">
      <c r="A19" s="14">
        <v>15</v>
      </c>
      <c r="B19" s="47" t="s">
        <v>68</v>
      </c>
      <c r="C19" s="47" t="s">
        <v>69</v>
      </c>
      <c r="D19" s="48" t="s">
        <v>98</v>
      </c>
      <c r="E19" s="14" t="s">
        <v>59</v>
      </c>
      <c r="F19" s="29" t="s">
        <v>99</v>
      </c>
      <c r="G19" s="28">
        <v>3000</v>
      </c>
      <c r="H19" s="30">
        <v>1000</v>
      </c>
      <c r="I19" s="30">
        <v>5000</v>
      </c>
      <c r="J19" s="30">
        <v>3000</v>
      </c>
      <c r="K19" s="26">
        <v>0</v>
      </c>
      <c r="L19" s="28">
        <v>3000</v>
      </c>
      <c r="M19" s="28">
        <v>3000</v>
      </c>
      <c r="N19" s="36">
        <f t="shared" si="22"/>
        <v>18000</v>
      </c>
      <c r="O19" s="30">
        <v>22</v>
      </c>
      <c r="P19" s="30">
        <v>21</v>
      </c>
      <c r="Q19" s="36">
        <f t="shared" si="1"/>
        <v>1</v>
      </c>
      <c r="R19" s="36">
        <f t="shared" si="2"/>
        <v>827.59</v>
      </c>
      <c r="S19" s="36"/>
      <c r="T19" s="36">
        <f t="shared" si="23"/>
        <v>17172.41</v>
      </c>
      <c r="U19" s="2">
        <v>5500</v>
      </c>
      <c r="V19" s="36">
        <f>IF($U19="",0,ROUND(MAX('1-6月基数信息'!C$5,MIN($U19,'1-6月基数信息'!C$6))*V$3,2))</f>
        <v>880</v>
      </c>
      <c r="W19" s="36">
        <f>IF($U19="",0,ROUND(MAX('1-6月基数信息'!D$5,MIN($U19,'1-6月基数信息'!D$6))*W$3,2))</f>
        <v>44</v>
      </c>
      <c r="X19" s="36">
        <f>IF($U19="",0,ROUND(MAX('1-6月基数信息'!E$5,MIN($U19,'1-6月基数信息'!E$6))*X$3,2))</f>
        <v>11</v>
      </c>
      <c r="Y19" s="36">
        <f>IF($U19="",0,ROUND(MAX('1-6月基数信息'!F$5,MIN($U19,'1-6月基数信息'!F$6))*Y$3,2))</f>
        <v>555.70000000000005</v>
      </c>
      <c r="Z19" s="36">
        <f>IF($U19="",0,ROUND(MAX('1-6月基数信息'!G$5,MIN($U19,'1-6月基数信息'!G$6))*Z$3,2))</f>
        <v>44.46</v>
      </c>
      <c r="AA19" s="36">
        <f t="shared" si="3"/>
        <v>1535.16</v>
      </c>
      <c r="AB19" s="36">
        <f>IF($U19="",0,ROUND(MAX('1-6月基数信息'!I$5,MIN($U19,'1-6月基数信息'!I$6))*AB$3,2))</f>
        <v>440</v>
      </c>
      <c r="AC19" s="36">
        <f>IF($E19="农村",0,IF($U19="",0,ROUND(MAX('1-6月基数信息'!J$5,MIN($U19,'1-6月基数信息'!J$6))*AC$3,2)))</f>
        <v>11</v>
      </c>
      <c r="AD19" s="36">
        <f>IF($U19="",0,ROUND(MAX('1-6月基数信息'!K$5,MIN($U19,'1-6月基数信息'!K$6))*2%+3,2))</f>
        <v>114.14</v>
      </c>
      <c r="AE19" s="36">
        <f t="shared" si="4"/>
        <v>565.14</v>
      </c>
      <c r="AF19" s="2">
        <v>5500</v>
      </c>
      <c r="AG19" s="36">
        <f>IF($AF19="",0,ROUND(MAX('1-6月基数信息'!M$5,MIN($AF19,'1-6月基数信息'!M$6))*AG$3,0))</f>
        <v>275</v>
      </c>
      <c r="AH19" s="36">
        <f>IF($AF19="",0,ROUND(MAX('1-6月基数信息'!N$5,MIN($AF19,'1-6月基数信息'!N$6))*AH$3,0))</f>
        <v>275</v>
      </c>
      <c r="AI19" s="36">
        <f t="shared" si="5"/>
        <v>550</v>
      </c>
      <c r="AJ19" s="28">
        <v>1000</v>
      </c>
      <c r="AK19" s="28">
        <v>1000</v>
      </c>
      <c r="AL19" s="28"/>
      <c r="AM19" s="28"/>
      <c r="AN19" s="28"/>
      <c r="AO19" s="36">
        <v>5000</v>
      </c>
      <c r="AP19" s="63">
        <f t="shared" si="6"/>
        <v>17172.41</v>
      </c>
      <c r="AQ19" s="63">
        <f t="shared" si="7"/>
        <v>440</v>
      </c>
      <c r="AR19" s="63">
        <f t="shared" si="8"/>
        <v>114.14</v>
      </c>
      <c r="AS19" s="63">
        <f t="shared" si="9"/>
        <v>11</v>
      </c>
      <c r="AT19" s="63">
        <f t="shared" si="10"/>
        <v>275</v>
      </c>
      <c r="AU19" s="63">
        <f t="shared" si="11"/>
        <v>17172.41</v>
      </c>
      <c r="AV19" s="63">
        <f t="shared" si="12"/>
        <v>5000</v>
      </c>
      <c r="AW19" s="63">
        <f t="shared" si="13"/>
        <v>840.14</v>
      </c>
      <c r="AX19" s="63">
        <f t="shared" si="14"/>
        <v>1000</v>
      </c>
      <c r="AY19" s="63">
        <f t="shared" si="15"/>
        <v>1000</v>
      </c>
      <c r="AZ19" s="63">
        <f t="shared" si="16"/>
        <v>0</v>
      </c>
      <c r="BA19" s="63">
        <f t="shared" si="17"/>
        <v>0</v>
      </c>
      <c r="BB19" s="63">
        <f t="shared" si="18"/>
        <v>0</v>
      </c>
      <c r="BC19" s="63">
        <f t="shared" si="19"/>
        <v>9332.27</v>
      </c>
      <c r="BD19" s="63">
        <f>IF(BC19="","",MAX(0,BC19*{3;10;20;25;30;35;45}%-{0;2520;16920;31920;52920;85920;181920}))</f>
        <v>279.96809999999999</v>
      </c>
      <c r="BE19" s="63"/>
      <c r="BF19" s="63">
        <f t="shared" si="20"/>
        <v>279.96809999999999</v>
      </c>
      <c r="BG19" s="36">
        <f t="shared" si="21"/>
        <v>16052.3019</v>
      </c>
    </row>
    <row r="20" spans="1:59" ht="20.149999999999999" customHeight="1" x14ac:dyDescent="0.25">
      <c r="A20" s="14">
        <v>16</v>
      </c>
      <c r="B20" s="47" t="s">
        <v>87</v>
      </c>
      <c r="C20" s="47" t="s">
        <v>88</v>
      </c>
      <c r="D20" s="25" t="s">
        <v>100</v>
      </c>
      <c r="E20" s="14" t="s">
        <v>59</v>
      </c>
      <c r="F20" s="29" t="s">
        <v>101</v>
      </c>
      <c r="G20" s="28">
        <v>2500</v>
      </c>
      <c r="H20" s="26">
        <v>0</v>
      </c>
      <c r="I20" s="28">
        <v>1500</v>
      </c>
      <c r="J20" s="28">
        <v>1500</v>
      </c>
      <c r="K20" s="26">
        <v>0</v>
      </c>
      <c r="L20" s="26">
        <v>0</v>
      </c>
      <c r="M20" s="28">
        <v>3000</v>
      </c>
      <c r="N20" s="36">
        <f t="shared" si="22"/>
        <v>8500</v>
      </c>
      <c r="O20" s="28">
        <v>22</v>
      </c>
      <c r="P20" s="28">
        <v>22</v>
      </c>
      <c r="Q20" s="36">
        <f t="shared" si="1"/>
        <v>0</v>
      </c>
      <c r="R20" s="36">
        <f t="shared" si="2"/>
        <v>0</v>
      </c>
      <c r="S20" s="36"/>
      <c r="T20" s="36">
        <f t="shared" si="23"/>
        <v>8500</v>
      </c>
      <c r="U20" s="2">
        <v>5500</v>
      </c>
      <c r="V20" s="36">
        <f>IF($U20="",0,ROUND(MAX('1-6月基数信息'!C$5,MIN($U20,'1-6月基数信息'!C$6))*V$3,2))</f>
        <v>880</v>
      </c>
      <c r="W20" s="36">
        <f>IF($U20="",0,ROUND(MAX('1-6月基数信息'!D$5,MIN($U20,'1-6月基数信息'!D$6))*W$3,2))</f>
        <v>44</v>
      </c>
      <c r="X20" s="36">
        <f>IF($U20="",0,ROUND(MAX('1-6月基数信息'!E$5,MIN($U20,'1-6月基数信息'!E$6))*X$3,2))</f>
        <v>11</v>
      </c>
      <c r="Y20" s="36">
        <f>IF($U20="",0,ROUND(MAX('1-6月基数信息'!F$5,MIN($U20,'1-6月基数信息'!F$6))*Y$3,2))</f>
        <v>555.70000000000005</v>
      </c>
      <c r="Z20" s="36">
        <f>IF($U20="",0,ROUND(MAX('1-6月基数信息'!G$5,MIN($U20,'1-6月基数信息'!G$6))*Z$3,2))</f>
        <v>44.46</v>
      </c>
      <c r="AA20" s="36">
        <f t="shared" si="3"/>
        <v>1535.16</v>
      </c>
      <c r="AB20" s="36">
        <f>IF($U20="",0,ROUND(MAX('1-6月基数信息'!I$5,MIN($U20,'1-6月基数信息'!I$6))*AB$3,2))</f>
        <v>440</v>
      </c>
      <c r="AC20" s="36">
        <f>IF($E20="农村",0,IF($U20="",0,ROUND(MAX('1-6月基数信息'!J$5,MIN($U20,'1-6月基数信息'!J$6))*AC$3,2)))</f>
        <v>11</v>
      </c>
      <c r="AD20" s="36">
        <f>IF($U20="",0,ROUND(MAX('1-6月基数信息'!K$5,MIN($U20,'1-6月基数信息'!K$6))*2%+3,2))</f>
        <v>114.14</v>
      </c>
      <c r="AE20" s="36">
        <f t="shared" si="4"/>
        <v>565.14</v>
      </c>
      <c r="AF20" s="2">
        <v>5500</v>
      </c>
      <c r="AG20" s="36">
        <f>IF($AF20="",0,ROUND(MAX('1-6月基数信息'!M$5,MIN($AF20,'1-6月基数信息'!M$6))*AG$3,0))</f>
        <v>275</v>
      </c>
      <c r="AH20" s="36">
        <f>IF($AF20="",0,ROUND(MAX('1-6月基数信息'!N$5,MIN($AF20,'1-6月基数信息'!N$6))*AH$3,0))</f>
        <v>275</v>
      </c>
      <c r="AI20" s="36">
        <f t="shared" si="5"/>
        <v>550</v>
      </c>
      <c r="AJ20" s="28"/>
      <c r="AK20" s="28"/>
      <c r="AL20" s="28"/>
      <c r="AM20" s="28"/>
      <c r="AN20" s="28"/>
      <c r="AO20" s="36">
        <v>5000</v>
      </c>
      <c r="AP20" s="63">
        <f t="shared" si="6"/>
        <v>8500</v>
      </c>
      <c r="AQ20" s="63">
        <f t="shared" si="7"/>
        <v>440</v>
      </c>
      <c r="AR20" s="63">
        <f t="shared" si="8"/>
        <v>114.14</v>
      </c>
      <c r="AS20" s="63">
        <f t="shared" si="9"/>
        <v>11</v>
      </c>
      <c r="AT20" s="63">
        <f t="shared" si="10"/>
        <v>275</v>
      </c>
      <c r="AU20" s="63">
        <f t="shared" si="11"/>
        <v>8500</v>
      </c>
      <c r="AV20" s="63">
        <f t="shared" si="12"/>
        <v>5000</v>
      </c>
      <c r="AW20" s="63">
        <f t="shared" si="13"/>
        <v>840.14</v>
      </c>
      <c r="AX20" s="63">
        <f t="shared" si="14"/>
        <v>0</v>
      </c>
      <c r="AY20" s="63">
        <f t="shared" si="15"/>
        <v>0</v>
      </c>
      <c r="AZ20" s="63">
        <f t="shared" si="16"/>
        <v>0</v>
      </c>
      <c r="BA20" s="63">
        <f t="shared" si="17"/>
        <v>0</v>
      </c>
      <c r="BB20" s="63">
        <f t="shared" si="18"/>
        <v>0</v>
      </c>
      <c r="BC20" s="63">
        <f t="shared" si="19"/>
        <v>2659.86</v>
      </c>
      <c r="BD20" s="63">
        <f>IF(BC20="","",MAX(0,BC20*{3;10;20;25;30;35;45}%-{0;2520;16920;31920;52920;85920;181920}))</f>
        <v>79.7958</v>
      </c>
      <c r="BE20" s="63"/>
      <c r="BF20" s="63">
        <f t="shared" si="20"/>
        <v>79.7958</v>
      </c>
      <c r="BG20" s="36">
        <f t="shared" si="21"/>
        <v>7580.0641999999998</v>
      </c>
    </row>
    <row r="21" spans="1:59" ht="20.149999999999999" customHeight="1" x14ac:dyDescent="0.25">
      <c r="A21" s="14">
        <v>17</v>
      </c>
      <c r="B21" s="47" t="s">
        <v>65</v>
      </c>
      <c r="C21" s="47" t="s">
        <v>102</v>
      </c>
      <c r="D21" s="25" t="s">
        <v>103</v>
      </c>
      <c r="E21" s="14" t="s">
        <v>59</v>
      </c>
      <c r="F21" s="29" t="s">
        <v>104</v>
      </c>
      <c r="G21" s="28">
        <v>6000</v>
      </c>
      <c r="H21" s="31">
        <v>2000</v>
      </c>
      <c r="I21" s="28">
        <v>5000</v>
      </c>
      <c r="J21" s="28">
        <v>3000</v>
      </c>
      <c r="K21" s="26">
        <v>0</v>
      </c>
      <c r="L21" s="28">
        <v>6000</v>
      </c>
      <c r="M21" s="28">
        <v>3000</v>
      </c>
      <c r="N21" s="36">
        <f t="shared" si="22"/>
        <v>25000</v>
      </c>
      <c r="O21" s="28">
        <v>22</v>
      </c>
      <c r="P21" s="28">
        <v>22</v>
      </c>
      <c r="Q21" s="36">
        <f t="shared" si="1"/>
        <v>0</v>
      </c>
      <c r="R21" s="36">
        <f t="shared" si="2"/>
        <v>0</v>
      </c>
      <c r="S21" s="36"/>
      <c r="T21" s="36">
        <f t="shared" si="23"/>
        <v>25000</v>
      </c>
      <c r="U21" s="2">
        <v>8000</v>
      </c>
      <c r="V21" s="36">
        <f>IF($U21="",0,ROUND(MAX('1-6月基数信息'!C$5,MIN($U21,'1-6月基数信息'!C$6))*V$3,2))</f>
        <v>1280</v>
      </c>
      <c r="W21" s="36">
        <f>IF($U21="",0,ROUND(MAX('1-6月基数信息'!D$5,MIN($U21,'1-6月基数信息'!D$6))*W$3,2))</f>
        <v>64</v>
      </c>
      <c r="X21" s="36">
        <f>IF($U21="",0,ROUND(MAX('1-6月基数信息'!E$5,MIN($U21,'1-6月基数信息'!E$6))*X$3,2))</f>
        <v>16</v>
      </c>
      <c r="Y21" s="36">
        <f>IF($U21="",0,ROUND(MAX('1-6月基数信息'!F$5,MIN($U21,'1-6月基数信息'!F$6))*Y$3,2))</f>
        <v>800</v>
      </c>
      <c r="Z21" s="36">
        <f>IF($U21="",0,ROUND(MAX('1-6月基数信息'!G$5,MIN($U21,'1-6月基数信息'!G$6))*Z$3,2))</f>
        <v>64</v>
      </c>
      <c r="AA21" s="36">
        <f t="shared" si="3"/>
        <v>2224</v>
      </c>
      <c r="AB21" s="36">
        <f>IF($U21="",0,ROUND(MAX('1-6月基数信息'!I$5,MIN($U21,'1-6月基数信息'!I$6))*AB$3,2))</f>
        <v>640</v>
      </c>
      <c r="AC21" s="36">
        <f>IF($E21="农村",0,IF($U21="",0,ROUND(MAX('1-6月基数信息'!J$5,MIN($U21,'1-6月基数信息'!J$6))*AC$3,2)))</f>
        <v>16</v>
      </c>
      <c r="AD21" s="36">
        <f>IF($U21="",0,ROUND(MAX('1-6月基数信息'!K$5,MIN($U21,'1-6月基数信息'!K$6))*2%+3,2))</f>
        <v>163</v>
      </c>
      <c r="AE21" s="36">
        <f t="shared" si="4"/>
        <v>819</v>
      </c>
      <c r="AF21" s="2">
        <v>8000</v>
      </c>
      <c r="AG21" s="36">
        <f>IF($AF21="",0,ROUND(MAX('1-6月基数信息'!M$5,MIN($AF21,'1-6月基数信息'!M$6))*AG$3,0))</f>
        <v>400</v>
      </c>
      <c r="AH21" s="36">
        <f>IF($AF21="",0,ROUND(MAX('1-6月基数信息'!N$5,MIN($AF21,'1-6月基数信息'!N$6))*AH$3,0))</f>
        <v>400</v>
      </c>
      <c r="AI21" s="36">
        <f t="shared" si="5"/>
        <v>800</v>
      </c>
      <c r="AJ21" s="28"/>
      <c r="AK21" s="28"/>
      <c r="AL21" s="28"/>
      <c r="AM21" s="28">
        <v>1000</v>
      </c>
      <c r="AN21" s="28"/>
      <c r="AO21" s="36">
        <v>5000</v>
      </c>
      <c r="AP21" s="63">
        <f t="shared" si="6"/>
        <v>25000</v>
      </c>
      <c r="AQ21" s="63">
        <f t="shared" si="7"/>
        <v>640</v>
      </c>
      <c r="AR21" s="63">
        <f t="shared" si="8"/>
        <v>163</v>
      </c>
      <c r="AS21" s="63">
        <f t="shared" si="9"/>
        <v>16</v>
      </c>
      <c r="AT21" s="63">
        <f t="shared" si="10"/>
        <v>400</v>
      </c>
      <c r="AU21" s="63">
        <f t="shared" si="11"/>
        <v>25000</v>
      </c>
      <c r="AV21" s="63">
        <f t="shared" si="12"/>
        <v>5000</v>
      </c>
      <c r="AW21" s="63">
        <f t="shared" si="13"/>
        <v>1219</v>
      </c>
      <c r="AX21" s="63">
        <f t="shared" si="14"/>
        <v>0</v>
      </c>
      <c r="AY21" s="63">
        <f t="shared" si="15"/>
        <v>0</v>
      </c>
      <c r="AZ21" s="63">
        <f t="shared" si="16"/>
        <v>0</v>
      </c>
      <c r="BA21" s="63">
        <f t="shared" si="17"/>
        <v>1000</v>
      </c>
      <c r="BB21" s="63">
        <f t="shared" si="18"/>
        <v>0</v>
      </c>
      <c r="BC21" s="63">
        <f t="shared" si="19"/>
        <v>17781</v>
      </c>
      <c r="BD21" s="63">
        <f>IF(BC21="","",MAX(0,BC21*{3;10;20;25;30;35;45}%-{0;2520;16920;31920;52920;85920;181920}))</f>
        <v>533.42999999999995</v>
      </c>
      <c r="BE21" s="63"/>
      <c r="BF21" s="63">
        <f t="shared" si="20"/>
        <v>533.42999999999995</v>
      </c>
      <c r="BG21" s="36">
        <f t="shared" si="21"/>
        <v>23247.57</v>
      </c>
    </row>
    <row r="22" spans="1:59" ht="20.149999999999999" customHeight="1" x14ac:dyDescent="0.25">
      <c r="A22" s="14">
        <v>18</v>
      </c>
      <c r="B22" s="25"/>
      <c r="C22" s="25"/>
      <c r="D22" s="25"/>
      <c r="E22" s="14"/>
      <c r="F22" s="49"/>
      <c r="G22" s="28"/>
      <c r="H22" s="31"/>
      <c r="I22" s="28"/>
      <c r="J22" s="28"/>
      <c r="K22" s="28"/>
      <c r="L22" s="28"/>
      <c r="M22" s="28"/>
      <c r="N22" s="36">
        <f t="shared" si="22"/>
        <v>0</v>
      </c>
      <c r="O22" s="28"/>
      <c r="P22" s="28"/>
      <c r="Q22" s="36">
        <f t="shared" si="1"/>
        <v>0</v>
      </c>
      <c r="R22" s="36">
        <f t="shared" si="2"/>
        <v>0</v>
      </c>
      <c r="S22" s="36"/>
      <c r="T22" s="36">
        <f t="shared" si="23"/>
        <v>0</v>
      </c>
      <c r="U22" s="28"/>
      <c r="V22" s="36">
        <f>IF($U22="",0,ROUND(MAX('1-6月基数信息'!C$5,MIN($U22,'1-6月基数信息'!C$6))*V$3,2))</f>
        <v>0</v>
      </c>
      <c r="W22" s="36">
        <f>IF($U22="",0,ROUND(MAX('1-6月基数信息'!D$5,MIN($U22,'1-6月基数信息'!D$6))*W$3,2))</f>
        <v>0</v>
      </c>
      <c r="X22" s="36">
        <f>IF($U22="",0,ROUND(MAX('1-6月基数信息'!E$5,MIN($U22,'1-6月基数信息'!E$6))*X$3,2))</f>
        <v>0</v>
      </c>
      <c r="Y22" s="36">
        <f>IF($U22="",0,ROUND(MAX('1-6月基数信息'!F$5,MIN($U22,'1-6月基数信息'!F$6))*Y$3,2))</f>
        <v>0</v>
      </c>
      <c r="Z22" s="36">
        <f>IF($U22="",0,ROUND(MAX('1-6月基数信息'!G$5,MIN($U22,'1-6月基数信息'!G$6))*Z$3,2))</f>
        <v>0</v>
      </c>
      <c r="AA22" s="36">
        <f t="shared" si="3"/>
        <v>0</v>
      </c>
      <c r="AB22" s="36">
        <f>IF($U22="",0,ROUND(MAX('1-6月基数信息'!I$5,MIN($U22,'1-6月基数信息'!I$6))*AB$3,2))</f>
        <v>0</v>
      </c>
      <c r="AC22" s="36">
        <f>IF($E22="农村",0,IF($U22="",0,ROUND(MAX('1-6月基数信息'!J$5,MIN($U22,'1-6月基数信息'!J$6))*AC$3,2)))</f>
        <v>0</v>
      </c>
      <c r="AD22" s="36">
        <f>IF($U22="",0,ROUND(MAX('1-6月基数信息'!K$5,MIN($U22,'1-6月基数信息'!K$6))*2%+3,2))</f>
        <v>0</v>
      </c>
      <c r="AE22" s="36">
        <f t="shared" si="4"/>
        <v>0</v>
      </c>
      <c r="AF22" s="28"/>
      <c r="AG22" s="36">
        <f>IF($AF22="",0,ROUND(MAX('1-6月基数信息'!M$5,MIN($AF22,'1-6月基数信息'!M$6))*AG$3,0))</f>
        <v>0</v>
      </c>
      <c r="AH22" s="36">
        <f>IF($AF22="",0,ROUND(MAX('1-6月基数信息'!N$5,MIN($AF22,'1-6月基数信息'!N$6))*AH$3,0))</f>
        <v>0</v>
      </c>
      <c r="AI22" s="36">
        <f t="shared" si="5"/>
        <v>0</v>
      </c>
      <c r="AJ22" s="28"/>
      <c r="AK22" s="28"/>
      <c r="AL22" s="28"/>
      <c r="AM22" s="28"/>
      <c r="AN22" s="28"/>
      <c r="AO22" s="36">
        <v>5000</v>
      </c>
      <c r="AP22" s="63">
        <f t="shared" si="6"/>
        <v>0</v>
      </c>
      <c r="AQ22" s="63">
        <f t="shared" si="7"/>
        <v>0</v>
      </c>
      <c r="AR22" s="63">
        <f t="shared" si="8"/>
        <v>0</v>
      </c>
      <c r="AS22" s="63">
        <f t="shared" si="9"/>
        <v>0</v>
      </c>
      <c r="AT22" s="63">
        <f t="shared" si="10"/>
        <v>0</v>
      </c>
      <c r="AU22" s="63">
        <f t="shared" si="11"/>
        <v>0</v>
      </c>
      <c r="AV22" s="63">
        <f t="shared" si="12"/>
        <v>5000</v>
      </c>
      <c r="AW22" s="63">
        <f t="shared" si="13"/>
        <v>0</v>
      </c>
      <c r="AX22" s="63">
        <f t="shared" si="14"/>
        <v>0</v>
      </c>
      <c r="AY22" s="63">
        <f t="shared" si="15"/>
        <v>0</v>
      </c>
      <c r="AZ22" s="63">
        <f t="shared" si="16"/>
        <v>0</v>
      </c>
      <c r="BA22" s="63">
        <f t="shared" si="17"/>
        <v>0</v>
      </c>
      <c r="BB22" s="63">
        <f t="shared" si="18"/>
        <v>0</v>
      </c>
      <c r="BC22" s="63">
        <f t="shared" si="19"/>
        <v>-5000</v>
      </c>
      <c r="BD22" s="63">
        <f>IF(BC22="","",MAX(0,BC22*{3;10;20;25;30;35;45}%-{0;2520;16920;31920;52920;85920;181920}))</f>
        <v>0</v>
      </c>
      <c r="BE22" s="63"/>
      <c r="BF22" s="63">
        <f t="shared" si="20"/>
        <v>0</v>
      </c>
      <c r="BG22" s="36">
        <f t="shared" si="21"/>
        <v>0</v>
      </c>
    </row>
    <row r="23" spans="1:59" ht="20.149999999999999" customHeight="1" x14ac:dyDescent="0.25">
      <c r="A23" s="14">
        <v>19</v>
      </c>
      <c r="B23" s="25"/>
      <c r="C23" s="25"/>
      <c r="D23" s="25"/>
      <c r="E23" s="14"/>
      <c r="F23" s="49"/>
      <c r="G23" s="28"/>
      <c r="H23" s="31"/>
      <c r="I23" s="28"/>
      <c r="J23" s="28"/>
      <c r="K23" s="28"/>
      <c r="L23" s="28"/>
      <c r="M23" s="28"/>
      <c r="N23" s="36">
        <f t="shared" si="22"/>
        <v>0</v>
      </c>
      <c r="O23" s="28"/>
      <c r="P23" s="28"/>
      <c r="Q23" s="36">
        <f t="shared" si="1"/>
        <v>0</v>
      </c>
      <c r="R23" s="36">
        <f t="shared" si="2"/>
        <v>0</v>
      </c>
      <c r="S23" s="36"/>
      <c r="T23" s="36">
        <f t="shared" si="23"/>
        <v>0</v>
      </c>
      <c r="U23" s="28"/>
      <c r="V23" s="36">
        <f>IF($U23="",0,ROUND(MAX('1-6月基数信息'!C$5,MIN($U23,'1-6月基数信息'!C$6))*V$3,2))</f>
        <v>0</v>
      </c>
      <c r="W23" s="36">
        <f>IF($U23="",0,ROUND(MAX('1-6月基数信息'!D$5,MIN($U23,'1-6月基数信息'!D$6))*W$3,2))</f>
        <v>0</v>
      </c>
      <c r="X23" s="36">
        <f>IF($U23="",0,ROUND(MAX('1-6月基数信息'!E$5,MIN($U23,'1-6月基数信息'!E$6))*X$3,2))</f>
        <v>0</v>
      </c>
      <c r="Y23" s="36">
        <f>IF($U23="",0,ROUND(MAX('1-6月基数信息'!F$5,MIN($U23,'1-6月基数信息'!F$6))*Y$3,2))</f>
        <v>0</v>
      </c>
      <c r="Z23" s="36">
        <f>IF($U23="",0,ROUND(MAX('1-6月基数信息'!G$5,MIN($U23,'1-6月基数信息'!G$6))*Z$3,2))</f>
        <v>0</v>
      </c>
      <c r="AA23" s="36">
        <f t="shared" si="3"/>
        <v>0</v>
      </c>
      <c r="AB23" s="36">
        <f>IF($U23="",0,ROUND(MAX('1-6月基数信息'!I$5,MIN($U23,'1-6月基数信息'!I$6))*AB$3,2))</f>
        <v>0</v>
      </c>
      <c r="AC23" s="36">
        <f>IF($E23="农村",0,IF($U23="",0,ROUND(MAX('1-6月基数信息'!J$5,MIN($U23,'1-6月基数信息'!J$6))*AC$3,2)))</f>
        <v>0</v>
      </c>
      <c r="AD23" s="36">
        <f>IF($U23="",0,ROUND(MAX('1-6月基数信息'!K$5,MIN($U23,'1-6月基数信息'!K$6))*2%+3,2))</f>
        <v>0</v>
      </c>
      <c r="AE23" s="36">
        <f t="shared" si="4"/>
        <v>0</v>
      </c>
      <c r="AF23" s="28"/>
      <c r="AG23" s="36">
        <f>IF($AF23="",0,ROUND(MAX('1-6月基数信息'!M$5,MIN($AF23,'1-6月基数信息'!M$6))*AG$3,0))</f>
        <v>0</v>
      </c>
      <c r="AH23" s="36">
        <f>IF($AF23="",0,ROUND(MAX('1-6月基数信息'!N$5,MIN($AF23,'1-6月基数信息'!N$6))*AH$3,0))</f>
        <v>0</v>
      </c>
      <c r="AI23" s="36">
        <f t="shared" si="5"/>
        <v>0</v>
      </c>
      <c r="AJ23" s="28"/>
      <c r="AK23" s="28"/>
      <c r="AL23" s="28"/>
      <c r="AM23" s="28"/>
      <c r="AN23" s="28"/>
      <c r="AO23" s="36">
        <v>5000</v>
      </c>
      <c r="AP23" s="63">
        <f t="shared" si="6"/>
        <v>0</v>
      </c>
      <c r="AQ23" s="63">
        <f t="shared" si="7"/>
        <v>0</v>
      </c>
      <c r="AR23" s="63">
        <f t="shared" si="8"/>
        <v>0</v>
      </c>
      <c r="AS23" s="63">
        <f t="shared" si="9"/>
        <v>0</v>
      </c>
      <c r="AT23" s="63">
        <f t="shared" si="10"/>
        <v>0</v>
      </c>
      <c r="AU23" s="63">
        <f t="shared" si="11"/>
        <v>0</v>
      </c>
      <c r="AV23" s="63">
        <f t="shared" si="12"/>
        <v>5000</v>
      </c>
      <c r="AW23" s="63">
        <f t="shared" si="13"/>
        <v>0</v>
      </c>
      <c r="AX23" s="63">
        <f t="shared" si="14"/>
        <v>0</v>
      </c>
      <c r="AY23" s="63">
        <f t="shared" si="15"/>
        <v>0</v>
      </c>
      <c r="AZ23" s="63">
        <f t="shared" si="16"/>
        <v>0</v>
      </c>
      <c r="BA23" s="63">
        <f t="shared" si="17"/>
        <v>0</v>
      </c>
      <c r="BB23" s="63">
        <f t="shared" si="18"/>
        <v>0</v>
      </c>
      <c r="BC23" s="63">
        <f t="shared" si="19"/>
        <v>-5000</v>
      </c>
      <c r="BD23" s="63">
        <f>IF(BC23="","",MAX(0,BC23*{3;10;20;25;30;35;45}%-{0;2520;16920;31920;52920;85920;181920}))</f>
        <v>0</v>
      </c>
      <c r="BE23" s="63"/>
      <c r="BF23" s="63">
        <f t="shared" si="20"/>
        <v>0</v>
      </c>
      <c r="BG23" s="36">
        <f t="shared" si="21"/>
        <v>0</v>
      </c>
    </row>
    <row r="24" spans="1:59" s="42" customFormat="1" ht="20.149999999999999" customHeight="1" x14ac:dyDescent="0.25">
      <c r="A24" s="50" t="s">
        <v>105</v>
      </c>
      <c r="G24" s="42">
        <f>SUM(G5:G23)</f>
        <v>73600</v>
      </c>
      <c r="H24" s="42">
        <f t="shared" ref="H24:N24" si="24">SUM(H5:H23)</f>
        <v>21800</v>
      </c>
      <c r="I24" s="42">
        <f t="shared" si="24"/>
        <v>52800</v>
      </c>
      <c r="J24" s="42">
        <f t="shared" si="24"/>
        <v>35800</v>
      </c>
      <c r="K24" s="42">
        <f t="shared" si="24"/>
        <v>5000</v>
      </c>
      <c r="L24" s="42">
        <f t="shared" si="24"/>
        <v>37500</v>
      </c>
      <c r="M24" s="42">
        <f t="shared" si="24"/>
        <v>51000</v>
      </c>
      <c r="N24" s="42">
        <f t="shared" si="24"/>
        <v>277500</v>
      </c>
      <c r="Q24" s="42">
        <f t="shared" ref="Q24" si="25">SUM(Q5:Q23)</f>
        <v>9</v>
      </c>
      <c r="R24" s="42">
        <f t="shared" ref="R24" si="26">SUM(R5:R23)</f>
        <v>4597.7</v>
      </c>
      <c r="T24" s="42">
        <f t="shared" ref="T24:V24" si="27">SUM(T5:T23)</f>
        <v>237902.3</v>
      </c>
      <c r="V24" s="42">
        <f t="shared" si="27"/>
        <v>18160</v>
      </c>
      <c r="W24" s="42">
        <f t="shared" ref="W24" si="28">SUM(W5:W23)</f>
        <v>908</v>
      </c>
      <c r="X24" s="42">
        <f t="shared" ref="X24" si="29">SUM(X5:X23)</f>
        <v>227</v>
      </c>
      <c r="Y24" s="42">
        <f t="shared" ref="Y24" si="30">SUM(Y5:Y23)</f>
        <v>11529.900000000001</v>
      </c>
      <c r="Z24" s="42">
        <f t="shared" ref="Z24" si="31">SUM(Z5:Z23)</f>
        <v>922.42000000000019</v>
      </c>
      <c r="AA24" s="42">
        <f t="shared" ref="AA24" si="32">SUM(AA5:AA23)</f>
        <v>31747.32</v>
      </c>
      <c r="AB24" s="42">
        <f t="shared" ref="AB24" si="33">SUM(AB5:AB23)</f>
        <v>9080</v>
      </c>
      <c r="AC24" s="42">
        <f t="shared" ref="AC24" si="34">SUM(AC5:AC23)</f>
        <v>135</v>
      </c>
      <c r="AD24" s="42">
        <f t="shared" ref="AD24" si="35">SUM(AD5:AD23)</f>
        <v>2356.98</v>
      </c>
      <c r="AE24" s="42">
        <f t="shared" ref="AE24:AG24" si="36">SUM(AE5:AE23)</f>
        <v>11571.979999999998</v>
      </c>
      <c r="AG24" s="42">
        <f t="shared" si="36"/>
        <v>5675</v>
      </c>
      <c r="AH24" s="42">
        <f t="shared" ref="AH24" si="37">SUM(AH5:AH23)</f>
        <v>5675</v>
      </c>
      <c r="AI24" s="42">
        <f t="shared" ref="AI24" si="38">SUM(AI5:AI23)</f>
        <v>11350</v>
      </c>
      <c r="AP24" s="42">
        <f t="shared" ref="AP24" si="39">SUM(AP5:AP23)</f>
        <v>237902.3</v>
      </c>
      <c r="AQ24" s="42">
        <f t="shared" ref="AQ24" si="40">SUM(AQ5:AQ23)</f>
        <v>9080</v>
      </c>
      <c r="AR24" s="42">
        <f t="shared" ref="AR24" si="41">SUM(AR5:AR23)</f>
        <v>2356.98</v>
      </c>
      <c r="AS24" s="42">
        <f t="shared" ref="AS24" si="42">SUM(AS5:AS23)</f>
        <v>135</v>
      </c>
      <c r="AT24" s="42">
        <f t="shared" ref="AT24" si="43">SUM(AT5:AT23)</f>
        <v>5675</v>
      </c>
      <c r="AU24" s="42">
        <f t="shared" ref="AU24" si="44">SUM(AU5:AU23)</f>
        <v>237902.3</v>
      </c>
      <c r="AV24" s="42">
        <f t="shared" ref="AV24" si="45">SUM(AV5:AV23)</f>
        <v>95000</v>
      </c>
      <c r="AW24" s="42">
        <f t="shared" ref="AW24" si="46">SUM(AW5:AW23)</f>
        <v>17246.979999999996</v>
      </c>
      <c r="AX24" s="42">
        <f t="shared" ref="AX24" si="47">SUM(AX5:AX23)</f>
        <v>4000</v>
      </c>
      <c r="AY24" s="42">
        <f t="shared" ref="AY24" si="48">SUM(AY5:AY23)</f>
        <v>10000</v>
      </c>
      <c r="AZ24" s="42">
        <f t="shared" ref="AZ24" si="49">SUM(AZ5:AZ23)</f>
        <v>400</v>
      </c>
      <c r="BA24" s="42">
        <f t="shared" ref="BA24" si="50">SUM(BA5:BA23)</f>
        <v>3000</v>
      </c>
      <c r="BB24" s="42">
        <f t="shared" ref="BB24" si="51">SUM(BB5:BB23)</f>
        <v>1500</v>
      </c>
      <c r="BC24" s="42">
        <f t="shared" ref="BC24" si="52">SUM(BC5:BC23)</f>
        <v>106755.32000000002</v>
      </c>
      <c r="BD24" s="42">
        <f t="shared" ref="BD24" si="53">SUM(BD5:BD23)</f>
        <v>3531.4346999999998</v>
      </c>
      <c r="BE24" s="42">
        <f t="shared" ref="BE24" si="54">SUM(BE5:BE23)</f>
        <v>0</v>
      </c>
      <c r="BF24" s="42">
        <f t="shared" ref="BF24" si="55">SUM(BF5:BF23)</f>
        <v>3531.4346999999998</v>
      </c>
      <c r="BG24" s="42">
        <f t="shared" ref="BG24" si="56">SUM(BG5:BG23)</f>
        <v>217123.88529999999</v>
      </c>
    </row>
    <row r="25" spans="1:59" ht="20.149999999999999" customHeight="1" x14ac:dyDescent="0.25">
      <c r="B25" s="51" t="s">
        <v>106</v>
      </c>
      <c r="C25" s="52">
        <f>AA24+AE24</f>
        <v>43319.299999999996</v>
      </c>
    </row>
    <row r="26" spans="1:59" ht="20.149999999999999" customHeight="1" x14ac:dyDescent="0.25">
      <c r="B26" s="51" t="s">
        <v>107</v>
      </c>
      <c r="C26" s="52">
        <f>AI24</f>
        <v>11350</v>
      </c>
    </row>
    <row r="27" spans="1:59" ht="20.149999999999999" customHeight="1" x14ac:dyDescent="0.25">
      <c r="B27" s="51" t="s">
        <v>108</v>
      </c>
      <c r="C27" s="52">
        <f>T24+AA24+AG24</f>
        <v>275324.62</v>
      </c>
    </row>
  </sheetData>
  <mergeCells count="36">
    <mergeCell ref="BF2:BF4"/>
    <mergeCell ref="BG2:BG4"/>
    <mergeCell ref="AX2:BB3"/>
    <mergeCell ref="AJ2:AN3"/>
    <mergeCell ref="O2:R3"/>
    <mergeCell ref="AV2:AV4"/>
    <mergeCell ref="AW2:AW4"/>
    <mergeCell ref="BC2:BC4"/>
    <mergeCell ref="BD2:BD4"/>
    <mergeCell ref="BE2:BE4"/>
    <mergeCell ref="U2:U4"/>
    <mergeCell ref="AF2:AF4"/>
    <mergeCell ref="AO2:AO4"/>
    <mergeCell ref="AP2:AP4"/>
    <mergeCell ref="AU2:AU4"/>
    <mergeCell ref="L2:L4"/>
    <mergeCell ref="M2:M4"/>
    <mergeCell ref="N2:N4"/>
    <mergeCell ref="S2:S4"/>
    <mergeCell ref="T2:T4"/>
    <mergeCell ref="A1:BG1"/>
    <mergeCell ref="V2:AA2"/>
    <mergeCell ref="AB2:AE2"/>
    <mergeCell ref="AG2:AI2"/>
    <mergeCell ref="AQ2:AT2"/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K2:K4"/>
  </mergeCells>
  <phoneticPr fontId="21" type="noConversion"/>
  <dataValidations count="1">
    <dataValidation type="list" allowBlank="1" showInputMessage="1" showErrorMessage="1" sqref="E5:E23" xr:uid="{00000000-0002-0000-0400-000000000000}">
      <formula1>"城镇,农村"</formula1>
    </dataValidation>
  </dataValidations>
  <pageMargins left="0.69930555555555596" right="0.69930555555555596" top="0.75" bottom="0.75" header="0.3" footer="0.3"/>
  <pageSetup paperSize="9" orientation="portrait" horizontalDpi="180" verticalDpi="18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3 n I U G L U G m + o A A A A + A A A A B I A H A B D b 2 5 m a W c v U G F j a 2 F n Z S 5 4 b W w g o h g A K K A U A A A A A A A A A A A A A A A A A A A A A A A A A A A A h Y / B C o J A F E V / R W b v P G e k E n m O C 7 c Z Q R B t B 5 1 0 S M f Q M a V f a 9 E n 9 Q s J Z b V r e S / n w r m P 2 x 3 j s a 6 c i 2 o 7 3 Z i I M O o R R 5 m s y b U p I t L b o x u Q W O B W Z i d Z K G e C T R e O n Y 5 I a e 0 5 B B i G g Q 4 + b d o C u O c x O K T r X V a q W r r a d F a a T J H P K v + / I g L 3 L x n B a c D o I v A Z X S 0 5 w l x j q s 0 X 4 Z M x 9 R B + S k z 6 y v a t E t f S T T Y I c 0 R 4 v x B P U E s D B B Q A A g A I A I d 5 y F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H e c h Q K I p H u A 4 A A A A R A A A A E w A c A E Z v c m 1 1 b G F z L 1 N l Y 3 R p b 2 4 x L m 0 g o h g A K K A U A A A A A A A A A A A A A A A A A A A A A A A A A A A A K 0 5 N L s n M z 1 M I h t C G 1 g B Q S w E C L Q A U A A I A C A C H e c h Q Y t Q a b 6 g A A A D 4 A A A A E g A A A A A A A A A A A A A A A A A A A A A A Q 2 9 u Z m l n L 1 B h Y 2 t h Z 2 U u e G 1 s U E s B A i 0 A F A A C A A g A h 3 n I U A / K 6 a u k A A A A 6 Q A A A B M A A A A A A A A A A A A A A A A A 9 A A A A F t D b 2 5 0 Z W 5 0 X 1 R 5 c G V z X S 5 4 b W x Q S w E C L Q A U A A I A C A C H e c h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I q 0 F c J U V U u s F B x f e 1 Y M 9 g A A A A A C A A A A A A A Q Z g A A A A E A A C A A A A B W u V 1 j o / q n B g b 5 d J I V W 2 h w r S r G V p U 8 2 a 5 r 6 q U H W F J 6 N g A A A A A O g A A A A A I A A C A A A A B i G x T a + R X M 7 F L e A 7 L I S Y U T R g p x 0 g o T U 7 N c i v 5 P v Z v P L F A A A A D f 9 / b / y f Z d q 1 L G r T t g / D 0 q R 4 I o A i C c S C a 5 b N j x W K 7 N / S t G v x q i j A I M 6 k c a F 1 Z N f X k o s O H N z E s i F E B 1 4 G 3 S / + s 8 p 1 a 0 F g i b h 4 B 3 a z 4 Q m D V U x U A A A A A d x 4 N 7 q p 9 E O m p T U 8 k R 9 6 J P I B 7 l m Q j T f R H r t S K 1 A P e w z 9 C i O i y x + v m W e + S f F y D 8 c g 1 / Q f L V H y 2 7 T E j W t E y g p N X s < / D a t a M a s h u p > 
</file>

<file path=customXml/itemProps1.xml><?xml version="1.0" encoding="utf-8"?>
<ds:datastoreItem xmlns:ds="http://schemas.openxmlformats.org/officeDocument/2006/customXml" ds:itemID="{D12003B2-3BD8-401B-A956-621ABB622F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6月工资表</vt:lpstr>
      <vt:lpstr>6月工资条</vt:lpstr>
      <vt:lpstr>5月工资表</vt:lpstr>
      <vt:lpstr>5月工资条</vt:lpstr>
      <vt:lpstr>4月工资表</vt:lpstr>
      <vt:lpstr>4月工资条</vt:lpstr>
      <vt:lpstr>3月工资表</vt:lpstr>
      <vt:lpstr>3月工资条</vt:lpstr>
      <vt:lpstr>1月工资表</vt:lpstr>
      <vt:lpstr>1月工资条</vt:lpstr>
      <vt:lpstr>2月工资表</vt:lpstr>
      <vt:lpstr>2月工资条</vt:lpstr>
      <vt:lpstr>1-6月基数信息</vt:lpstr>
      <vt:lpstr>7-12月基数信息-待修改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86139</cp:lastModifiedBy>
  <cp:lastPrinted>2020-02-06T03:48:00Z</cp:lastPrinted>
  <dcterms:created xsi:type="dcterms:W3CDTF">2006-09-16T00:00:00Z</dcterms:created>
  <dcterms:modified xsi:type="dcterms:W3CDTF">2020-08-07T05:21:23Z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</vt:lpwstr>
  </property>
  <property fmtid="{D5CDD505-2E9C-101B-9397-08002B2CF9AE}" pid="3" name="KSOProductBuildVer">
    <vt:lpwstr>2052-11.1.0.9584</vt:lpwstr>
  </property>
</Properties>
</file>