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codeName="ThisWorkbook"/>
  <xr:revisionPtr revIDLastSave="0" documentId="13_ncr:1_{58C78B3D-DAD1-4509-8FDD-F67954294261}" xr6:coauthVersionLast="45" xr6:coauthVersionMax="45" xr10:uidLastSave="{00000000-0000-0000-0000-000000000000}"/>
  <bookViews>
    <workbookView xWindow="-108" yWindow="-108" windowWidth="23256" windowHeight="12576" tabRatio="820" activeTab="1" xr2:uid="{00000000-000D-0000-FFFF-FFFF00000000}"/>
  </bookViews>
  <sheets>
    <sheet name="7月工资表" sheetId="67" r:id="rId1"/>
    <sheet name="7月社保和公积金明细表" sheetId="66" r:id="rId2"/>
    <sheet name="6月工资表" sheetId="64" r:id="rId3"/>
    <sheet name="6月汇总工资表" sheetId="65" r:id="rId4"/>
    <sheet name="6月社保和公积金明细表" sheetId="63" r:id="rId5"/>
    <sheet name="5月工资表" sheetId="61" r:id="rId6"/>
    <sheet name="5月汇总工资表" sheetId="62" r:id="rId7"/>
    <sheet name="5月社保和公积金明细表" sheetId="60" r:id="rId8"/>
    <sheet name="4月工资表" sheetId="59" r:id="rId9"/>
    <sheet name="4月汇总工资表" sheetId="58" r:id="rId10"/>
    <sheet name="4月社保和公积金明细表" sheetId="57" r:id="rId11"/>
    <sheet name="3月汇总工资表" sheetId="54" r:id="rId12"/>
    <sheet name="3月工资表" sheetId="55" r:id="rId13"/>
    <sheet name="3月社保明细表" sheetId="56" r:id="rId14"/>
    <sheet name="2月汇总工资表" sheetId="53" r:id="rId15"/>
    <sheet name="2月工资表" sheetId="51" r:id="rId16"/>
    <sheet name="2月社保明细表" sheetId="50" r:id="rId17"/>
    <sheet name="1月工资表" sheetId="49" r:id="rId18"/>
    <sheet name="1月汇总工资表" sheetId="48" r:id="rId19"/>
    <sheet name="1月社保明细表" sheetId="46" r:id="rId20"/>
    <sheet name="劳务费个税计算" sheetId="7" r:id="rId21"/>
  </sheets>
  <definedNames>
    <definedName name="_xlnm.Print_Area" localSheetId="17">'1月工资表'!$B$1:$X$14</definedName>
    <definedName name="_xlnm.Print_Area" localSheetId="18">'1月汇总工资表'!$B$1:$X$15</definedName>
    <definedName name="_xlnm.Print_Area" localSheetId="19">'1月社保明细表'!$B$1:$M$15</definedName>
    <definedName name="_xlnm.Print_Area" localSheetId="15">'2月工资表'!$B$1:$X$15</definedName>
    <definedName name="_xlnm.Print_Area" localSheetId="14">'2月汇总工资表'!$B$1:$X$15</definedName>
    <definedName name="_xlnm.Print_Area" localSheetId="16">'2月社保明细表'!$B$1:$M$16</definedName>
    <definedName name="_xlnm.Print_Area" localSheetId="12">'3月工资表'!$B$1:$X$14</definedName>
    <definedName name="_xlnm.Print_Area" localSheetId="11">'3月汇总工资表'!$B$1:$X$14</definedName>
    <definedName name="_xlnm.Print_Area" localSheetId="13">'3月社保明细表'!$B$1:$M$17</definedName>
    <definedName name="_xlnm.Print_Area" localSheetId="8">'4月工资表'!$B$1:$AB$17</definedName>
    <definedName name="_xlnm.Print_Area" localSheetId="9">'4月汇总工资表'!$B$1:$X$15</definedName>
    <definedName name="_xlnm.Print_Area" localSheetId="10">'4月社保和公积金明细表'!$B$1:$P$20</definedName>
    <definedName name="_xlnm.Print_Area" localSheetId="5">'5月工资表'!$B$1:$AC$18</definedName>
    <definedName name="_xlnm.Print_Area" localSheetId="6">'5月汇总工资表'!$B$1:$X$15</definedName>
    <definedName name="_xlnm.Print_Area" localSheetId="7">'5月社保和公积金明细表'!$B$1:$P$20</definedName>
    <definedName name="_xlnm.Print_Area" localSheetId="2">'6月工资表'!$B$1:$AC$19</definedName>
    <definedName name="_xlnm.Print_Area" localSheetId="3">'6月汇总工资表'!$B$1:$X$15</definedName>
    <definedName name="_xlnm.Print_Area" localSheetId="4">'6月社保和公积金明细表'!$B$1:$P$21</definedName>
    <definedName name="_xlnm.Print_Area" localSheetId="0">'7月工资表'!$B$1:$AH$20</definedName>
    <definedName name="_xlnm.Print_Area" localSheetId="1">'7月社保和公积金明细表'!$B$1:$T$22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" i="66" l="1"/>
  <c r="T14" i="66"/>
  <c r="O25" i="67"/>
  <c r="P25" i="67"/>
  <c r="Q25" i="67"/>
  <c r="R25" i="67"/>
  <c r="O27" i="67"/>
  <c r="P27" i="67"/>
  <c r="Q27" i="67"/>
  <c r="R27" i="67"/>
  <c r="O17" i="67"/>
  <c r="T7" i="67"/>
  <c r="T8" i="67"/>
  <c r="T9" i="67"/>
  <c r="T10" i="67"/>
  <c r="T11" i="67"/>
  <c r="T12" i="67"/>
  <c r="T13" i="67"/>
  <c r="T14" i="67"/>
  <c r="T6" i="67"/>
  <c r="M7" i="67"/>
  <c r="M8" i="67"/>
  <c r="M9" i="67"/>
  <c r="M10" i="67"/>
  <c r="N10" i="67" s="1"/>
  <c r="M11" i="67"/>
  <c r="M12" i="67"/>
  <c r="M13" i="67"/>
  <c r="N13" i="67" s="1"/>
  <c r="M14" i="67"/>
  <c r="N14" i="67" s="1"/>
  <c r="M6" i="67"/>
  <c r="P6" i="67" s="1"/>
  <c r="N6" i="67"/>
  <c r="N7" i="67"/>
  <c r="N8" i="67"/>
  <c r="N9" i="67"/>
  <c r="N11" i="67"/>
  <c r="N12" i="67"/>
  <c r="P7" i="67"/>
  <c r="P8" i="67"/>
  <c r="P9" i="67"/>
  <c r="P11" i="67"/>
  <c r="P12" i="67"/>
  <c r="Q17" i="66"/>
  <c r="Q18" i="66"/>
  <c r="Q16" i="66"/>
  <c r="Q7" i="66"/>
  <c r="Q8" i="66"/>
  <c r="Q9" i="66"/>
  <c r="Q10" i="66"/>
  <c r="Q11" i="66"/>
  <c r="Q12" i="66"/>
  <c r="Q13" i="66"/>
  <c r="Q14" i="66"/>
  <c r="Q6" i="66"/>
  <c r="F19" i="66"/>
  <c r="P17" i="66"/>
  <c r="P18" i="66"/>
  <c r="P16" i="66"/>
  <c r="O17" i="66"/>
  <c r="O18" i="66"/>
  <c r="O16" i="66"/>
  <c r="N17" i="66"/>
  <c r="N18" i="66"/>
  <c r="N16" i="66"/>
  <c r="M17" i="66"/>
  <c r="M18" i="66"/>
  <c r="M16" i="66"/>
  <c r="L17" i="66"/>
  <c r="L18" i="66"/>
  <c r="L16" i="66"/>
  <c r="K17" i="66"/>
  <c r="K18" i="66"/>
  <c r="K16" i="66"/>
  <c r="J17" i="66"/>
  <c r="J18" i="66"/>
  <c r="J16" i="66"/>
  <c r="I17" i="66"/>
  <c r="I18" i="66"/>
  <c r="I16" i="66"/>
  <c r="H17" i="66"/>
  <c r="H18" i="66"/>
  <c r="H16" i="66"/>
  <c r="G17" i="66"/>
  <c r="G18" i="66"/>
  <c r="G16" i="66"/>
  <c r="F17" i="66"/>
  <c r="F18" i="66"/>
  <c r="F16" i="66"/>
  <c r="L7" i="66"/>
  <c r="L8" i="66"/>
  <c r="L9" i="66"/>
  <c r="L10" i="66"/>
  <c r="L11" i="66"/>
  <c r="L12" i="66"/>
  <c r="L13" i="66"/>
  <c r="M13" i="66" s="1"/>
  <c r="L14" i="66"/>
  <c r="M14" i="66" s="1"/>
  <c r="L6" i="66"/>
  <c r="M6" i="66" s="1"/>
  <c r="J7" i="66"/>
  <c r="J8" i="66"/>
  <c r="J9" i="66"/>
  <c r="J10" i="66"/>
  <c r="J11" i="66"/>
  <c r="J12" i="66"/>
  <c r="J13" i="66"/>
  <c r="J14" i="66"/>
  <c r="K14" i="66" s="1"/>
  <c r="J6" i="66"/>
  <c r="K6" i="66" s="1"/>
  <c r="H7" i="66"/>
  <c r="H8" i="66"/>
  <c r="H9" i="66"/>
  <c r="H10" i="66"/>
  <c r="H11" i="66"/>
  <c r="O11" i="66" s="1"/>
  <c r="H12" i="66"/>
  <c r="I12" i="66" s="1"/>
  <c r="H13" i="66"/>
  <c r="O13" i="66" s="1"/>
  <c r="H14" i="66"/>
  <c r="O14" i="66" s="1"/>
  <c r="H6" i="66"/>
  <c r="I6" i="66" s="1"/>
  <c r="F7" i="66"/>
  <c r="F8" i="66"/>
  <c r="F9" i="66"/>
  <c r="F10" i="66"/>
  <c r="G10" i="66" s="1"/>
  <c r="F11" i="66"/>
  <c r="G11" i="66" s="1"/>
  <c r="F12" i="66"/>
  <c r="N12" i="66" s="1"/>
  <c r="F13" i="66"/>
  <c r="N13" i="66" s="1"/>
  <c r="F14" i="66"/>
  <c r="G14" i="66" s="1"/>
  <c r="F6" i="66"/>
  <c r="G6" i="66" s="1"/>
  <c r="P7" i="66"/>
  <c r="P8" i="66"/>
  <c r="P9" i="66"/>
  <c r="P10" i="66"/>
  <c r="P11" i="66"/>
  <c r="P12" i="66"/>
  <c r="P13" i="66"/>
  <c r="P6" i="66"/>
  <c r="N7" i="66"/>
  <c r="N8" i="66"/>
  <c r="N9" i="66"/>
  <c r="N10" i="66"/>
  <c r="N11" i="66"/>
  <c r="M7" i="66"/>
  <c r="M8" i="66"/>
  <c r="M9" i="66"/>
  <c r="M10" i="66"/>
  <c r="M11" i="66"/>
  <c r="M12" i="66"/>
  <c r="K7" i="66"/>
  <c r="K8" i="66"/>
  <c r="K9" i="66"/>
  <c r="K10" i="66"/>
  <c r="K11" i="66"/>
  <c r="K12" i="66"/>
  <c r="K13" i="66"/>
  <c r="I7" i="66"/>
  <c r="I8" i="66"/>
  <c r="I9" i="66"/>
  <c r="I10" i="66"/>
  <c r="I11" i="66"/>
  <c r="G7" i="66"/>
  <c r="G8" i="66"/>
  <c r="G9" i="66"/>
  <c r="O7" i="66"/>
  <c r="O8" i="66"/>
  <c r="O9" i="66"/>
  <c r="O10" i="66"/>
  <c r="L29" i="66"/>
  <c r="K29" i="66"/>
  <c r="J29" i="66"/>
  <c r="I29" i="66"/>
  <c r="H29" i="66"/>
  <c r="G29" i="66"/>
  <c r="F29" i="66"/>
  <c r="L27" i="66"/>
  <c r="K27" i="66"/>
  <c r="J27" i="66"/>
  <c r="I27" i="66"/>
  <c r="H27" i="66"/>
  <c r="G27" i="66"/>
  <c r="F27" i="66"/>
  <c r="Z6" i="64"/>
  <c r="P10" i="67" l="1"/>
  <c r="P14" i="67"/>
  <c r="P13" i="67"/>
  <c r="P14" i="66"/>
  <c r="O12" i="66"/>
  <c r="I14" i="66"/>
  <c r="I13" i="66"/>
  <c r="O6" i="66"/>
  <c r="N14" i="66"/>
  <c r="G13" i="66"/>
  <c r="G12" i="66"/>
  <c r="F15" i="66"/>
  <c r="N6" i="66"/>
  <c r="Q7" i="67"/>
  <c r="Q9" i="67"/>
  <c r="Q10" i="67"/>
  <c r="Q11" i="67"/>
  <c r="Q12" i="67"/>
  <c r="Q13" i="67"/>
  <c r="W14" i="67"/>
  <c r="Q6" i="67"/>
  <c r="AB9" i="67"/>
  <c r="AB13" i="67"/>
  <c r="O7" i="67"/>
  <c r="O8" i="67"/>
  <c r="R9" i="67"/>
  <c r="S9" i="67" s="1"/>
  <c r="O11" i="67"/>
  <c r="O12" i="67"/>
  <c r="V13" i="67"/>
  <c r="V6" i="67"/>
  <c r="X7" i="67"/>
  <c r="X10" i="67"/>
  <c r="X12" i="67"/>
  <c r="X14" i="67"/>
  <c r="V14" i="67"/>
  <c r="U27" i="67"/>
  <c r="T27" i="67"/>
  <c r="S27" i="67"/>
  <c r="U25" i="67"/>
  <c r="T25" i="67"/>
  <c r="S25" i="67"/>
  <c r="U14" i="67"/>
  <c r="U7" i="67"/>
  <c r="U8" i="67"/>
  <c r="U9" i="67"/>
  <c r="U10" i="67"/>
  <c r="U11" i="67"/>
  <c r="U12" i="67"/>
  <c r="U13" i="67"/>
  <c r="U6" i="67"/>
  <c r="S14" i="67"/>
  <c r="Q8" i="67"/>
  <c r="O14" i="67"/>
  <c r="AD13" i="67"/>
  <c r="H13" i="67"/>
  <c r="I13" i="67" s="1"/>
  <c r="L13" i="67" s="1"/>
  <c r="V27" i="67"/>
  <c r="K16" i="67"/>
  <c r="J16" i="67"/>
  <c r="E16" i="67"/>
  <c r="AD14" i="67"/>
  <c r="H14" i="67"/>
  <c r="I14" i="67" s="1"/>
  <c r="L14" i="67" s="1"/>
  <c r="AD12" i="67"/>
  <c r="H12" i="67"/>
  <c r="I12" i="67" s="1"/>
  <c r="L12" i="67" s="1"/>
  <c r="AD11" i="67"/>
  <c r="H11" i="67"/>
  <c r="I11" i="67" s="1"/>
  <c r="L11" i="67" s="1"/>
  <c r="AD10" i="67"/>
  <c r="H10" i="67"/>
  <c r="I10" i="67" s="1"/>
  <c r="L10" i="67" s="1"/>
  <c r="AD9" i="67"/>
  <c r="H9" i="67"/>
  <c r="I9" i="67" s="1"/>
  <c r="L9" i="67" s="1"/>
  <c r="AD8" i="67"/>
  <c r="H8" i="67"/>
  <c r="I8" i="67" s="1"/>
  <c r="L8" i="67" s="1"/>
  <c r="H7" i="67"/>
  <c r="I7" i="67" s="1"/>
  <c r="L7" i="67" s="1"/>
  <c r="AD6" i="67"/>
  <c r="H6" i="67"/>
  <c r="I6" i="67" s="1"/>
  <c r="AB14" i="67" l="1"/>
  <c r="N15" i="66"/>
  <c r="AB12" i="67"/>
  <c r="Y11" i="67"/>
  <c r="V25" i="67"/>
  <c r="Y10" i="67"/>
  <c r="Y8" i="67"/>
  <c r="AB7" i="67"/>
  <c r="Q14" i="67"/>
  <c r="AB6" i="67"/>
  <c r="R13" i="67"/>
  <c r="S13" i="67" s="1"/>
  <c r="X9" i="67"/>
  <c r="V11" i="67"/>
  <c r="V7" i="67"/>
  <c r="W12" i="67"/>
  <c r="W8" i="67"/>
  <c r="V8" i="67"/>
  <c r="V10" i="67"/>
  <c r="W6" i="67"/>
  <c r="W11" i="67"/>
  <c r="W7" i="67"/>
  <c r="V12" i="67"/>
  <c r="W13" i="67"/>
  <c r="W9" i="67"/>
  <c r="V9" i="67"/>
  <c r="W10" i="67"/>
  <c r="R11" i="67"/>
  <c r="R7" i="67"/>
  <c r="S7" i="67" s="1"/>
  <c r="U16" i="67"/>
  <c r="R12" i="67"/>
  <c r="S12" i="67" s="1"/>
  <c r="R8" i="67"/>
  <c r="R6" i="67"/>
  <c r="X6" i="67" s="1"/>
  <c r="R10" i="67"/>
  <c r="S10" i="67" s="1"/>
  <c r="O10" i="67"/>
  <c r="O13" i="67"/>
  <c r="O9" i="67"/>
  <c r="O6" i="67"/>
  <c r="I16" i="67"/>
  <c r="L6" i="67"/>
  <c r="S11" i="66"/>
  <c r="R11" i="66"/>
  <c r="S10" i="66"/>
  <c r="R10" i="66"/>
  <c r="T9" i="66"/>
  <c r="T8" i="66"/>
  <c r="R7" i="66"/>
  <c r="T7" i="66" s="1"/>
  <c r="T6" i="66"/>
  <c r="X13" i="67" l="1"/>
  <c r="AC13" i="67" s="1"/>
  <c r="AE13" i="67" s="1"/>
  <c r="AF13" i="67" s="1"/>
  <c r="AG13" i="67" s="1"/>
  <c r="T11" i="66"/>
  <c r="Z8" i="67"/>
  <c r="AA10" i="67"/>
  <c r="AC10" i="67" s="1"/>
  <c r="AE10" i="67" s="1"/>
  <c r="AF10" i="67" s="1"/>
  <c r="AG10" i="67" s="1"/>
  <c r="Z10" i="67"/>
  <c r="AA11" i="67"/>
  <c r="Z11" i="67"/>
  <c r="T12" i="66"/>
  <c r="S8" i="67"/>
  <c r="X8" i="67"/>
  <c r="S11" i="67"/>
  <c r="X11" i="67"/>
  <c r="S6" i="67"/>
  <c r="AC12" i="67"/>
  <c r="AE12" i="67" s="1"/>
  <c r="AF12" i="67" s="1"/>
  <c r="AG12" i="67" s="1"/>
  <c r="O16" i="67"/>
  <c r="AC7" i="67"/>
  <c r="AE7" i="67" s="1"/>
  <c r="AF7" i="67" s="1"/>
  <c r="AG7" i="67" s="1"/>
  <c r="AC9" i="67"/>
  <c r="AE9" i="67" s="1"/>
  <c r="AF9" i="67" s="1"/>
  <c r="AG9" i="67" s="1"/>
  <c r="V16" i="67"/>
  <c r="Q16" i="67"/>
  <c r="AC14" i="67"/>
  <c r="AE14" i="67" s="1"/>
  <c r="AF14" i="67" s="1"/>
  <c r="AG14" i="67" s="1"/>
  <c r="W16" i="67"/>
  <c r="AC6" i="67"/>
  <c r="L16" i="67"/>
  <c r="T10" i="66"/>
  <c r="N19" i="66"/>
  <c r="AB11" i="67" l="1"/>
  <c r="AB8" i="67"/>
  <c r="AC8" i="67" s="1"/>
  <c r="AB10" i="67"/>
  <c r="R15" i="66"/>
  <c r="Z16" i="67"/>
  <c r="X16" i="67"/>
  <c r="V17" i="67" s="1"/>
  <c r="AA16" i="67"/>
  <c r="AE6" i="67"/>
  <c r="AF6" i="67" s="1"/>
  <c r="AG6" i="67" s="1"/>
  <c r="S16" i="67"/>
  <c r="AC11" i="67"/>
  <c r="AE11" i="67" s="1"/>
  <c r="AF11" i="67" s="1"/>
  <c r="AG11" i="67" s="1"/>
  <c r="Q19" i="66"/>
  <c r="Q15" i="66"/>
  <c r="D15" i="64"/>
  <c r="T22" i="65"/>
  <c r="S22" i="65"/>
  <c r="R22" i="65"/>
  <c r="Q22" i="65"/>
  <c r="P22" i="65"/>
  <c r="O22" i="65"/>
  <c r="N22" i="65"/>
  <c r="M22" i="65"/>
  <c r="T20" i="65"/>
  <c r="S20" i="65"/>
  <c r="R20" i="65"/>
  <c r="Q20" i="65"/>
  <c r="P20" i="65"/>
  <c r="O20" i="65"/>
  <c r="N20" i="65"/>
  <c r="M20" i="65"/>
  <c r="Y11" i="65"/>
  <c r="P11" i="65"/>
  <c r="O11" i="65"/>
  <c r="M11" i="65"/>
  <c r="J11" i="65"/>
  <c r="I11" i="65"/>
  <c r="D11" i="65"/>
  <c r="T8" i="65"/>
  <c r="S8" i="65"/>
  <c r="R8" i="65"/>
  <c r="Q8" i="65"/>
  <c r="N8" i="65"/>
  <c r="G8" i="65"/>
  <c r="H8" i="65" s="1"/>
  <c r="K8" i="65" s="1"/>
  <c r="S7" i="65"/>
  <c r="R7" i="65"/>
  <c r="U7" i="65" s="1"/>
  <c r="V7" i="65" s="1"/>
  <c r="W7" i="65" s="1"/>
  <c r="Q7" i="65"/>
  <c r="N7" i="65"/>
  <c r="G7" i="65"/>
  <c r="H7" i="65" s="1"/>
  <c r="T6" i="65"/>
  <c r="T11" i="65" s="1"/>
  <c r="S6" i="65"/>
  <c r="R6" i="65"/>
  <c r="Q6" i="65"/>
  <c r="N6" i="65"/>
  <c r="G6" i="65"/>
  <c r="H6" i="65" s="1"/>
  <c r="K6" i="65" s="1"/>
  <c r="K8" i="64"/>
  <c r="G12" i="64"/>
  <c r="H12" i="64" s="1"/>
  <c r="K12" i="64" s="1"/>
  <c r="N12" i="64"/>
  <c r="Q12" i="64"/>
  <c r="R12" i="64"/>
  <c r="S12" i="64"/>
  <c r="X12" i="64"/>
  <c r="Y12" i="64"/>
  <c r="T26" i="64"/>
  <c r="S26" i="64"/>
  <c r="R26" i="64"/>
  <c r="Q26" i="64"/>
  <c r="P26" i="64"/>
  <c r="O26" i="64"/>
  <c r="N26" i="64"/>
  <c r="M26" i="64"/>
  <c r="T24" i="64"/>
  <c r="S24" i="64"/>
  <c r="R24" i="64"/>
  <c r="Q24" i="64"/>
  <c r="P24" i="64"/>
  <c r="O24" i="64"/>
  <c r="N24" i="64"/>
  <c r="M24" i="64"/>
  <c r="P15" i="64"/>
  <c r="O15" i="64"/>
  <c r="M15" i="64"/>
  <c r="J15" i="64"/>
  <c r="I15" i="64"/>
  <c r="Y13" i="64"/>
  <c r="W13" i="64"/>
  <c r="T13" i="64"/>
  <c r="S13" i="64"/>
  <c r="R13" i="64"/>
  <c r="Q13" i="64"/>
  <c r="N13" i="64"/>
  <c r="G13" i="64"/>
  <c r="H13" i="64" s="1"/>
  <c r="K13" i="64" s="1"/>
  <c r="Y11" i="64"/>
  <c r="V11" i="64"/>
  <c r="U11" i="64"/>
  <c r="W11" i="64" s="1"/>
  <c r="T11" i="64"/>
  <c r="S11" i="64"/>
  <c r="R11" i="64"/>
  <c r="Q11" i="64"/>
  <c r="N11" i="64"/>
  <c r="G11" i="64"/>
  <c r="H11" i="64" s="1"/>
  <c r="K11" i="64" s="1"/>
  <c r="Y10" i="64"/>
  <c r="V10" i="64"/>
  <c r="U10" i="64"/>
  <c r="S10" i="64"/>
  <c r="R10" i="64"/>
  <c r="Q10" i="64"/>
  <c r="N10" i="64"/>
  <c r="G10" i="64"/>
  <c r="H10" i="64" s="1"/>
  <c r="K10" i="64" s="1"/>
  <c r="Y9" i="64"/>
  <c r="W9" i="64"/>
  <c r="T9" i="64"/>
  <c r="S9" i="64"/>
  <c r="R9" i="64"/>
  <c r="Q9" i="64"/>
  <c r="N9" i="64"/>
  <c r="G9" i="64"/>
  <c r="H9" i="64" s="1"/>
  <c r="K9" i="64" s="1"/>
  <c r="Y8" i="64"/>
  <c r="U8" i="64"/>
  <c r="T8" i="64"/>
  <c r="S8" i="64"/>
  <c r="R8" i="64"/>
  <c r="Q8" i="64"/>
  <c r="N8" i="64"/>
  <c r="G8" i="64"/>
  <c r="H8" i="64" s="1"/>
  <c r="W7" i="64"/>
  <c r="S7" i="64"/>
  <c r="R7" i="64"/>
  <c r="Q7" i="64"/>
  <c r="N7" i="64"/>
  <c r="G7" i="64"/>
  <c r="H7" i="64" s="1"/>
  <c r="K7" i="64" s="1"/>
  <c r="Y6" i="64"/>
  <c r="W6" i="64"/>
  <c r="T6" i="64"/>
  <c r="S6" i="64"/>
  <c r="R6" i="64"/>
  <c r="Q6" i="64"/>
  <c r="N6" i="64"/>
  <c r="G6" i="64"/>
  <c r="H6" i="64" s="1"/>
  <c r="K6" i="64" s="1"/>
  <c r="AB16" i="67" l="1"/>
  <c r="Z17" i="67"/>
  <c r="G20" i="66"/>
  <c r="U20" i="66" s="1"/>
  <c r="U20" i="65"/>
  <c r="U22" i="65"/>
  <c r="X7" i="64"/>
  <c r="N11" i="65"/>
  <c r="Q11" i="65"/>
  <c r="U15" i="64"/>
  <c r="U26" i="64"/>
  <c r="X11" i="64"/>
  <c r="Z11" i="64" s="1"/>
  <c r="AA11" i="64" s="1"/>
  <c r="AB11" i="64" s="1"/>
  <c r="U24" i="64"/>
  <c r="AC16" i="67"/>
  <c r="O18" i="67"/>
  <c r="AE8" i="67"/>
  <c r="AF8" i="67" s="1"/>
  <c r="AF16" i="67" s="1"/>
  <c r="R11" i="65"/>
  <c r="U8" i="65"/>
  <c r="V8" i="65" s="1"/>
  <c r="W8" i="65" s="1"/>
  <c r="S11" i="65"/>
  <c r="M12" i="65"/>
  <c r="K11" i="65"/>
  <c r="X7" i="65"/>
  <c r="H11" i="65"/>
  <c r="U6" i="65"/>
  <c r="V6" i="65" s="1"/>
  <c r="W6" i="65" s="1"/>
  <c r="W12" i="64"/>
  <c r="Z12" i="64"/>
  <c r="AA12" i="64" s="1"/>
  <c r="AB12" i="64" s="1"/>
  <c r="N15" i="64"/>
  <c r="R15" i="64"/>
  <c r="T15" i="64"/>
  <c r="V15" i="64"/>
  <c r="X9" i="64"/>
  <c r="X13" i="64"/>
  <c r="Q15" i="64"/>
  <c r="S15" i="64"/>
  <c r="X10" i="64"/>
  <c r="Z10" i="64" s="1"/>
  <c r="AA10" i="64" s="1"/>
  <c r="AB10" i="64" s="1"/>
  <c r="W10" i="64"/>
  <c r="Z7" i="64"/>
  <c r="AA7" i="64" s="1"/>
  <c r="AB7" i="64" s="1"/>
  <c r="K15" i="64"/>
  <c r="H15" i="64"/>
  <c r="Z9" i="64"/>
  <c r="AA9" i="64" s="1"/>
  <c r="Z13" i="64"/>
  <c r="AA13" i="64" s="1"/>
  <c r="AB13" i="64" s="1"/>
  <c r="X6" i="64"/>
  <c r="W8" i="64"/>
  <c r="W11" i="65" l="1"/>
  <c r="U16" i="64"/>
  <c r="X8" i="65"/>
  <c r="AB9" i="64"/>
  <c r="AG8" i="67"/>
  <c r="AG16" i="67" s="1"/>
  <c r="AG19" i="67" s="1"/>
  <c r="R12" i="65"/>
  <c r="B17" i="65"/>
  <c r="M13" i="65"/>
  <c r="X6" i="65"/>
  <c r="R16" i="64"/>
  <c r="M16" i="64"/>
  <c r="W15" i="64"/>
  <c r="X8" i="64"/>
  <c r="AA6" i="64"/>
  <c r="AB6" i="64" l="1"/>
  <c r="Z8" i="64"/>
  <c r="AA8" i="64" s="1"/>
  <c r="AA15" i="64" s="1"/>
  <c r="X15" i="64"/>
  <c r="X11" i="65"/>
  <c r="Z6" i="65"/>
  <c r="Z11" i="65" s="1"/>
  <c r="M17" i="64"/>
  <c r="AB8" i="64" l="1"/>
  <c r="AB15" i="64"/>
  <c r="AB18" i="64" s="1"/>
  <c r="P12" i="63"/>
  <c r="O11" i="63"/>
  <c r="O10" i="63"/>
  <c r="N11" i="63"/>
  <c r="N10" i="63"/>
  <c r="N7" i="63"/>
  <c r="P7" i="63" s="1"/>
  <c r="F12" i="63"/>
  <c r="I12" i="63"/>
  <c r="J12" i="63"/>
  <c r="K12" i="63"/>
  <c r="L28" i="63"/>
  <c r="K28" i="63"/>
  <c r="J28" i="63"/>
  <c r="I28" i="63"/>
  <c r="H28" i="63"/>
  <c r="G28" i="63"/>
  <c r="F28" i="63"/>
  <c r="E28" i="63"/>
  <c r="L26" i="63"/>
  <c r="K26" i="63"/>
  <c r="J26" i="63"/>
  <c r="I26" i="63"/>
  <c r="H26" i="63"/>
  <c r="G26" i="63"/>
  <c r="F26" i="63"/>
  <c r="E26" i="63"/>
  <c r="L17" i="63"/>
  <c r="K17" i="63"/>
  <c r="J17" i="63"/>
  <c r="I17" i="63"/>
  <c r="F17" i="63"/>
  <c r="K16" i="63"/>
  <c r="J16" i="63"/>
  <c r="I16" i="63"/>
  <c r="F16" i="63"/>
  <c r="M16" i="63" s="1"/>
  <c r="L15" i="63"/>
  <c r="K15" i="63"/>
  <c r="J15" i="63"/>
  <c r="I15" i="63"/>
  <c r="F15" i="63"/>
  <c r="L13" i="63"/>
  <c r="K13" i="63"/>
  <c r="J13" i="63"/>
  <c r="I13" i="63"/>
  <c r="F13" i="63"/>
  <c r="L11" i="63"/>
  <c r="K11" i="63"/>
  <c r="J11" i="63"/>
  <c r="I11" i="63"/>
  <c r="F11" i="63"/>
  <c r="P10" i="63"/>
  <c r="K10" i="63"/>
  <c r="J10" i="63"/>
  <c r="I10" i="63"/>
  <c r="F10" i="63"/>
  <c r="P9" i="63"/>
  <c r="K9" i="63"/>
  <c r="J9" i="63"/>
  <c r="I9" i="63"/>
  <c r="F9" i="63"/>
  <c r="P8" i="63"/>
  <c r="L8" i="63"/>
  <c r="K8" i="63"/>
  <c r="J8" i="63"/>
  <c r="I8" i="63"/>
  <c r="F8" i="63"/>
  <c r="L7" i="63"/>
  <c r="K7" i="63"/>
  <c r="J7" i="63"/>
  <c r="I7" i="63"/>
  <c r="F7" i="63"/>
  <c r="P6" i="63"/>
  <c r="L6" i="63"/>
  <c r="K6" i="63"/>
  <c r="J6" i="63"/>
  <c r="I6" i="63"/>
  <c r="F6" i="63"/>
  <c r="E18" i="63" l="1"/>
  <c r="M10" i="63"/>
  <c r="M12" i="63"/>
  <c r="M11" i="63"/>
  <c r="M13" i="63"/>
  <c r="P11" i="63"/>
  <c r="N14" i="63" s="1"/>
  <c r="M7" i="63"/>
  <c r="M8" i="63"/>
  <c r="M9" i="63"/>
  <c r="J18" i="63"/>
  <c r="M17" i="63"/>
  <c r="E14" i="63"/>
  <c r="J14" i="63"/>
  <c r="M6" i="63"/>
  <c r="M15" i="63"/>
  <c r="M18" i="63" s="1"/>
  <c r="M14" i="63" l="1"/>
  <c r="E19" i="63"/>
  <c r="Q19" i="63" s="1"/>
  <c r="T12" i="61"/>
  <c r="T11" i="61"/>
  <c r="T9" i="61"/>
  <c r="S12" i="61"/>
  <c r="R12" i="61"/>
  <c r="N12" i="61"/>
  <c r="X12" i="61" l="1"/>
  <c r="W9" i="61"/>
  <c r="W12" i="61"/>
  <c r="Y12" i="61"/>
  <c r="Q12" i="61"/>
  <c r="D14" i="61" l="1"/>
  <c r="T22" i="62"/>
  <c r="S22" i="62"/>
  <c r="R22" i="62"/>
  <c r="Q22" i="62"/>
  <c r="P22" i="62"/>
  <c r="O22" i="62"/>
  <c r="N22" i="62"/>
  <c r="M22" i="62"/>
  <c r="T20" i="62"/>
  <c r="S20" i="62"/>
  <c r="R20" i="62"/>
  <c r="Q20" i="62"/>
  <c r="P20" i="62"/>
  <c r="O20" i="62"/>
  <c r="N20" i="62"/>
  <c r="M20" i="62"/>
  <c r="Y11" i="62"/>
  <c r="P11" i="62"/>
  <c r="O11" i="62"/>
  <c r="M11" i="62"/>
  <c r="J11" i="62"/>
  <c r="I11" i="62"/>
  <c r="D11" i="62"/>
  <c r="T8" i="62"/>
  <c r="S8" i="62"/>
  <c r="R8" i="62"/>
  <c r="Q8" i="62"/>
  <c r="N8" i="62"/>
  <c r="G8" i="62"/>
  <c r="H8" i="62" s="1"/>
  <c r="K8" i="62" s="1"/>
  <c r="S7" i="62"/>
  <c r="R7" i="62"/>
  <c r="Q7" i="62"/>
  <c r="N7" i="62"/>
  <c r="G7" i="62"/>
  <c r="H7" i="62" s="1"/>
  <c r="T6" i="62"/>
  <c r="S6" i="62"/>
  <c r="R6" i="62"/>
  <c r="R11" i="62" s="1"/>
  <c r="Q6" i="62"/>
  <c r="Q11" i="62" s="1"/>
  <c r="N6" i="62"/>
  <c r="G6" i="62"/>
  <c r="H6" i="62" s="1"/>
  <c r="K6" i="62" s="1"/>
  <c r="Y6" i="61"/>
  <c r="Y9" i="61"/>
  <c r="N9" i="61"/>
  <c r="Q9" i="61"/>
  <c r="R9" i="61"/>
  <c r="S9" i="61"/>
  <c r="G9" i="61"/>
  <c r="H9" i="61" s="1"/>
  <c r="K9" i="61" s="1"/>
  <c r="G12" i="61"/>
  <c r="H12" i="61" s="1"/>
  <c r="T25" i="61"/>
  <c r="S25" i="61"/>
  <c r="R25" i="61"/>
  <c r="Q25" i="61"/>
  <c r="P25" i="61"/>
  <c r="O25" i="61"/>
  <c r="N25" i="61"/>
  <c r="M25" i="61"/>
  <c r="T23" i="61"/>
  <c r="S23" i="61"/>
  <c r="R23" i="61"/>
  <c r="Q23" i="61"/>
  <c r="P23" i="61"/>
  <c r="O23" i="61"/>
  <c r="N23" i="61"/>
  <c r="M23" i="61"/>
  <c r="P14" i="61"/>
  <c r="O14" i="61"/>
  <c r="M14" i="61"/>
  <c r="J14" i="61"/>
  <c r="I14" i="61"/>
  <c r="Y11" i="61"/>
  <c r="V11" i="61"/>
  <c r="U11" i="61"/>
  <c r="S11" i="61"/>
  <c r="R11" i="61"/>
  <c r="Q11" i="61"/>
  <c r="N11" i="61"/>
  <c r="G11" i="61"/>
  <c r="H11" i="61" s="1"/>
  <c r="K11" i="61" s="1"/>
  <c r="Y10" i="61"/>
  <c r="V10" i="61"/>
  <c r="V14" i="61" s="1"/>
  <c r="U10" i="61"/>
  <c r="S10" i="61"/>
  <c r="R10" i="61"/>
  <c r="Q10" i="61"/>
  <c r="N10" i="61"/>
  <c r="G10" i="61"/>
  <c r="H10" i="61" s="1"/>
  <c r="K10" i="61" s="1"/>
  <c r="Y8" i="61"/>
  <c r="U8" i="61"/>
  <c r="W8" i="61" s="1"/>
  <c r="T8" i="61"/>
  <c r="S8" i="61"/>
  <c r="R8" i="61"/>
  <c r="Q8" i="61"/>
  <c r="N8" i="61"/>
  <c r="G8" i="61"/>
  <c r="H8" i="61" s="1"/>
  <c r="K8" i="61" s="1"/>
  <c r="W7" i="61"/>
  <c r="S7" i="61"/>
  <c r="R7" i="61"/>
  <c r="Q7" i="61"/>
  <c r="N7" i="61"/>
  <c r="G7" i="61"/>
  <c r="H7" i="61" s="1"/>
  <c r="W6" i="61"/>
  <c r="T6" i="61"/>
  <c r="S6" i="61"/>
  <c r="R6" i="61"/>
  <c r="Q6" i="61"/>
  <c r="N6" i="61"/>
  <c r="G6" i="61"/>
  <c r="H6" i="61" s="1"/>
  <c r="L12" i="60"/>
  <c r="F12" i="60"/>
  <c r="I12" i="60"/>
  <c r="J12" i="60"/>
  <c r="K12" i="60"/>
  <c r="L27" i="60"/>
  <c r="K27" i="60"/>
  <c r="J27" i="60"/>
  <c r="I27" i="60"/>
  <c r="H27" i="60"/>
  <c r="G27" i="60"/>
  <c r="F27" i="60"/>
  <c r="E27" i="60"/>
  <c r="L25" i="60"/>
  <c r="K25" i="60"/>
  <c r="J25" i="60"/>
  <c r="I25" i="60"/>
  <c r="H25" i="60"/>
  <c r="G25" i="60"/>
  <c r="F25" i="60"/>
  <c r="E25" i="60"/>
  <c r="O11" i="60"/>
  <c r="N11" i="60"/>
  <c r="L11" i="60"/>
  <c r="K11" i="60"/>
  <c r="J11" i="60"/>
  <c r="I11" i="60"/>
  <c r="F11" i="60"/>
  <c r="O10" i="60"/>
  <c r="N10" i="60"/>
  <c r="K10" i="60"/>
  <c r="J10" i="60"/>
  <c r="I10" i="60"/>
  <c r="F10" i="60"/>
  <c r="M10" i="60" s="1"/>
  <c r="L16" i="60"/>
  <c r="K16" i="60"/>
  <c r="J16" i="60"/>
  <c r="I16" i="60"/>
  <c r="F16" i="60"/>
  <c r="K15" i="60"/>
  <c r="J15" i="60"/>
  <c r="I15" i="60"/>
  <c r="F15" i="60"/>
  <c r="L14" i="60"/>
  <c r="K14" i="60"/>
  <c r="J14" i="60"/>
  <c r="I14" i="60"/>
  <c r="F14" i="60"/>
  <c r="P9" i="60"/>
  <c r="K9" i="60"/>
  <c r="J9" i="60"/>
  <c r="I9" i="60"/>
  <c r="F9" i="60"/>
  <c r="P8" i="60"/>
  <c r="L8" i="60"/>
  <c r="K8" i="60"/>
  <c r="J8" i="60"/>
  <c r="I8" i="60"/>
  <c r="F8" i="60"/>
  <c r="N7" i="60"/>
  <c r="P7" i="60" s="1"/>
  <c r="L7" i="60"/>
  <c r="K7" i="60"/>
  <c r="J7" i="60"/>
  <c r="I7" i="60"/>
  <c r="F7" i="60"/>
  <c r="P6" i="60"/>
  <c r="L6" i="60"/>
  <c r="K6" i="60"/>
  <c r="J6" i="60"/>
  <c r="I6" i="60"/>
  <c r="F6" i="60"/>
  <c r="M12" i="60" l="1"/>
  <c r="T11" i="62"/>
  <c r="U8" i="62"/>
  <c r="V8" i="62" s="1"/>
  <c r="W8" i="62" s="1"/>
  <c r="E13" i="60"/>
  <c r="J17" i="60"/>
  <c r="P10" i="60"/>
  <c r="T14" i="61"/>
  <c r="X6" i="61"/>
  <c r="Z6" i="61" s="1"/>
  <c r="S11" i="62"/>
  <c r="R12" i="62" s="1"/>
  <c r="J13" i="60"/>
  <c r="E17" i="60"/>
  <c r="N11" i="62"/>
  <c r="U7" i="62"/>
  <c r="V7" i="62" s="1"/>
  <c r="W7" i="62" s="1"/>
  <c r="U20" i="62"/>
  <c r="U22" i="62"/>
  <c r="M8" i="60"/>
  <c r="M9" i="60"/>
  <c r="M14" i="60"/>
  <c r="M15" i="60"/>
  <c r="M16" i="60"/>
  <c r="P11" i="60"/>
  <c r="X8" i="61"/>
  <c r="Z8" i="61" s="1"/>
  <c r="AA8" i="61" s="1"/>
  <c r="AB8" i="61" s="1"/>
  <c r="X10" i="61"/>
  <c r="Z10" i="61" s="1"/>
  <c r="AA10" i="61" s="1"/>
  <c r="AB10" i="61" s="1"/>
  <c r="X11" i="61"/>
  <c r="Z11" i="61" s="1"/>
  <c r="AA11" i="61" s="1"/>
  <c r="AB11" i="61" s="1"/>
  <c r="K12" i="61"/>
  <c r="Z12" i="61" s="1"/>
  <c r="AA12" i="61" s="1"/>
  <c r="AB12" i="61" s="1"/>
  <c r="X9" i="61"/>
  <c r="Z9" i="61"/>
  <c r="AA9" i="61" s="1"/>
  <c r="AB9" i="61" s="1"/>
  <c r="M12" i="62"/>
  <c r="K11" i="62"/>
  <c r="X7" i="62"/>
  <c r="X8" i="62"/>
  <c r="H11" i="62"/>
  <c r="U6" i="62"/>
  <c r="V6" i="62" s="1"/>
  <c r="W6" i="62" s="1"/>
  <c r="N14" i="61"/>
  <c r="R14" i="61"/>
  <c r="Q14" i="61"/>
  <c r="M15" i="61" s="1"/>
  <c r="S14" i="61"/>
  <c r="W10" i="61"/>
  <c r="W11" i="61"/>
  <c r="U23" i="61"/>
  <c r="U25" i="61"/>
  <c r="X7" i="61"/>
  <c r="Z7" i="61" s="1"/>
  <c r="AA7" i="61" s="1"/>
  <c r="H14" i="61"/>
  <c r="U14" i="61"/>
  <c r="U15" i="61" s="1"/>
  <c r="M7" i="60"/>
  <c r="M6" i="60"/>
  <c r="M13" i="60" s="1"/>
  <c r="M11" i="60"/>
  <c r="N17" i="60" l="1"/>
  <c r="W11" i="62"/>
  <c r="M17" i="60"/>
  <c r="E18" i="60" s="1"/>
  <c r="M13" i="62"/>
  <c r="N13" i="60"/>
  <c r="N18" i="60" s="1"/>
  <c r="X14" i="61"/>
  <c r="K14" i="61"/>
  <c r="W14" i="61"/>
  <c r="B17" i="62"/>
  <c r="X6" i="62"/>
  <c r="R15" i="61"/>
  <c r="M16" i="61" s="1"/>
  <c r="AB7" i="61"/>
  <c r="AA6" i="61"/>
  <c r="AA14" i="61" s="1"/>
  <c r="Q18" i="60" l="1"/>
  <c r="X11" i="62"/>
  <c r="Z6" i="62"/>
  <c r="Z11" i="62" s="1"/>
  <c r="AB6" i="61"/>
  <c r="AB14" i="61" s="1"/>
  <c r="AB17" i="61" s="1"/>
  <c r="Y9" i="59"/>
  <c r="K9" i="59"/>
  <c r="D9" i="59"/>
  <c r="K9" i="58"/>
  <c r="X9" i="58" s="1"/>
  <c r="Z9" i="59" l="1"/>
  <c r="AA9" i="59" s="1"/>
  <c r="AB9" i="59" s="1"/>
  <c r="Y10" i="59"/>
  <c r="Y11" i="59"/>
  <c r="W6" i="59"/>
  <c r="W7" i="59"/>
  <c r="V11" i="59"/>
  <c r="V10" i="59"/>
  <c r="U10" i="59"/>
  <c r="U11" i="59"/>
  <c r="U8" i="59"/>
  <c r="W8" i="59" s="1"/>
  <c r="O13" i="59"/>
  <c r="P13" i="59"/>
  <c r="M13" i="59"/>
  <c r="D13" i="59"/>
  <c r="N10" i="59"/>
  <c r="Q10" i="59"/>
  <c r="R10" i="59"/>
  <c r="S10" i="59"/>
  <c r="N11" i="59"/>
  <c r="Q11" i="59"/>
  <c r="R11" i="59"/>
  <c r="S11" i="59"/>
  <c r="G10" i="59"/>
  <c r="H10" i="59" s="1"/>
  <c r="G11" i="59"/>
  <c r="H11" i="59" s="1"/>
  <c r="V13" i="59" l="1"/>
  <c r="W10" i="59"/>
  <c r="W11" i="59"/>
  <c r="X11" i="59"/>
  <c r="Z11" i="59" s="1"/>
  <c r="AA11" i="59" s="1"/>
  <c r="AB11" i="59" s="1"/>
  <c r="X10" i="59"/>
  <c r="Z10" i="59"/>
  <c r="AA10" i="59" s="1"/>
  <c r="U13" i="59"/>
  <c r="U14" i="59" s="1"/>
  <c r="O15" i="57"/>
  <c r="O14" i="57"/>
  <c r="N15" i="57"/>
  <c r="N14" i="57"/>
  <c r="P14" i="57" s="1"/>
  <c r="L15" i="57"/>
  <c r="F15" i="57"/>
  <c r="I15" i="57"/>
  <c r="J15" i="57"/>
  <c r="K15" i="57"/>
  <c r="F14" i="57"/>
  <c r="I14" i="57"/>
  <c r="J14" i="57"/>
  <c r="K14" i="57"/>
  <c r="P8" i="57"/>
  <c r="P9" i="57"/>
  <c r="P6" i="57"/>
  <c r="N7" i="57"/>
  <c r="P7" i="57" s="1"/>
  <c r="M15" i="57" l="1"/>
  <c r="M14" i="57"/>
  <c r="P15" i="57"/>
  <c r="N17" i="57" s="1"/>
  <c r="N10" i="57"/>
  <c r="W13" i="59"/>
  <c r="AB10" i="59"/>
  <c r="Y8" i="59"/>
  <c r="N8" i="59"/>
  <c r="Q8" i="59"/>
  <c r="R8" i="59"/>
  <c r="S8" i="59"/>
  <c r="T8" i="59"/>
  <c r="T24" i="59"/>
  <c r="S24" i="59"/>
  <c r="R24" i="59"/>
  <c r="Q24" i="59"/>
  <c r="P24" i="59"/>
  <c r="O24" i="59"/>
  <c r="N24" i="59"/>
  <c r="M24" i="59"/>
  <c r="T22" i="59"/>
  <c r="S22" i="59"/>
  <c r="R22" i="59"/>
  <c r="Q22" i="59"/>
  <c r="P22" i="59"/>
  <c r="O22" i="59"/>
  <c r="N22" i="59"/>
  <c r="M22" i="59"/>
  <c r="J13" i="59"/>
  <c r="I13" i="59"/>
  <c r="G8" i="59"/>
  <c r="H8" i="59" s="1"/>
  <c r="K8" i="59" s="1"/>
  <c r="S7" i="59"/>
  <c r="R7" i="59"/>
  <c r="Q7" i="59"/>
  <c r="N7" i="59"/>
  <c r="G7" i="59"/>
  <c r="H7" i="59" s="1"/>
  <c r="K7" i="59" s="1"/>
  <c r="Y6" i="59"/>
  <c r="T6" i="59"/>
  <c r="S6" i="59"/>
  <c r="R6" i="59"/>
  <c r="Q6" i="59"/>
  <c r="N6" i="59"/>
  <c r="G6" i="59"/>
  <c r="H6" i="59" s="1"/>
  <c r="N8" i="58"/>
  <c r="Q8" i="58"/>
  <c r="R8" i="58"/>
  <c r="S8" i="58"/>
  <c r="T8" i="58"/>
  <c r="Q7" i="55"/>
  <c r="Q6" i="55"/>
  <c r="N7" i="55"/>
  <c r="N6" i="55"/>
  <c r="Q7" i="53"/>
  <c r="Q6" i="53"/>
  <c r="N7" i="53"/>
  <c r="N6" i="53"/>
  <c r="Q7" i="51"/>
  <c r="Q6" i="51"/>
  <c r="N7" i="51"/>
  <c r="N6" i="51"/>
  <c r="Q7" i="54"/>
  <c r="Q6" i="54"/>
  <c r="N7" i="54"/>
  <c r="N6" i="54"/>
  <c r="Q7" i="58"/>
  <c r="Q6" i="58"/>
  <c r="N7" i="58"/>
  <c r="N11" i="58" s="1"/>
  <c r="N6" i="58"/>
  <c r="T22" i="58"/>
  <c r="S22" i="58"/>
  <c r="R22" i="58"/>
  <c r="Q22" i="58"/>
  <c r="P22" i="58"/>
  <c r="O22" i="58"/>
  <c r="N22" i="58"/>
  <c r="M22" i="58"/>
  <c r="T20" i="58"/>
  <c r="S20" i="58"/>
  <c r="R20" i="58"/>
  <c r="Q20" i="58"/>
  <c r="P20" i="58"/>
  <c r="O20" i="58"/>
  <c r="N20" i="58"/>
  <c r="M20" i="58"/>
  <c r="P11" i="58"/>
  <c r="O11" i="58"/>
  <c r="M11" i="58"/>
  <c r="J11" i="58"/>
  <c r="I11" i="58"/>
  <c r="D11" i="58"/>
  <c r="G8" i="58"/>
  <c r="H8" i="58" s="1"/>
  <c r="K8" i="58" s="1"/>
  <c r="S7" i="58"/>
  <c r="R7" i="58"/>
  <c r="U7" i="58" s="1"/>
  <c r="G7" i="58"/>
  <c r="H7" i="58" s="1"/>
  <c r="K7" i="58" s="1"/>
  <c r="X7" i="58" s="1"/>
  <c r="T6" i="58"/>
  <c r="S6" i="58"/>
  <c r="R6" i="58"/>
  <c r="Q11" i="58"/>
  <c r="G6" i="58"/>
  <c r="H6" i="58" s="1"/>
  <c r="N18" i="57" l="1"/>
  <c r="H11" i="58"/>
  <c r="S11" i="58"/>
  <c r="U6" i="58"/>
  <c r="V6" i="58" s="1"/>
  <c r="W6" i="58" s="1"/>
  <c r="W11" i="58" s="1"/>
  <c r="U8" i="58"/>
  <c r="V8" i="58" s="1"/>
  <c r="W8" i="58" s="1"/>
  <c r="AE6" i="59"/>
  <c r="AH6" i="59" s="1"/>
  <c r="AI6" i="59" s="1"/>
  <c r="V7" i="58"/>
  <c r="W7" i="58" s="1"/>
  <c r="U20" i="58"/>
  <c r="U22" i="58"/>
  <c r="X7" i="59"/>
  <c r="U22" i="59"/>
  <c r="U24" i="59"/>
  <c r="N13" i="59"/>
  <c r="T13" i="59"/>
  <c r="T11" i="58"/>
  <c r="X6" i="59"/>
  <c r="R13" i="59"/>
  <c r="Z7" i="59"/>
  <c r="AA7" i="59" s="1"/>
  <c r="AB7" i="59" s="1"/>
  <c r="X8" i="59"/>
  <c r="Z8" i="59" s="1"/>
  <c r="AA8" i="59" s="1"/>
  <c r="Q13" i="59"/>
  <c r="M14" i="59" s="1"/>
  <c r="S13" i="59"/>
  <c r="H13" i="59"/>
  <c r="K6" i="59"/>
  <c r="Y11" i="58"/>
  <c r="M12" i="58"/>
  <c r="R11" i="58"/>
  <c r="K6" i="58"/>
  <c r="L27" i="57"/>
  <c r="K27" i="57"/>
  <c r="J27" i="57"/>
  <c r="I27" i="57"/>
  <c r="H27" i="57"/>
  <c r="G27" i="57"/>
  <c r="F27" i="57"/>
  <c r="E27" i="57"/>
  <c r="L25" i="57"/>
  <c r="K25" i="57"/>
  <c r="J25" i="57"/>
  <c r="I25" i="57"/>
  <c r="H25" i="57"/>
  <c r="G25" i="57"/>
  <c r="F25" i="57"/>
  <c r="E25" i="57"/>
  <c r="L13" i="57"/>
  <c r="K13" i="57"/>
  <c r="J13" i="57"/>
  <c r="I13" i="57"/>
  <c r="F13" i="57"/>
  <c r="K12" i="57"/>
  <c r="J12" i="57"/>
  <c r="I12" i="57"/>
  <c r="F12" i="57"/>
  <c r="L11" i="57"/>
  <c r="K11" i="57"/>
  <c r="J11" i="57"/>
  <c r="I11" i="57"/>
  <c r="F11" i="57"/>
  <c r="K9" i="57"/>
  <c r="J9" i="57"/>
  <c r="I9" i="57"/>
  <c r="F9" i="57"/>
  <c r="L8" i="57"/>
  <c r="K8" i="57"/>
  <c r="J8" i="57"/>
  <c r="I8" i="57"/>
  <c r="F8" i="57"/>
  <c r="L7" i="57"/>
  <c r="K7" i="57"/>
  <c r="J7" i="57"/>
  <c r="I7" i="57"/>
  <c r="F7" i="57"/>
  <c r="L6" i="57"/>
  <c r="K6" i="57"/>
  <c r="J6" i="57"/>
  <c r="I6" i="57"/>
  <c r="F6" i="57"/>
  <c r="M8" i="57" l="1"/>
  <c r="J10" i="57"/>
  <c r="R12" i="58"/>
  <c r="X8" i="58"/>
  <c r="E10" i="57"/>
  <c r="M12" i="57"/>
  <c r="M7" i="57"/>
  <c r="J17" i="57"/>
  <c r="M13" i="57"/>
  <c r="X6" i="58"/>
  <c r="M9" i="57"/>
  <c r="E17" i="57"/>
  <c r="X13" i="59"/>
  <c r="Z6" i="59"/>
  <c r="AA6" i="59" s="1"/>
  <c r="AB8" i="59"/>
  <c r="R14" i="59"/>
  <c r="M15" i="59" s="1"/>
  <c r="K13" i="59"/>
  <c r="K11" i="58"/>
  <c r="B17" i="58" s="1"/>
  <c r="M13" i="58"/>
  <c r="M6" i="57"/>
  <c r="M11" i="57"/>
  <c r="I10" i="55"/>
  <c r="D10" i="55"/>
  <c r="L8" i="56"/>
  <c r="K8" i="56"/>
  <c r="J8" i="56"/>
  <c r="I8" i="56"/>
  <c r="F8" i="56"/>
  <c r="M8" i="56" s="1"/>
  <c r="L24" i="56"/>
  <c r="K24" i="56"/>
  <c r="J24" i="56"/>
  <c r="I24" i="56"/>
  <c r="H24" i="56"/>
  <c r="G24" i="56"/>
  <c r="F24" i="56"/>
  <c r="E24" i="56"/>
  <c r="L22" i="56"/>
  <c r="K22" i="56"/>
  <c r="J22" i="56"/>
  <c r="I22" i="56"/>
  <c r="H22" i="56"/>
  <c r="G22" i="56"/>
  <c r="F22" i="56"/>
  <c r="E22" i="56"/>
  <c r="L13" i="56"/>
  <c r="K13" i="56"/>
  <c r="J13" i="56"/>
  <c r="I13" i="56"/>
  <c r="F13" i="56"/>
  <c r="K12" i="56"/>
  <c r="J12" i="56"/>
  <c r="I12" i="56"/>
  <c r="F12" i="56"/>
  <c r="L11" i="56"/>
  <c r="K11" i="56"/>
  <c r="J11" i="56"/>
  <c r="I11" i="56"/>
  <c r="F11" i="56"/>
  <c r="K9" i="56"/>
  <c r="J9" i="56"/>
  <c r="I9" i="56"/>
  <c r="F9" i="56"/>
  <c r="L7" i="56"/>
  <c r="K7" i="56"/>
  <c r="J7" i="56"/>
  <c r="I7" i="56"/>
  <c r="F7" i="56"/>
  <c r="L6" i="56"/>
  <c r="K6" i="56"/>
  <c r="J6" i="56"/>
  <c r="I6" i="56"/>
  <c r="F6" i="56"/>
  <c r="T21" i="55"/>
  <c r="S21" i="55"/>
  <c r="R21" i="55"/>
  <c r="Q21" i="55"/>
  <c r="P21" i="55"/>
  <c r="O21" i="55"/>
  <c r="N21" i="55"/>
  <c r="M21" i="55"/>
  <c r="T19" i="55"/>
  <c r="S19" i="55"/>
  <c r="R19" i="55"/>
  <c r="Q19" i="55"/>
  <c r="P19" i="55"/>
  <c r="O19" i="55"/>
  <c r="N19" i="55"/>
  <c r="M19" i="55"/>
  <c r="P10" i="55"/>
  <c r="O10" i="55"/>
  <c r="M10" i="55"/>
  <c r="J10" i="55"/>
  <c r="G8" i="55"/>
  <c r="H8" i="55" s="1"/>
  <c r="K8" i="55" s="1"/>
  <c r="T7" i="55"/>
  <c r="S7" i="55"/>
  <c r="R7" i="55"/>
  <c r="G7" i="55"/>
  <c r="H7" i="55" s="1"/>
  <c r="K7" i="55" s="1"/>
  <c r="U6" i="55"/>
  <c r="T6" i="55"/>
  <c r="S6" i="55"/>
  <c r="R6" i="55"/>
  <c r="Q10" i="55"/>
  <c r="G6" i="55"/>
  <c r="H6" i="55" s="1"/>
  <c r="T21" i="54"/>
  <c r="S21" i="54"/>
  <c r="R21" i="54"/>
  <c r="Q21" i="54"/>
  <c r="P21" i="54"/>
  <c r="O21" i="54"/>
  <c r="N21" i="54"/>
  <c r="M21" i="54"/>
  <c r="U21" i="54" s="1"/>
  <c r="T19" i="54"/>
  <c r="S19" i="54"/>
  <c r="R19" i="54"/>
  <c r="Q19" i="54"/>
  <c r="P19" i="54"/>
  <c r="O19" i="54"/>
  <c r="N19" i="54"/>
  <c r="M19" i="54"/>
  <c r="U19" i="54" s="1"/>
  <c r="Y10" i="54"/>
  <c r="P10" i="54"/>
  <c r="O10" i="54"/>
  <c r="M10" i="54"/>
  <c r="J10" i="54"/>
  <c r="I10" i="54"/>
  <c r="D10" i="54"/>
  <c r="W8" i="54"/>
  <c r="V8" i="54"/>
  <c r="G8" i="54"/>
  <c r="H8" i="54" s="1"/>
  <c r="K8" i="54" s="1"/>
  <c r="T7" i="54"/>
  <c r="S7" i="54"/>
  <c r="R7" i="54"/>
  <c r="G7" i="54"/>
  <c r="H7" i="54" s="1"/>
  <c r="K7" i="54" s="1"/>
  <c r="T6" i="54"/>
  <c r="T10" i="54" s="1"/>
  <c r="S6" i="54"/>
  <c r="S10" i="54" s="1"/>
  <c r="R6" i="54"/>
  <c r="Q10" i="54"/>
  <c r="N10" i="54"/>
  <c r="G6" i="54"/>
  <c r="H6" i="54" s="1"/>
  <c r="J10" i="56" l="1"/>
  <c r="M22" i="56"/>
  <c r="M24" i="56"/>
  <c r="M10" i="57"/>
  <c r="U7" i="54"/>
  <c r="V7" i="54" s="1"/>
  <c r="W7" i="54" s="1"/>
  <c r="X7" i="54" s="1"/>
  <c r="X11" i="58"/>
  <c r="R10" i="54"/>
  <c r="M6" i="56"/>
  <c r="J14" i="56"/>
  <c r="X8" i="54"/>
  <c r="M9" i="56"/>
  <c r="S10" i="55"/>
  <c r="E14" i="56"/>
  <c r="M12" i="56"/>
  <c r="M13" i="56"/>
  <c r="M17" i="57"/>
  <c r="M7" i="56"/>
  <c r="E10" i="56"/>
  <c r="AA13" i="59"/>
  <c r="AB6" i="59"/>
  <c r="AB13" i="59" s="1"/>
  <c r="Z6" i="58"/>
  <c r="Z11" i="58" s="1"/>
  <c r="R11" i="54"/>
  <c r="N10" i="55"/>
  <c r="M11" i="55" s="1"/>
  <c r="R10" i="55"/>
  <c r="T10" i="55"/>
  <c r="U19" i="55"/>
  <c r="U21" i="55"/>
  <c r="M11" i="56"/>
  <c r="V7" i="55"/>
  <c r="W7" i="55" s="1"/>
  <c r="X7" i="55" s="1"/>
  <c r="H10" i="55"/>
  <c r="K6" i="55"/>
  <c r="V8" i="55"/>
  <c r="W8" i="55" s="1"/>
  <c r="X8" i="55" s="1"/>
  <c r="M11" i="54"/>
  <c r="H10" i="54"/>
  <c r="K6" i="54"/>
  <c r="U6" i="54"/>
  <c r="V6" i="54" s="1"/>
  <c r="W6" i="54" s="1"/>
  <c r="W10" i="54" s="1"/>
  <c r="I12" i="50"/>
  <c r="I11" i="50"/>
  <c r="I10" i="50"/>
  <c r="I8" i="50"/>
  <c r="I7" i="50"/>
  <c r="I6" i="50"/>
  <c r="F12" i="50"/>
  <c r="F11" i="50"/>
  <c r="F10" i="50"/>
  <c r="F8" i="50"/>
  <c r="F6" i="50"/>
  <c r="F7" i="50"/>
  <c r="M12" i="54" l="1"/>
  <c r="E18" i="57"/>
  <c r="Q18" i="57" s="1"/>
  <c r="M10" i="56"/>
  <c r="M14" i="56"/>
  <c r="R11" i="55"/>
  <c r="M12" i="55" s="1"/>
  <c r="K10" i="55"/>
  <c r="B17" i="55" s="1"/>
  <c r="V6" i="55"/>
  <c r="W6" i="55" s="1"/>
  <c r="W10" i="55" s="1"/>
  <c r="K10" i="54"/>
  <c r="B16" i="54" s="1"/>
  <c r="X6" i="54"/>
  <c r="Y11" i="53"/>
  <c r="V8" i="53"/>
  <c r="V9" i="53"/>
  <c r="W9" i="53" s="1"/>
  <c r="X9" i="53" s="1"/>
  <c r="M11" i="51"/>
  <c r="T22" i="53"/>
  <c r="S22" i="53"/>
  <c r="R22" i="53"/>
  <c r="Q22" i="53"/>
  <c r="P22" i="53"/>
  <c r="O22" i="53"/>
  <c r="N22" i="53"/>
  <c r="M22" i="53"/>
  <c r="T20" i="53"/>
  <c r="S20" i="53"/>
  <c r="R20" i="53"/>
  <c r="Q20" i="53"/>
  <c r="P20" i="53"/>
  <c r="O20" i="53"/>
  <c r="N20" i="53"/>
  <c r="M20" i="53"/>
  <c r="Q11" i="53"/>
  <c r="P11" i="53"/>
  <c r="O11" i="53"/>
  <c r="M11" i="53"/>
  <c r="J11" i="53"/>
  <c r="I11" i="53"/>
  <c r="D11" i="53"/>
  <c r="G9" i="53"/>
  <c r="H9" i="53" s="1"/>
  <c r="K9" i="53" s="1"/>
  <c r="G8" i="53"/>
  <c r="H8" i="53" s="1"/>
  <c r="K8" i="53" s="1"/>
  <c r="T7" i="53"/>
  <c r="S7" i="53"/>
  <c r="R7" i="53"/>
  <c r="U7" i="53" s="1"/>
  <c r="V7" i="53" s="1"/>
  <c r="H7" i="53"/>
  <c r="K7" i="53" s="1"/>
  <c r="G7" i="53"/>
  <c r="T6" i="53"/>
  <c r="T11" i="53" s="1"/>
  <c r="S6" i="53"/>
  <c r="S11" i="53" s="1"/>
  <c r="R6" i="53"/>
  <c r="R11" i="53" s="1"/>
  <c r="N11" i="53"/>
  <c r="G6" i="53"/>
  <c r="H6" i="53" s="1"/>
  <c r="K6" i="53" s="1"/>
  <c r="K11" i="53" s="1"/>
  <c r="G9" i="51"/>
  <c r="H9" i="51" s="1"/>
  <c r="K9" i="51" s="1"/>
  <c r="V9" i="51" s="1"/>
  <c r="W9" i="51" s="1"/>
  <c r="X9" i="51" s="1"/>
  <c r="T22" i="51"/>
  <c r="S22" i="51"/>
  <c r="R22" i="51"/>
  <c r="Q22" i="51"/>
  <c r="P22" i="51"/>
  <c r="O22" i="51"/>
  <c r="N22" i="51"/>
  <c r="M22" i="51"/>
  <c r="T20" i="51"/>
  <c r="S20" i="51"/>
  <c r="R20" i="51"/>
  <c r="Q20" i="51"/>
  <c r="P20" i="51"/>
  <c r="O20" i="51"/>
  <c r="N20" i="51"/>
  <c r="M20" i="51"/>
  <c r="J11" i="51"/>
  <c r="I11" i="51"/>
  <c r="G8" i="51"/>
  <c r="H8" i="51" s="1"/>
  <c r="K8" i="51" s="1"/>
  <c r="T7" i="51"/>
  <c r="S7" i="51"/>
  <c r="R7" i="51"/>
  <c r="G7" i="51"/>
  <c r="H7" i="51" s="1"/>
  <c r="D11" i="51"/>
  <c r="U6" i="51"/>
  <c r="T6" i="51"/>
  <c r="S6" i="51"/>
  <c r="S11" i="51" s="1"/>
  <c r="R6" i="51"/>
  <c r="Q11" i="51"/>
  <c r="P11" i="51"/>
  <c r="O11" i="51"/>
  <c r="N11" i="51"/>
  <c r="G6" i="51"/>
  <c r="H6" i="51" s="1"/>
  <c r="K6" i="51" s="1"/>
  <c r="U22" i="53" l="1"/>
  <c r="U20" i="53"/>
  <c r="E15" i="56"/>
  <c r="R12" i="53"/>
  <c r="U6" i="53"/>
  <c r="V6" i="53" s="1"/>
  <c r="W6" i="53" s="1"/>
  <c r="X6" i="53" s="1"/>
  <c r="Z6" i="53" s="1"/>
  <c r="Z11" i="53" s="1"/>
  <c r="R11" i="51"/>
  <c r="X6" i="55"/>
  <c r="X10" i="55" s="1"/>
  <c r="T11" i="51"/>
  <c r="U20" i="51"/>
  <c r="U22" i="51"/>
  <c r="M12" i="51"/>
  <c r="X10" i="54"/>
  <c r="Z6" i="54"/>
  <c r="Z10" i="54" s="1"/>
  <c r="W7" i="53"/>
  <c r="X7" i="53" s="1"/>
  <c r="W8" i="53"/>
  <c r="X8" i="53" s="1"/>
  <c r="M12" i="53"/>
  <c r="H11" i="53"/>
  <c r="V6" i="51"/>
  <c r="W6" i="51" s="1"/>
  <c r="V8" i="51"/>
  <c r="W8" i="51" s="1"/>
  <c r="X8" i="51" s="1"/>
  <c r="H11" i="51"/>
  <c r="K7" i="51"/>
  <c r="K11" i="51" s="1"/>
  <c r="B18" i="51" s="1"/>
  <c r="E9" i="50"/>
  <c r="L7" i="50"/>
  <c r="K7" i="50"/>
  <c r="J7" i="50"/>
  <c r="L23" i="50"/>
  <c r="K23" i="50"/>
  <c r="J23" i="50"/>
  <c r="I23" i="50"/>
  <c r="H23" i="50"/>
  <c r="G23" i="50"/>
  <c r="F23" i="50"/>
  <c r="E23" i="50"/>
  <c r="L21" i="50"/>
  <c r="K21" i="50"/>
  <c r="J21" i="50"/>
  <c r="I21" i="50"/>
  <c r="H21" i="50"/>
  <c r="G21" i="50"/>
  <c r="F21" i="50"/>
  <c r="E21" i="50"/>
  <c r="L12" i="50"/>
  <c r="K12" i="50"/>
  <c r="M12" i="50" s="1"/>
  <c r="J12" i="50"/>
  <c r="K11" i="50"/>
  <c r="J11" i="50"/>
  <c r="M11" i="50" s="1"/>
  <c r="L10" i="50"/>
  <c r="K10" i="50"/>
  <c r="J10" i="50"/>
  <c r="E13" i="50"/>
  <c r="L8" i="50"/>
  <c r="K8" i="50"/>
  <c r="J8" i="50"/>
  <c r="L6" i="50"/>
  <c r="K6" i="50"/>
  <c r="J6" i="50"/>
  <c r="M21" i="50" l="1"/>
  <c r="M23" i="50"/>
  <c r="M7" i="50"/>
  <c r="M8" i="50"/>
  <c r="J13" i="50"/>
  <c r="R12" i="51"/>
  <c r="M13" i="51" s="1"/>
  <c r="M13" i="53"/>
  <c r="B17" i="53"/>
  <c r="J9" i="50"/>
  <c r="X11" i="53"/>
  <c r="W11" i="53"/>
  <c r="V7" i="51"/>
  <c r="W7" i="51" s="1"/>
  <c r="W11" i="51" s="1"/>
  <c r="X6" i="51"/>
  <c r="M10" i="50"/>
  <c r="M13" i="50" s="1"/>
  <c r="M6" i="50"/>
  <c r="Y11" i="48"/>
  <c r="Z11" i="48"/>
  <c r="M9" i="50" l="1"/>
  <c r="E14" i="50" s="1"/>
  <c r="X7" i="51"/>
  <c r="X11" i="51" s="1"/>
  <c r="T21" i="49"/>
  <c r="S21" i="49"/>
  <c r="R21" i="49"/>
  <c r="Q21" i="49"/>
  <c r="P21" i="49"/>
  <c r="O21" i="49"/>
  <c r="N21" i="49"/>
  <c r="M21" i="49"/>
  <c r="T19" i="49"/>
  <c r="S19" i="49"/>
  <c r="R19" i="49"/>
  <c r="Q19" i="49"/>
  <c r="P19" i="49"/>
  <c r="O19" i="49"/>
  <c r="N19" i="49"/>
  <c r="M19" i="49"/>
  <c r="J10" i="49"/>
  <c r="I10" i="49"/>
  <c r="G8" i="49"/>
  <c r="H8" i="49" s="1"/>
  <c r="K8" i="49" s="1"/>
  <c r="T7" i="49"/>
  <c r="S7" i="49"/>
  <c r="R7" i="49"/>
  <c r="Q7" i="49"/>
  <c r="P7" i="49"/>
  <c r="O7" i="49"/>
  <c r="N7" i="49"/>
  <c r="M7" i="49"/>
  <c r="G7" i="49"/>
  <c r="H7" i="49" s="1"/>
  <c r="D7" i="49"/>
  <c r="D10" i="49" s="1"/>
  <c r="U6" i="49"/>
  <c r="T6" i="49"/>
  <c r="S6" i="49"/>
  <c r="R6" i="49"/>
  <c r="Q6" i="49"/>
  <c r="Q10" i="49" s="1"/>
  <c r="P6" i="49"/>
  <c r="P10" i="49" s="1"/>
  <c r="O6" i="49"/>
  <c r="O10" i="49" s="1"/>
  <c r="N6" i="49"/>
  <c r="N10" i="49" s="1"/>
  <c r="M6" i="49"/>
  <c r="G6" i="49"/>
  <c r="H6" i="49" s="1"/>
  <c r="K6" i="49" s="1"/>
  <c r="R10" i="49" l="1"/>
  <c r="S10" i="49"/>
  <c r="T10" i="49"/>
  <c r="M10" i="49"/>
  <c r="V6" i="49"/>
  <c r="W6" i="49" s="1"/>
  <c r="X6" i="49" s="1"/>
  <c r="U19" i="49"/>
  <c r="U21" i="49"/>
  <c r="M11" i="49"/>
  <c r="V8" i="49"/>
  <c r="W8" i="49" s="1"/>
  <c r="X8" i="49" s="1"/>
  <c r="H10" i="49"/>
  <c r="K7" i="49"/>
  <c r="R11" i="49" l="1"/>
  <c r="M12" i="49" s="1"/>
  <c r="V7" i="49"/>
  <c r="W7" i="49" s="1"/>
  <c r="X7" i="49" s="1"/>
  <c r="X10" i="49" s="1"/>
  <c r="K10" i="49"/>
  <c r="D16" i="49" s="1"/>
  <c r="W10" i="49" l="1"/>
  <c r="U8" i="48" l="1"/>
  <c r="T22" i="48" l="1"/>
  <c r="S22" i="48"/>
  <c r="R22" i="48"/>
  <c r="Q22" i="48"/>
  <c r="P22" i="48"/>
  <c r="O22" i="48"/>
  <c r="N22" i="48"/>
  <c r="M22" i="48"/>
  <c r="T20" i="48"/>
  <c r="S20" i="48"/>
  <c r="R20" i="48"/>
  <c r="Q20" i="48"/>
  <c r="P20" i="48"/>
  <c r="O20" i="48"/>
  <c r="N20" i="48"/>
  <c r="M20" i="48"/>
  <c r="I11" i="48"/>
  <c r="G8" i="48"/>
  <c r="H8" i="48" s="1"/>
  <c r="K8" i="48" s="1"/>
  <c r="X8" i="48" s="1"/>
  <c r="T7" i="48"/>
  <c r="S7" i="48"/>
  <c r="R7" i="48"/>
  <c r="Q7" i="48"/>
  <c r="P7" i="48"/>
  <c r="O7" i="48"/>
  <c r="N7" i="48"/>
  <c r="M7" i="48"/>
  <c r="G7" i="48"/>
  <c r="H7" i="48" s="1"/>
  <c r="D7" i="48"/>
  <c r="D11" i="48" s="1"/>
  <c r="T6" i="48"/>
  <c r="S6" i="48"/>
  <c r="R6" i="48"/>
  <c r="Q6" i="48"/>
  <c r="P6" i="48"/>
  <c r="O6" i="48"/>
  <c r="N6" i="48"/>
  <c r="M6" i="48"/>
  <c r="G6" i="48"/>
  <c r="H6" i="48" s="1"/>
  <c r="K6" i="48" s="1"/>
  <c r="U7" i="48" l="1"/>
  <c r="V8" i="48"/>
  <c r="W8" i="48" s="1"/>
  <c r="U6" i="48"/>
  <c r="K7" i="48"/>
  <c r="M11" i="48"/>
  <c r="O11" i="48"/>
  <c r="Q11" i="48"/>
  <c r="S11" i="48"/>
  <c r="U20" i="48"/>
  <c r="U22" i="48"/>
  <c r="N11" i="48"/>
  <c r="P11" i="48"/>
  <c r="R11" i="48"/>
  <c r="T11" i="48"/>
  <c r="H11" i="48"/>
  <c r="U11" i="48" l="1"/>
  <c r="V6" i="48"/>
  <c r="W6" i="48" s="1"/>
  <c r="X7" i="48"/>
  <c r="X6" i="48"/>
  <c r="V7" i="48"/>
  <c r="W7" i="48" s="1"/>
  <c r="M12" i="48"/>
  <c r="R12" i="48"/>
  <c r="K11" i="48"/>
  <c r="D14" i="48" l="1"/>
  <c r="X11" i="48"/>
  <c r="M13" i="48"/>
  <c r="L22" i="46"/>
  <c r="K22" i="46"/>
  <c r="J22" i="46"/>
  <c r="I22" i="46"/>
  <c r="H22" i="46"/>
  <c r="G22" i="46"/>
  <c r="F22" i="46"/>
  <c r="E22" i="46"/>
  <c r="L20" i="46"/>
  <c r="K20" i="46"/>
  <c r="J20" i="46"/>
  <c r="I20" i="46"/>
  <c r="H20" i="46"/>
  <c r="G20" i="46"/>
  <c r="F20" i="46"/>
  <c r="E20" i="46"/>
  <c r="L11" i="46"/>
  <c r="K11" i="46"/>
  <c r="J11" i="46"/>
  <c r="I11" i="46"/>
  <c r="H11" i="46"/>
  <c r="G11" i="46"/>
  <c r="F11" i="46"/>
  <c r="E11" i="46"/>
  <c r="K10" i="46"/>
  <c r="J10" i="46"/>
  <c r="I10" i="46"/>
  <c r="H10" i="46"/>
  <c r="G10" i="46"/>
  <c r="F10" i="46"/>
  <c r="E10" i="46"/>
  <c r="L9" i="46"/>
  <c r="K9" i="46"/>
  <c r="J9" i="46"/>
  <c r="I9" i="46"/>
  <c r="H9" i="46"/>
  <c r="G9" i="46"/>
  <c r="F9" i="46"/>
  <c r="E9" i="46"/>
  <c r="L7" i="46"/>
  <c r="K7" i="46"/>
  <c r="J7" i="46"/>
  <c r="I7" i="46"/>
  <c r="H7" i="46"/>
  <c r="G7" i="46"/>
  <c r="F7" i="46"/>
  <c r="E7" i="46"/>
  <c r="L6" i="46"/>
  <c r="K6" i="46"/>
  <c r="J6" i="46"/>
  <c r="I6" i="46"/>
  <c r="H6" i="46"/>
  <c r="G6" i="46"/>
  <c r="F6" i="46"/>
  <c r="E6" i="46"/>
  <c r="M7" i="46" l="1"/>
  <c r="M10" i="46"/>
  <c r="E8" i="46"/>
  <c r="E12" i="46"/>
  <c r="J8" i="46"/>
  <c r="J12" i="46"/>
  <c r="M11" i="46"/>
  <c r="M20" i="46"/>
  <c r="M22" i="46"/>
  <c r="M9" i="46"/>
  <c r="M6" i="46"/>
  <c r="M8" i="46" s="1"/>
  <c r="M12" i="46" l="1"/>
  <c r="E13" i="46" s="1"/>
  <c r="K5" i="7"/>
</calcChain>
</file>

<file path=xl/sharedStrings.xml><?xml version="1.0" encoding="utf-8"?>
<sst xmlns="http://schemas.openxmlformats.org/spreadsheetml/2006/main" count="1110" uniqueCount="174">
  <si>
    <t>2%+3</t>
    <phoneticPr fontId="1" type="noConversion"/>
  </si>
  <si>
    <t>计税基数</t>
    <phoneticPr fontId="1" type="noConversion"/>
  </si>
  <si>
    <t>实发总额</t>
    <phoneticPr fontId="1" type="noConversion"/>
  </si>
  <si>
    <t>收入额</t>
    <phoneticPr fontId="1" type="noConversion"/>
  </si>
  <si>
    <t>收入额范围</t>
    <phoneticPr fontId="1" type="noConversion"/>
  </si>
  <si>
    <t>应纳税所得额</t>
    <phoneticPr fontId="1" type="noConversion"/>
  </si>
  <si>
    <t>应纳税所得额范围</t>
    <phoneticPr fontId="1" type="noConversion"/>
  </si>
  <si>
    <t>税率</t>
    <phoneticPr fontId="1" type="noConversion"/>
  </si>
  <si>
    <t>扣除数</t>
    <phoneticPr fontId="1" type="noConversion"/>
  </si>
  <si>
    <t>应交个人所得税</t>
    <phoneticPr fontId="1" type="noConversion"/>
  </si>
  <si>
    <t>A</t>
    <phoneticPr fontId="1" type="noConversion"/>
  </si>
  <si>
    <t>A≤4000</t>
    <phoneticPr fontId="1" type="noConversion"/>
  </si>
  <si>
    <t>A-800</t>
    <phoneticPr fontId="1" type="noConversion"/>
  </si>
  <si>
    <t>(A-800)x20%</t>
    <phoneticPr fontId="1" type="noConversion"/>
  </si>
  <si>
    <t>A＞4000</t>
    <phoneticPr fontId="1" type="noConversion"/>
  </si>
  <si>
    <t>Ax(1-20%)</t>
    <phoneticPr fontId="1" type="noConversion"/>
  </si>
  <si>
    <t>Ax(1-20%)x20%</t>
    <phoneticPr fontId="1" type="noConversion"/>
  </si>
  <si>
    <t>20,000＜Ax(1-20%)≤50,000</t>
    <phoneticPr fontId="1" type="noConversion"/>
  </si>
  <si>
    <t>Ax(1-20%)x30%-2,000</t>
    <phoneticPr fontId="1" type="noConversion"/>
  </si>
  <si>
    <t>Ax(1-20%)＞50,000</t>
    <phoneticPr fontId="1" type="noConversion"/>
  </si>
  <si>
    <t>Ax(1-20%)x40%-7,000</t>
    <phoneticPr fontId="1" type="noConversion"/>
  </si>
  <si>
    <t>Ax(1-20%)≤20,000</t>
    <phoneticPr fontId="1" type="noConversion"/>
  </si>
  <si>
    <r>
      <rPr>
        <sz val="11"/>
        <color theme="1"/>
        <rFont val="等线"/>
        <family val="2"/>
      </rPr>
      <t>姓名</t>
    </r>
    <phoneticPr fontId="1" type="noConversion"/>
  </si>
  <si>
    <r>
      <rPr>
        <sz val="11"/>
        <color theme="1"/>
        <rFont val="等线"/>
        <family val="2"/>
      </rPr>
      <t>个人社保</t>
    </r>
    <phoneticPr fontId="1" type="noConversion"/>
  </si>
  <si>
    <r>
      <rPr>
        <sz val="11"/>
        <color theme="1"/>
        <rFont val="等线"/>
        <family val="2"/>
      </rPr>
      <t>养老</t>
    </r>
    <phoneticPr fontId="1" type="noConversion"/>
  </si>
  <si>
    <r>
      <rPr>
        <sz val="11"/>
        <color theme="1"/>
        <rFont val="等线"/>
        <family val="2"/>
      </rPr>
      <t>医疗</t>
    </r>
    <phoneticPr fontId="1" type="noConversion"/>
  </si>
  <si>
    <r>
      <rPr>
        <sz val="11"/>
        <color theme="1"/>
        <rFont val="等线"/>
        <family val="2"/>
      </rPr>
      <t>失业</t>
    </r>
    <phoneticPr fontId="1" type="noConversion"/>
  </si>
  <si>
    <r>
      <rPr>
        <sz val="11"/>
        <color theme="1"/>
        <rFont val="等线"/>
        <family val="2"/>
      </rPr>
      <t>工伤</t>
    </r>
    <phoneticPr fontId="1" type="noConversion"/>
  </si>
  <si>
    <r>
      <rPr>
        <sz val="11"/>
        <color theme="1"/>
        <rFont val="等线"/>
        <family val="2"/>
      </rPr>
      <t>生育</t>
    </r>
    <phoneticPr fontId="1" type="noConversion"/>
  </si>
  <si>
    <r>
      <rPr>
        <sz val="11"/>
        <color theme="1"/>
        <rFont val="等线"/>
        <family val="2"/>
      </rPr>
      <t>佟旺</t>
    </r>
    <phoneticPr fontId="1" type="noConversion"/>
  </si>
  <si>
    <r>
      <rPr>
        <sz val="11"/>
        <color theme="1"/>
        <rFont val="等线"/>
        <family val="2"/>
      </rPr>
      <t>合计</t>
    </r>
    <phoneticPr fontId="1" type="noConversion"/>
  </si>
  <si>
    <r>
      <rPr>
        <sz val="11"/>
        <color theme="1"/>
        <rFont val="等线"/>
        <family val="2"/>
      </rPr>
      <t>基数上限</t>
    </r>
    <phoneticPr fontId="1" type="noConversion"/>
  </si>
  <si>
    <r>
      <rPr>
        <sz val="11"/>
        <color theme="1"/>
        <rFont val="等线"/>
        <family val="2"/>
      </rPr>
      <t>序号</t>
    </r>
    <phoneticPr fontId="1" type="noConversion"/>
  </si>
  <si>
    <r>
      <rPr>
        <sz val="11"/>
        <color theme="1"/>
        <rFont val="等线"/>
        <family val="2"/>
      </rPr>
      <t>社保基数</t>
    </r>
    <phoneticPr fontId="1" type="noConversion"/>
  </si>
  <si>
    <r>
      <rPr>
        <sz val="11"/>
        <color theme="1"/>
        <rFont val="等线"/>
        <family val="2"/>
      </rPr>
      <t>单位社保</t>
    </r>
    <phoneticPr fontId="1" type="noConversion"/>
  </si>
  <si>
    <r>
      <t xml:space="preserve">                                  </t>
    </r>
    <r>
      <rPr>
        <b/>
        <sz val="11"/>
        <color theme="1"/>
        <rFont val="等线"/>
        <family val="3"/>
        <charset val="134"/>
      </rPr>
      <t>制表人：</t>
    </r>
    <r>
      <rPr>
        <b/>
        <sz val="11"/>
        <color theme="1"/>
        <rFont val="Arial Narrow"/>
        <family val="2"/>
      </rPr>
      <t xml:space="preserve">                                             </t>
    </r>
    <r>
      <rPr>
        <b/>
        <sz val="11"/>
        <color theme="1"/>
        <rFont val="等线"/>
        <family val="3"/>
        <charset val="134"/>
      </rPr>
      <t>审批人：</t>
    </r>
    <r>
      <rPr>
        <b/>
        <sz val="11"/>
        <color theme="1"/>
        <rFont val="Arial Narrow"/>
        <family val="2"/>
      </rPr>
      <t xml:space="preserve">                                         </t>
    </r>
    <r>
      <rPr>
        <b/>
        <sz val="11"/>
        <color theme="1"/>
        <rFont val="等线"/>
        <family val="3"/>
        <charset val="134"/>
      </rPr>
      <t>日期：</t>
    </r>
    <phoneticPr fontId="1" type="noConversion"/>
  </si>
  <si>
    <r>
      <rPr>
        <sz val="11"/>
        <color theme="1"/>
        <rFont val="等线"/>
        <family val="2"/>
      </rPr>
      <t>最低缴费</t>
    </r>
    <phoneticPr fontId="1" type="noConversion"/>
  </si>
  <si>
    <r>
      <rPr>
        <sz val="11"/>
        <color theme="1"/>
        <rFont val="等线"/>
        <family val="2"/>
      </rPr>
      <t>最高缴费</t>
    </r>
    <phoneticPr fontId="1" type="noConversion"/>
  </si>
  <si>
    <r>
      <rPr>
        <sz val="11"/>
        <color theme="1"/>
        <rFont val="等线"/>
        <family val="2"/>
      </rPr>
      <t>基数下限</t>
    </r>
    <phoneticPr fontId="1" type="noConversion"/>
  </si>
  <si>
    <r>
      <rPr>
        <b/>
        <sz val="11"/>
        <color theme="1"/>
        <rFont val="等线"/>
        <family val="3"/>
        <charset val="134"/>
      </rPr>
      <t>小计</t>
    </r>
    <phoneticPr fontId="1" type="noConversion"/>
  </si>
  <si>
    <r>
      <rPr>
        <sz val="11"/>
        <color theme="1"/>
        <rFont val="等线"/>
        <family val="2"/>
      </rPr>
      <t>任育静</t>
    </r>
    <phoneticPr fontId="1" type="noConversion"/>
  </si>
  <si>
    <r>
      <rPr>
        <sz val="11"/>
        <color theme="1"/>
        <rFont val="等线"/>
        <family val="2"/>
      </rPr>
      <t>姜禹辰</t>
    </r>
    <phoneticPr fontId="1" type="noConversion"/>
  </si>
  <si>
    <r>
      <rPr>
        <sz val="10"/>
        <color theme="1"/>
        <rFont val="等线"/>
        <family val="3"/>
        <charset val="134"/>
      </rPr>
      <t>编制单位</t>
    </r>
    <r>
      <rPr>
        <sz val="10"/>
        <color theme="1"/>
        <rFont val="Arial Narrow"/>
        <family val="2"/>
      </rPr>
      <t>:</t>
    </r>
    <r>
      <rPr>
        <sz val="10"/>
        <color theme="1"/>
        <rFont val="等线"/>
        <family val="3"/>
        <charset val="134"/>
      </rPr>
      <t>北京继航智励人力资源服务有限公司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</si>
  <si>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rPr>
        <sz val="11"/>
        <color theme="1"/>
        <rFont val="等线"/>
        <family val="2"/>
      </rPr>
      <t>秦岭</t>
    </r>
    <phoneticPr fontId="1" type="noConversion"/>
  </si>
  <si>
    <r>
      <rPr>
        <b/>
        <sz val="11"/>
        <color theme="1"/>
        <rFont val="等线"/>
        <family val="3"/>
        <charset val="134"/>
      </rPr>
      <t>总计</t>
    </r>
    <phoneticPr fontId="1" type="noConversion"/>
  </si>
  <si>
    <r>
      <rPr>
        <sz val="11"/>
        <color theme="1"/>
        <rFont val="宋体"/>
        <family val="3"/>
        <charset val="134"/>
      </rPr>
      <t>应出勤</t>
    </r>
    <phoneticPr fontId="1" type="noConversion"/>
  </si>
  <si>
    <r>
      <rPr>
        <sz val="11"/>
        <color theme="1"/>
        <rFont val="宋体"/>
        <family val="3"/>
        <charset val="134"/>
      </rPr>
      <t>医疗</t>
    </r>
    <phoneticPr fontId="1" type="noConversion"/>
  </si>
  <si>
    <r>
      <rPr>
        <sz val="11"/>
        <color theme="1"/>
        <rFont val="宋体"/>
        <family val="3"/>
        <charset val="134"/>
      </rPr>
      <t>单位社保</t>
    </r>
    <phoneticPr fontId="1" type="noConversion"/>
  </si>
  <si>
    <r>
      <rPr>
        <sz val="11"/>
        <color theme="1"/>
        <rFont val="宋体"/>
        <family val="3"/>
        <charset val="134"/>
      </rPr>
      <t>个人社保</t>
    </r>
    <phoneticPr fontId="1" type="noConversion"/>
  </si>
  <si>
    <r>
      <rPr>
        <sz val="11"/>
        <color theme="1"/>
        <rFont val="宋体"/>
        <family val="3"/>
        <charset val="134"/>
      </rPr>
      <t>编制单位</t>
    </r>
    <r>
      <rPr>
        <sz val="11"/>
        <color theme="1"/>
        <rFont val="Arial Narrow"/>
        <family val="2"/>
      </rPr>
      <t>:</t>
    </r>
    <r>
      <rPr>
        <sz val="11"/>
        <color theme="1"/>
        <rFont val="宋体"/>
        <family val="3"/>
        <charset val="134"/>
      </rPr>
      <t>北京继航智励人力资源服务有限公司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</si>
  <si>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rPr>
        <sz val="11"/>
        <color theme="1"/>
        <rFont val="宋体"/>
        <family val="3"/>
        <charset val="134"/>
      </rPr>
      <t>应发工资</t>
    </r>
    <phoneticPr fontId="1" type="noConversion"/>
  </si>
  <si>
    <r>
      <rPr>
        <sz val="11"/>
        <color theme="1"/>
        <rFont val="宋体"/>
        <family val="3"/>
        <charset val="134"/>
      </rPr>
      <t>失业</t>
    </r>
    <phoneticPr fontId="1" type="noConversion"/>
  </si>
  <si>
    <r>
      <rPr>
        <sz val="11"/>
        <color theme="1"/>
        <rFont val="宋体"/>
        <family val="3"/>
        <charset val="134"/>
      </rPr>
      <t>工伤</t>
    </r>
    <phoneticPr fontId="1" type="noConversion"/>
  </si>
  <si>
    <r>
      <rPr>
        <sz val="11"/>
        <color theme="1"/>
        <rFont val="宋体"/>
        <family val="3"/>
        <charset val="134"/>
      </rPr>
      <t>养老</t>
    </r>
    <phoneticPr fontId="1" type="noConversion"/>
  </si>
  <si>
    <r>
      <rPr>
        <sz val="11"/>
        <color theme="1"/>
        <rFont val="宋体"/>
        <family val="3"/>
        <charset val="134"/>
      </rPr>
      <t>佟旺</t>
    </r>
    <phoneticPr fontId="1" type="noConversion"/>
  </si>
  <si>
    <r>
      <t xml:space="preserve">                                  </t>
    </r>
    <r>
      <rPr>
        <b/>
        <sz val="11"/>
        <color theme="1"/>
        <rFont val="宋体"/>
        <family val="3"/>
        <charset val="134"/>
      </rPr>
      <t>制表人：</t>
    </r>
    <r>
      <rPr>
        <b/>
        <sz val="11"/>
        <color theme="1"/>
        <rFont val="Arial Narrow"/>
        <family val="2"/>
      </rPr>
      <t xml:space="preserve">                                             </t>
    </r>
    <r>
      <rPr>
        <b/>
        <sz val="11"/>
        <color theme="1"/>
        <rFont val="宋体"/>
        <family val="3"/>
        <charset val="134"/>
      </rPr>
      <t>审批人：</t>
    </r>
    <r>
      <rPr>
        <b/>
        <sz val="11"/>
        <color theme="1"/>
        <rFont val="Arial Narrow"/>
        <family val="2"/>
      </rPr>
      <t xml:space="preserve">                                         </t>
    </r>
    <r>
      <rPr>
        <b/>
        <sz val="11"/>
        <color theme="1"/>
        <rFont val="宋体"/>
        <family val="3"/>
        <charset val="134"/>
      </rPr>
      <t>日期：</t>
    </r>
    <phoneticPr fontId="1" type="noConversion"/>
  </si>
  <si>
    <r>
      <rPr>
        <sz val="11"/>
        <color theme="1"/>
        <rFont val="宋体"/>
        <family val="3"/>
        <charset val="134"/>
      </rPr>
      <t>合计</t>
    </r>
    <phoneticPr fontId="1" type="noConversion"/>
  </si>
  <si>
    <r>
      <rPr>
        <sz val="11"/>
        <color theme="1"/>
        <rFont val="宋体"/>
        <family val="3"/>
        <charset val="134"/>
      </rPr>
      <t>序号</t>
    </r>
    <phoneticPr fontId="1" type="noConversion"/>
  </si>
  <si>
    <r>
      <rPr>
        <sz val="11"/>
        <color theme="1"/>
        <rFont val="宋体"/>
        <family val="3"/>
        <charset val="134"/>
      </rPr>
      <t>姓名</t>
    </r>
    <phoneticPr fontId="1" type="noConversion"/>
  </si>
  <si>
    <r>
      <rPr>
        <sz val="11"/>
        <color theme="1"/>
        <rFont val="宋体"/>
        <family val="3"/>
        <charset val="134"/>
      </rPr>
      <t>工资标准</t>
    </r>
    <phoneticPr fontId="1" type="noConversion"/>
  </si>
  <si>
    <r>
      <rPr>
        <sz val="11"/>
        <color theme="1"/>
        <rFont val="宋体"/>
        <family val="3"/>
        <charset val="134"/>
      </rPr>
      <t>奖金</t>
    </r>
    <phoneticPr fontId="1" type="noConversion"/>
  </si>
  <si>
    <r>
      <rPr>
        <sz val="11"/>
        <color theme="1"/>
        <rFont val="宋体"/>
        <family val="3"/>
        <charset val="134"/>
      </rPr>
      <t>社保基数</t>
    </r>
    <phoneticPr fontId="1" type="noConversion"/>
  </si>
  <si>
    <r>
      <rPr>
        <sz val="11"/>
        <color theme="1"/>
        <rFont val="宋体"/>
        <family val="3"/>
        <charset val="134"/>
      </rPr>
      <t>减除费用</t>
    </r>
    <phoneticPr fontId="1" type="noConversion"/>
  </si>
  <si>
    <r>
      <rPr>
        <sz val="11"/>
        <color theme="1"/>
        <rFont val="宋体"/>
        <family val="3"/>
        <charset val="134"/>
      </rPr>
      <t>实发工资</t>
    </r>
    <phoneticPr fontId="1" type="noConversion"/>
  </si>
  <si>
    <r>
      <rPr>
        <sz val="11"/>
        <color theme="1"/>
        <rFont val="宋体"/>
        <family val="3"/>
        <charset val="134"/>
      </rPr>
      <t>生育</t>
    </r>
    <phoneticPr fontId="1" type="noConversion"/>
  </si>
  <si>
    <r>
      <rPr>
        <b/>
        <sz val="11"/>
        <color theme="1"/>
        <rFont val="宋体"/>
        <family val="3"/>
        <charset val="134"/>
      </rPr>
      <t>合计</t>
    </r>
    <phoneticPr fontId="1" type="noConversion"/>
  </si>
  <si>
    <r>
      <rPr>
        <b/>
        <sz val="11"/>
        <rFont val="宋体"/>
        <family val="3"/>
        <charset val="134"/>
      </rPr>
      <t>人力成本</t>
    </r>
    <phoneticPr fontId="1" type="noConversion"/>
  </si>
  <si>
    <r>
      <rPr>
        <sz val="11"/>
        <color theme="1"/>
        <rFont val="宋体"/>
        <family val="3"/>
        <charset val="134"/>
      </rPr>
      <t>基数下限</t>
    </r>
    <phoneticPr fontId="1" type="noConversion"/>
  </si>
  <si>
    <r>
      <rPr>
        <sz val="11"/>
        <color theme="1"/>
        <rFont val="宋体"/>
        <family val="3"/>
        <charset val="134"/>
      </rPr>
      <t>最低缴费</t>
    </r>
    <phoneticPr fontId="1" type="noConversion"/>
  </si>
  <si>
    <r>
      <rPr>
        <sz val="11"/>
        <color theme="1"/>
        <rFont val="宋体"/>
        <family val="3"/>
        <charset val="134"/>
      </rPr>
      <t>基数上限</t>
    </r>
    <phoneticPr fontId="1" type="noConversion"/>
  </si>
  <si>
    <r>
      <rPr>
        <sz val="11"/>
        <color theme="1"/>
        <rFont val="宋体"/>
        <family val="3"/>
        <charset val="134"/>
      </rPr>
      <t>最高缴费</t>
    </r>
    <phoneticPr fontId="1" type="noConversion"/>
  </si>
  <si>
    <t>实际出勤</t>
    <phoneticPr fontId="1" type="noConversion"/>
  </si>
  <si>
    <t>缺勤天数</t>
    <phoneticPr fontId="1" type="noConversion"/>
  </si>
  <si>
    <t>扣款金额</t>
    <phoneticPr fontId="1" type="noConversion"/>
  </si>
  <si>
    <t>考勤情况</t>
    <phoneticPr fontId="1" type="noConversion"/>
  </si>
  <si>
    <t>孙琰</t>
    <phoneticPr fontId="1" type="noConversion"/>
  </si>
  <si>
    <t>孙春婷</t>
    <phoneticPr fontId="1" type="noConversion"/>
  </si>
  <si>
    <t>过节费</t>
    <phoneticPr fontId="1" type="noConversion"/>
  </si>
  <si>
    <t>个人负担社保</t>
    <phoneticPr fontId="1" type="noConversion"/>
  </si>
  <si>
    <r>
      <t xml:space="preserve">1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</si>
  <si>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rPr>
        <sz val="11"/>
        <color theme="1"/>
        <rFont val="宋体"/>
        <family val="3"/>
        <charset val="134"/>
      </rPr>
      <t>编制单位</t>
    </r>
    <r>
      <rPr>
        <sz val="11"/>
        <color theme="1"/>
        <rFont val="Arial Narrow"/>
        <family val="2"/>
      </rPr>
      <t>:</t>
    </r>
    <r>
      <rPr>
        <sz val="11"/>
        <color theme="1"/>
        <rFont val="宋体"/>
        <family val="3"/>
        <charset val="134"/>
      </rPr>
      <t>北京继航智励人力资源服务有限公司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</si>
  <si>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rPr>
        <sz val="11"/>
        <color theme="1"/>
        <rFont val="宋体"/>
        <family val="3"/>
        <charset val="134"/>
      </rPr>
      <t>姓名</t>
    </r>
    <phoneticPr fontId="1" type="noConversion"/>
  </si>
  <si>
    <r>
      <rPr>
        <sz val="11"/>
        <color theme="1"/>
        <rFont val="宋体"/>
        <family val="3"/>
        <charset val="134"/>
      </rPr>
      <t>工资标准</t>
    </r>
    <phoneticPr fontId="1" type="noConversion"/>
  </si>
  <si>
    <t>考勤情况</t>
    <phoneticPr fontId="1" type="noConversion"/>
  </si>
  <si>
    <r>
      <rPr>
        <sz val="11"/>
        <color theme="1"/>
        <rFont val="宋体"/>
        <family val="3"/>
        <charset val="134"/>
      </rPr>
      <t>奖金</t>
    </r>
    <phoneticPr fontId="1" type="noConversion"/>
  </si>
  <si>
    <r>
      <rPr>
        <sz val="11"/>
        <color theme="1"/>
        <rFont val="宋体"/>
        <family val="3"/>
        <charset val="134"/>
      </rPr>
      <t>应发工资</t>
    </r>
    <phoneticPr fontId="1" type="noConversion"/>
  </si>
  <si>
    <r>
      <rPr>
        <sz val="11"/>
        <color theme="1"/>
        <rFont val="宋体"/>
        <family val="3"/>
        <charset val="134"/>
      </rPr>
      <t>社保基数</t>
    </r>
    <phoneticPr fontId="1" type="noConversion"/>
  </si>
  <si>
    <r>
      <rPr>
        <sz val="11"/>
        <color theme="1"/>
        <rFont val="宋体"/>
        <family val="3"/>
        <charset val="134"/>
      </rPr>
      <t>计税基数</t>
    </r>
    <phoneticPr fontId="1" type="noConversion"/>
  </si>
  <si>
    <r>
      <rPr>
        <sz val="11"/>
        <color theme="1"/>
        <rFont val="宋体"/>
        <family val="3"/>
        <charset val="134"/>
      </rPr>
      <t>个税</t>
    </r>
    <phoneticPr fontId="1" type="noConversion"/>
  </si>
  <si>
    <t>缺勤天数</t>
    <phoneticPr fontId="1" type="noConversion"/>
  </si>
  <si>
    <r>
      <rPr>
        <sz val="11"/>
        <color theme="1"/>
        <rFont val="宋体"/>
        <family val="3"/>
        <charset val="134"/>
      </rPr>
      <t>养老</t>
    </r>
    <phoneticPr fontId="1" type="noConversion"/>
  </si>
  <si>
    <r>
      <rPr>
        <sz val="11"/>
        <color theme="1"/>
        <rFont val="宋体"/>
        <family val="3"/>
        <charset val="134"/>
      </rPr>
      <t>生育</t>
    </r>
    <phoneticPr fontId="1" type="noConversion"/>
  </si>
  <si>
    <r>
      <rPr>
        <sz val="11"/>
        <color theme="1"/>
        <rFont val="宋体"/>
        <family val="3"/>
        <charset val="134"/>
      </rPr>
      <t>养老</t>
    </r>
    <phoneticPr fontId="1" type="noConversion"/>
  </si>
  <si>
    <r>
      <rPr>
        <sz val="11"/>
        <color theme="1"/>
        <rFont val="宋体"/>
        <family val="3"/>
        <charset val="134"/>
      </rPr>
      <t>医疗</t>
    </r>
    <phoneticPr fontId="1" type="noConversion"/>
  </si>
  <si>
    <t>孙琰</t>
    <phoneticPr fontId="1" type="noConversion"/>
  </si>
  <si>
    <t>孙春婷</t>
    <phoneticPr fontId="1" type="noConversion"/>
  </si>
  <si>
    <r>
      <rPr>
        <sz val="11"/>
        <color theme="1"/>
        <rFont val="宋体"/>
        <family val="3"/>
        <charset val="134"/>
      </rPr>
      <t>单位社保</t>
    </r>
    <phoneticPr fontId="1" type="noConversion"/>
  </si>
  <si>
    <r>
      <rPr>
        <sz val="11"/>
        <color theme="1"/>
        <rFont val="宋体"/>
        <family val="3"/>
        <charset val="134"/>
      </rPr>
      <t>合计</t>
    </r>
    <phoneticPr fontId="1" type="noConversion"/>
  </si>
  <si>
    <r>
      <rPr>
        <sz val="11"/>
        <color theme="1"/>
        <rFont val="宋体"/>
        <family val="3"/>
        <charset val="134"/>
      </rPr>
      <t>医疗</t>
    </r>
    <phoneticPr fontId="1" type="noConversion"/>
  </si>
  <si>
    <r>
      <rPr>
        <sz val="11"/>
        <color theme="1"/>
        <rFont val="宋体"/>
        <family val="3"/>
        <charset val="134"/>
      </rPr>
      <t>最低缴费</t>
    </r>
    <phoneticPr fontId="1" type="noConversion"/>
  </si>
  <si>
    <r>
      <t xml:space="preserve">1 </t>
    </r>
    <r>
      <rPr>
        <b/>
        <sz val="16"/>
        <color theme="1"/>
        <rFont val="等线"/>
        <family val="3"/>
        <charset val="134"/>
      </rPr>
      <t>月社保明细表</t>
    </r>
    <phoneticPr fontId="1" type="noConversion"/>
  </si>
  <si>
    <t>继航发放</t>
    <phoneticPr fontId="1" type="noConversion"/>
  </si>
  <si>
    <t>智策发放</t>
    <phoneticPr fontId="1" type="noConversion"/>
  </si>
  <si>
    <t>王美伶</t>
    <phoneticPr fontId="1" type="noConversion"/>
  </si>
  <si>
    <t>邱菊</t>
    <phoneticPr fontId="1" type="noConversion"/>
  </si>
  <si>
    <r>
      <t xml:space="preserve">2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</si>
  <si>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t xml:space="preserve">2 </t>
    </r>
    <r>
      <rPr>
        <b/>
        <sz val="16"/>
        <color theme="1"/>
        <rFont val="等线"/>
        <family val="3"/>
        <charset val="134"/>
      </rPr>
      <t>月社保明细表</t>
    </r>
    <phoneticPr fontId="1" type="noConversion"/>
  </si>
  <si>
    <r>
      <rPr>
        <sz val="11"/>
        <color theme="0"/>
        <rFont val="等线"/>
        <family val="2"/>
      </rPr>
      <t>代缴</t>
    </r>
    <phoneticPr fontId="1" type="noConversion"/>
  </si>
  <si>
    <t>个人负担社保</t>
    <phoneticPr fontId="1" type="noConversion"/>
  </si>
  <si>
    <t>个税</t>
    <phoneticPr fontId="1" type="noConversion"/>
  </si>
  <si>
    <r>
      <t xml:space="preserve">                                  </t>
    </r>
    <r>
      <rPr>
        <b/>
        <sz val="11"/>
        <color theme="1"/>
        <rFont val="宋体"/>
        <family val="3"/>
        <charset val="134"/>
      </rPr>
      <t>制表人：</t>
    </r>
    <r>
      <rPr>
        <b/>
        <sz val="11"/>
        <color theme="1"/>
        <rFont val="Arial Narrow"/>
        <family val="2"/>
      </rPr>
      <t xml:space="preserve">                                             </t>
    </r>
    <r>
      <rPr>
        <b/>
        <sz val="11"/>
        <color theme="1"/>
        <rFont val="宋体"/>
        <family val="3"/>
        <charset val="134"/>
      </rPr>
      <t>审批人：</t>
    </r>
    <r>
      <rPr>
        <b/>
        <sz val="11"/>
        <color theme="1"/>
        <rFont val="Arial Narrow"/>
        <family val="2"/>
      </rPr>
      <t xml:space="preserve">                                         </t>
    </r>
    <r>
      <rPr>
        <b/>
        <sz val="11"/>
        <color theme="1"/>
        <rFont val="宋体"/>
        <family val="3"/>
        <charset val="134"/>
      </rPr>
      <t>日期：</t>
    </r>
    <phoneticPr fontId="1" type="noConversion"/>
  </si>
  <si>
    <r>
      <t xml:space="preserve">3 </t>
    </r>
    <r>
      <rPr>
        <b/>
        <sz val="16"/>
        <color theme="1"/>
        <rFont val="等线"/>
        <family val="3"/>
        <charset val="134"/>
      </rPr>
      <t>月社保明细表</t>
    </r>
    <phoneticPr fontId="1" type="noConversion"/>
  </si>
  <si>
    <t>王微</t>
    <phoneticPr fontId="1" type="noConversion"/>
  </si>
  <si>
    <r>
      <t xml:space="preserve">3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</si>
  <si>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t xml:space="preserve">4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</si>
  <si>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t xml:space="preserve">4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</si>
  <si>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t>个人负担社保和公积金</t>
    <phoneticPr fontId="1" type="noConversion"/>
  </si>
  <si>
    <t>单位</t>
    <phoneticPr fontId="1" type="noConversion"/>
  </si>
  <si>
    <t>个人</t>
    <phoneticPr fontId="1" type="noConversion"/>
  </si>
  <si>
    <t>合计</t>
    <phoneticPr fontId="1" type="noConversion"/>
  </si>
  <si>
    <t>公积金</t>
    <phoneticPr fontId="1" type="noConversion"/>
  </si>
  <si>
    <t>高海强</t>
    <phoneticPr fontId="1" type="noConversion"/>
  </si>
  <si>
    <t>赵海俊</t>
    <phoneticPr fontId="1" type="noConversion"/>
  </si>
  <si>
    <r>
      <t xml:space="preserve">4 </t>
    </r>
    <r>
      <rPr>
        <b/>
        <sz val="16"/>
        <color theme="1"/>
        <rFont val="等线"/>
        <family val="3"/>
        <charset val="134"/>
      </rPr>
      <t>月社保和公积金明细表</t>
    </r>
    <phoneticPr fontId="1" type="noConversion"/>
  </si>
  <si>
    <t>高海强</t>
  </si>
  <si>
    <t>赵海俊</t>
  </si>
  <si>
    <t>公积金</t>
    <phoneticPr fontId="1" type="noConversion"/>
  </si>
  <si>
    <t>单位</t>
    <phoneticPr fontId="1" type="noConversion"/>
  </si>
  <si>
    <t>个人</t>
    <phoneticPr fontId="1" type="noConversion"/>
  </si>
  <si>
    <t>合计</t>
    <phoneticPr fontId="1" type="noConversion"/>
  </si>
  <si>
    <t>孙琰</t>
    <phoneticPr fontId="1" type="noConversion"/>
  </si>
  <si>
    <t>孙琰</t>
    <phoneticPr fontId="1" type="noConversion"/>
  </si>
  <si>
    <t>农户</t>
    <phoneticPr fontId="1" type="noConversion"/>
  </si>
  <si>
    <t>服务费</t>
    <phoneticPr fontId="1" type="noConversion"/>
  </si>
  <si>
    <t>月合计</t>
    <phoneticPr fontId="1" type="noConversion"/>
  </si>
  <si>
    <r>
      <t>5-6</t>
    </r>
    <r>
      <rPr>
        <sz val="11"/>
        <color theme="1"/>
        <rFont val="宋体"/>
        <family val="3"/>
        <charset val="134"/>
      </rPr>
      <t>月</t>
    </r>
    <phoneticPr fontId="1" type="noConversion"/>
  </si>
  <si>
    <t>工资</t>
    <phoneticPr fontId="1" type="noConversion"/>
  </si>
  <si>
    <t>社保费</t>
    <phoneticPr fontId="1" type="noConversion"/>
  </si>
  <si>
    <t>王默</t>
    <phoneticPr fontId="1" type="noConversion"/>
  </si>
  <si>
    <r>
      <t xml:space="preserve">5 </t>
    </r>
    <r>
      <rPr>
        <b/>
        <sz val="16"/>
        <color theme="1"/>
        <rFont val="等线"/>
        <family val="3"/>
        <charset val="134"/>
      </rPr>
      <t>月社保和公积金明细表</t>
    </r>
    <phoneticPr fontId="1" type="noConversion"/>
  </si>
  <si>
    <r>
      <t xml:space="preserve">5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</si>
  <si>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r>
      <t xml:space="preserve">5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</si>
  <si>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t>冲账</t>
    <phoneticPr fontId="1" type="noConversion"/>
  </si>
  <si>
    <t>实发</t>
    <phoneticPr fontId="1" type="noConversion"/>
  </si>
  <si>
    <r>
      <rPr>
        <sz val="11"/>
        <color theme="1"/>
        <rFont val="宋体"/>
        <family val="3"/>
        <charset val="134"/>
      </rPr>
      <t>编制单位</t>
    </r>
    <r>
      <rPr>
        <sz val="11"/>
        <color theme="1"/>
        <rFont val="Arial Narrow"/>
        <family val="2"/>
      </rPr>
      <t>:</t>
    </r>
    <r>
      <rPr>
        <sz val="11"/>
        <color theme="1"/>
        <rFont val="宋体"/>
        <family val="3"/>
        <charset val="134"/>
      </rPr>
      <t>北京继航智励人力资源有限公司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</si>
  <si>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rPr>
        <sz val="10"/>
        <color theme="1"/>
        <rFont val="等线"/>
        <family val="3"/>
        <charset val="134"/>
      </rPr>
      <t>编制单位</t>
    </r>
    <r>
      <rPr>
        <sz val="10"/>
        <color theme="1"/>
        <rFont val="Arial Narrow"/>
        <family val="2"/>
      </rPr>
      <t>:</t>
    </r>
    <r>
      <rPr>
        <sz val="10"/>
        <color theme="1"/>
        <rFont val="等线"/>
        <family val="3"/>
        <charset val="134"/>
      </rPr>
      <t>北京继航智励人力资源有限公司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</t>
    </r>
    <phoneticPr fontId="1" type="noConversion"/>
  </si>
  <si>
    <r>
      <t xml:space="preserve">6 </t>
    </r>
    <r>
      <rPr>
        <b/>
        <sz val="16"/>
        <color theme="1"/>
        <rFont val="等线"/>
        <family val="3"/>
        <charset val="134"/>
      </rPr>
      <t>月社保和公积金明细表</t>
    </r>
    <phoneticPr fontId="1" type="noConversion"/>
  </si>
  <si>
    <t>张新勇</t>
    <phoneticPr fontId="1" type="noConversion"/>
  </si>
  <si>
    <r>
      <t xml:space="preserve">6 </t>
    </r>
    <r>
      <rPr>
        <b/>
        <sz val="16"/>
        <color theme="1"/>
        <rFont val="宋体"/>
        <family val="3"/>
        <charset val="134"/>
      </rPr>
      <t>月工资明细表</t>
    </r>
    <r>
      <rPr>
        <b/>
        <sz val="16"/>
        <color theme="1"/>
        <rFont val="Arial Narrow"/>
        <family val="2"/>
      </rPr>
      <t/>
    </r>
    <phoneticPr fontId="1" type="noConversion"/>
  </si>
  <si>
    <t>个人负担社保/公积金</t>
    <phoneticPr fontId="1" type="noConversion"/>
  </si>
  <si>
    <t>合计数</t>
    <phoneticPr fontId="1" type="noConversion"/>
  </si>
  <si>
    <r>
      <rPr>
        <b/>
        <sz val="11"/>
        <color theme="1"/>
        <rFont val="宋体"/>
        <family val="3"/>
        <charset val="134"/>
      </rPr>
      <t>制表人：</t>
    </r>
    <r>
      <rPr>
        <b/>
        <sz val="11"/>
        <color theme="1"/>
        <rFont val="Arial Narrow"/>
        <family val="2"/>
      </rPr>
      <t xml:space="preserve">                                             </t>
    </r>
    <r>
      <rPr>
        <b/>
        <sz val="11"/>
        <color theme="1"/>
        <rFont val="宋体"/>
        <family val="3"/>
        <charset val="134"/>
      </rPr>
      <t>审批人：</t>
    </r>
    <r>
      <rPr>
        <b/>
        <sz val="11"/>
        <color theme="1"/>
        <rFont val="Arial Narrow"/>
        <family val="2"/>
      </rPr>
      <t xml:space="preserve">                                         </t>
    </r>
    <r>
      <rPr>
        <b/>
        <sz val="11"/>
        <color theme="1"/>
        <rFont val="宋体"/>
        <family val="3"/>
        <charset val="134"/>
      </rPr>
      <t>日期：</t>
    </r>
    <phoneticPr fontId="1" type="noConversion"/>
  </si>
  <si>
    <r>
      <t xml:space="preserve">7 </t>
    </r>
    <r>
      <rPr>
        <b/>
        <sz val="16"/>
        <color theme="1"/>
        <rFont val="等线"/>
        <family val="3"/>
        <charset val="134"/>
      </rPr>
      <t>月社保和公积金明细表（未改）</t>
    </r>
    <phoneticPr fontId="1" type="noConversion"/>
  </si>
  <si>
    <t>栗永兴</t>
    <phoneticPr fontId="1" type="noConversion"/>
  </si>
  <si>
    <t>养老基数</t>
    <phoneticPr fontId="1" type="noConversion"/>
  </si>
  <si>
    <t>医疗基数</t>
    <phoneticPr fontId="1" type="noConversion"/>
  </si>
  <si>
    <r>
      <rPr>
        <sz val="11"/>
        <color theme="1"/>
        <rFont val="宋体"/>
        <family val="3"/>
        <charset val="134"/>
      </rPr>
      <t>医疗</t>
    </r>
    <r>
      <rPr>
        <sz val="11"/>
        <color theme="1"/>
        <rFont val="宋体"/>
        <family val="2"/>
        <charset val="134"/>
      </rPr>
      <t>生育</t>
    </r>
    <phoneticPr fontId="1" type="noConversion"/>
  </si>
  <si>
    <t>失业基数</t>
    <phoneticPr fontId="1" type="noConversion"/>
  </si>
  <si>
    <t>工伤基数</t>
    <phoneticPr fontId="1" type="noConversion"/>
  </si>
  <si>
    <t>户口性质</t>
    <phoneticPr fontId="1" type="noConversion"/>
  </si>
  <si>
    <t>城镇</t>
    <phoneticPr fontId="1" type="noConversion"/>
  </si>
  <si>
    <t>农村</t>
    <phoneticPr fontId="1" type="noConversion"/>
  </si>
  <si>
    <t>工资基数</t>
    <phoneticPr fontId="1" type="noConversion"/>
  </si>
  <si>
    <t>公积金基数</t>
    <phoneticPr fontId="1" type="noConversion"/>
  </si>
  <si>
    <t>栗永兴</t>
  </si>
  <si>
    <t>养老基数</t>
  </si>
  <si>
    <t>医疗生育基数</t>
  </si>
  <si>
    <r>
      <rPr>
        <sz val="11"/>
        <color theme="1"/>
        <rFont val="等线"/>
        <family val="2"/>
      </rPr>
      <t>医疗</t>
    </r>
    <r>
      <rPr>
        <sz val="11"/>
        <color theme="1"/>
        <rFont val="Arial Narrow"/>
        <family val="2"/>
      </rPr>
      <t>生育</t>
    </r>
  </si>
  <si>
    <t>失业基数</t>
  </si>
  <si>
    <t>工伤基数</t>
  </si>
  <si>
    <t>户口性质</t>
  </si>
  <si>
    <t>城镇</t>
  </si>
  <si>
    <t>农村</t>
  </si>
  <si>
    <r>
      <t xml:space="preserve">7 </t>
    </r>
    <r>
      <rPr>
        <b/>
        <sz val="16"/>
        <color theme="1"/>
        <rFont val="宋体"/>
        <family val="3"/>
        <charset val="134"/>
      </rPr>
      <t>月工资明细表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</si>
</sst>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_ "/>
  </numFmts>
  <fonts count="3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6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/>
      <name val="等线"/>
      <family val="2"/>
    </font>
    <font>
      <b/>
      <sz val="11"/>
      <color theme="1"/>
      <name val="等线"/>
      <family val="3"/>
      <charset val="134"/>
    </font>
    <font>
      <sz val="11"/>
      <color theme="1"/>
      <name val="Arial Narrow"/>
      <family val="2"/>
    </font>
    <font>
      <b/>
      <sz val="16"/>
      <color theme="1"/>
      <name val="Arial Narrow"/>
      <family val="2"/>
    </font>
    <font>
      <sz val="11"/>
      <color rgb="FFFF0000"/>
      <name val="Arial Narrow"/>
      <family val="2"/>
    </font>
    <font>
      <sz val="10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0"/>
      <name val="Arial Narrow"/>
      <family val="2"/>
    </font>
    <font>
      <sz val="11"/>
      <color theme="0"/>
      <name val="等线"/>
      <family val="2"/>
    </font>
    <font>
      <sz val="10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Arial Narrow"/>
      <family val="2"/>
    </font>
    <font>
      <sz val="11"/>
      <color theme="1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5" fontId="10" fillId="2" borderId="0" xfId="0" applyNumberFormat="1" applyFont="1" applyFill="1" applyAlignment="1">
      <alignment horizontal="left" vertical="center"/>
    </xf>
    <xf numFmtId="165" fontId="14" fillId="2" borderId="0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vertical="center"/>
    </xf>
    <xf numFmtId="165" fontId="15" fillId="2" borderId="0" xfId="0" applyNumberFormat="1" applyFont="1" applyFill="1" applyBorder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9" fillId="2" borderId="0" xfId="0" applyNumberFormat="1" applyFont="1" applyFill="1" applyBorder="1" applyAlignment="1"/>
    <xf numFmtId="0" fontId="10" fillId="2" borderId="0" xfId="0" applyFont="1" applyFill="1" applyAlignment="1">
      <alignment horizontal="center" vertical="center"/>
    </xf>
    <xf numFmtId="0" fontId="11" fillId="2" borderId="0" xfId="0" applyNumberFormat="1" applyFont="1" applyFill="1" applyBorder="1" applyAlignment="1">
      <alignment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Alignment="1">
      <alignment horizontal="center" vertical="center"/>
    </xf>
    <xf numFmtId="165" fontId="8" fillId="2" borderId="10" xfId="0" applyNumberFormat="1" applyFont="1" applyFill="1" applyBorder="1" applyAlignment="1">
      <alignment horizontal="left" vertical="center"/>
    </xf>
    <xf numFmtId="165" fontId="13" fillId="2" borderId="2" xfId="0" applyNumberFormat="1" applyFont="1" applyFill="1" applyBorder="1" applyAlignment="1">
      <alignment horizontal="center" vertical="center"/>
    </xf>
    <xf numFmtId="165" fontId="13" fillId="2" borderId="0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Border="1" applyAlignment="1">
      <alignment vertical="center"/>
    </xf>
    <xf numFmtId="0" fontId="16" fillId="2" borderId="5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165" fontId="16" fillId="0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5" fontId="13" fillId="2" borderId="3" xfId="0" applyNumberFormat="1" applyFont="1" applyFill="1" applyBorder="1" applyAlignment="1">
      <alignment horizontal="center" vertical="center"/>
    </xf>
    <xf numFmtId="165" fontId="13" fillId="2" borderId="4" xfId="0" applyNumberFormat="1" applyFont="1" applyFill="1" applyBorder="1" applyAlignment="1">
      <alignment horizontal="center" vertical="center"/>
    </xf>
    <xf numFmtId="165" fontId="13" fillId="2" borderId="5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13" fillId="2" borderId="3" xfId="0" applyNumberFormat="1" applyFont="1" applyFill="1" applyBorder="1" applyAlignment="1">
      <alignment horizontal="center" vertical="center"/>
    </xf>
    <xf numFmtId="165" fontId="13" fillId="2" borderId="4" xfId="0" applyNumberFormat="1" applyFont="1" applyFill="1" applyBorder="1" applyAlignment="1">
      <alignment horizontal="center" vertical="center"/>
    </xf>
    <xf numFmtId="165" fontId="13" fillId="2" borderId="5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5" fontId="13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13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5" fontId="13" fillId="2" borderId="3" xfId="0" applyNumberFormat="1" applyFont="1" applyFill="1" applyBorder="1" applyAlignment="1">
      <alignment horizontal="center" vertical="center"/>
    </xf>
    <xf numFmtId="165" fontId="13" fillId="2" borderId="4" xfId="0" applyNumberFormat="1" applyFont="1" applyFill="1" applyBorder="1" applyAlignment="1">
      <alignment horizontal="center" vertical="center"/>
    </xf>
    <xf numFmtId="165" fontId="13" fillId="2" borderId="5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5" fontId="20" fillId="2" borderId="10" xfId="0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165" fontId="13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5" fontId="13" fillId="2" borderId="2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/>
    </xf>
    <xf numFmtId="165" fontId="8" fillId="2" borderId="2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9" fontId="8" fillId="2" borderId="2" xfId="0" applyNumberFormat="1" applyFont="1" applyFill="1" applyBorder="1" applyAlignment="1">
      <alignment horizontal="center" vertical="center"/>
    </xf>
    <xf numFmtId="165" fontId="16" fillId="2" borderId="2" xfId="0" applyNumberFormat="1" applyFont="1" applyFill="1" applyBorder="1" applyAlignment="1">
      <alignment horizontal="center" vertical="center"/>
    </xf>
    <xf numFmtId="165" fontId="12" fillId="2" borderId="10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65" fontId="10" fillId="2" borderId="0" xfId="0" applyNumberFormat="1" applyFont="1" applyFill="1" applyAlignment="1">
      <alignment horizontal="right" vertical="center"/>
    </xf>
    <xf numFmtId="165" fontId="16" fillId="2" borderId="0" xfId="0" applyNumberFormat="1" applyFont="1" applyFill="1" applyAlignment="1">
      <alignment horizontal="right" vertical="center"/>
    </xf>
    <xf numFmtId="165" fontId="8" fillId="2" borderId="0" xfId="0" applyNumberFormat="1" applyFont="1" applyFill="1" applyAlignment="1">
      <alignment horizontal="right" vertical="center"/>
    </xf>
    <xf numFmtId="165" fontId="14" fillId="2" borderId="0" xfId="0" applyNumberFormat="1" applyFont="1" applyFill="1" applyAlignment="1">
      <alignment horizontal="right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165" fontId="13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8" fillId="4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65" fontId="8" fillId="2" borderId="0" xfId="0" applyNumberFormat="1" applyFont="1" applyFill="1" applyAlignment="1">
      <alignment horizontal="left" vertical="center"/>
    </xf>
    <xf numFmtId="165" fontId="14" fillId="2" borderId="0" xfId="0" applyNumberFormat="1" applyFont="1" applyFill="1" applyAlignment="1">
      <alignment horizontal="left" vertical="center"/>
    </xf>
    <xf numFmtId="165" fontId="23" fillId="2" borderId="0" xfId="0" applyNumberFormat="1" applyFont="1" applyFill="1" applyAlignment="1">
      <alignment horizontal="left" vertical="center"/>
    </xf>
    <xf numFmtId="165" fontId="24" fillId="2" borderId="0" xfId="0" applyNumberFormat="1" applyFont="1" applyFill="1" applyBorder="1" applyAlignment="1">
      <alignment horizontal="right" vertical="center"/>
    </xf>
    <xf numFmtId="165" fontId="12" fillId="2" borderId="0" xfId="0" applyNumberFormat="1" applyFont="1" applyFill="1" applyBorder="1" applyAlignment="1">
      <alignment horizontal="center" vertical="center"/>
    </xf>
    <xf numFmtId="165" fontId="25" fillId="2" borderId="0" xfId="0" applyNumberFormat="1" applyFont="1" applyFill="1" applyAlignment="1">
      <alignment horizontal="left" vertical="center"/>
    </xf>
    <xf numFmtId="165" fontId="26" fillId="2" borderId="0" xfId="0" applyNumberFormat="1" applyFont="1" applyFill="1" applyBorder="1" applyAlignment="1">
      <alignment horizontal="right" vertical="center"/>
    </xf>
    <xf numFmtId="0" fontId="9" fillId="2" borderId="0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5" fontId="13" fillId="2" borderId="2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5" fontId="27" fillId="2" borderId="0" xfId="0" applyNumberFormat="1" applyFont="1" applyFill="1" applyBorder="1" applyAlignment="1">
      <alignment horizontal="right" vertical="center"/>
    </xf>
    <xf numFmtId="165" fontId="28" fillId="2" borderId="0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1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5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vertical="center"/>
    </xf>
    <xf numFmtId="164" fontId="8" fillId="2" borderId="7" xfId="0" applyNumberFormat="1" applyFont="1" applyFill="1" applyBorder="1" applyAlignment="1">
      <alignment vertical="center"/>
    </xf>
    <xf numFmtId="164" fontId="16" fillId="2" borderId="3" xfId="0" applyNumberFormat="1" applyFont="1" applyFill="1" applyBorder="1" applyAlignment="1">
      <alignment horizontal="center" vertical="center"/>
    </xf>
    <xf numFmtId="165" fontId="16" fillId="5" borderId="2" xfId="0" applyNumberFormat="1" applyFont="1" applyFill="1" applyBorder="1" applyAlignment="1">
      <alignment horizontal="center" vertical="center"/>
    </xf>
    <xf numFmtId="165" fontId="29" fillId="2" borderId="2" xfId="0" applyNumberFormat="1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4" fontId="16" fillId="2" borderId="6" xfId="0" applyNumberFormat="1" applyFont="1" applyFill="1" applyBorder="1" applyAlignment="1">
      <alignment horizontal="center" vertical="center"/>
    </xf>
    <xf numFmtId="164" fontId="16" fillId="2" borderId="7" xfId="0" applyNumberFormat="1" applyFont="1" applyFill="1" applyBorder="1" applyAlignment="1">
      <alignment horizontal="center" vertical="center"/>
    </xf>
    <xf numFmtId="164" fontId="16" fillId="2" borderId="8" xfId="0" applyNumberFormat="1" applyFont="1" applyFill="1" applyBorder="1" applyAlignment="1">
      <alignment horizontal="center" vertical="center"/>
    </xf>
    <xf numFmtId="164" fontId="29" fillId="2" borderId="3" xfId="0" applyNumberFormat="1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165" fontId="13" fillId="2" borderId="2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12" xfId="0" applyNumberFormat="1" applyFont="1" applyFill="1" applyBorder="1" applyAlignment="1">
      <alignment horizontal="center" vertical="center"/>
    </xf>
    <xf numFmtId="165" fontId="8" fillId="2" borderId="1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5" fontId="8" fillId="2" borderId="13" xfId="0" applyNumberFormat="1" applyFont="1" applyFill="1" applyBorder="1" applyAlignment="1">
      <alignment horizontal="center" vertical="center"/>
    </xf>
    <xf numFmtId="165" fontId="19" fillId="2" borderId="15" xfId="0" applyNumberFormat="1" applyFont="1" applyFill="1" applyBorder="1" applyAlignment="1">
      <alignment horizontal="right" vertical="center"/>
    </xf>
    <xf numFmtId="165" fontId="15" fillId="2" borderId="15" xfId="0" applyNumberFormat="1" applyFont="1" applyFill="1" applyBorder="1" applyAlignment="1">
      <alignment horizontal="right" vertical="center"/>
    </xf>
    <xf numFmtId="165" fontId="8" fillId="2" borderId="3" xfId="0" applyNumberFormat="1" applyFont="1" applyFill="1" applyBorder="1" applyAlignment="1">
      <alignment horizontal="center" vertical="center"/>
    </xf>
    <xf numFmtId="165" fontId="8" fillId="2" borderId="4" xfId="0" applyNumberFormat="1" applyFont="1" applyFill="1" applyBorder="1" applyAlignment="1">
      <alignment horizontal="center" vertical="center"/>
    </xf>
    <xf numFmtId="165" fontId="8" fillId="2" borderId="5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5" fontId="22" fillId="2" borderId="3" xfId="0" applyNumberFormat="1" applyFont="1" applyFill="1" applyBorder="1" applyAlignment="1">
      <alignment horizontal="center" vertical="center" wrapText="1"/>
    </xf>
    <xf numFmtId="165" fontId="11" fillId="2" borderId="4" xfId="0" applyNumberFormat="1" applyFont="1" applyFill="1" applyBorder="1" applyAlignment="1">
      <alignment horizontal="center" vertical="center" wrapText="1"/>
    </xf>
    <xf numFmtId="165" fontId="11" fillId="2" borderId="5" xfId="0" applyNumberFormat="1" applyFont="1" applyFill="1" applyBorder="1" applyAlignment="1">
      <alignment horizontal="center" vertical="center" wrapText="1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29" fillId="2" borderId="5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9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8" fillId="2" borderId="11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15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13" fillId="2" borderId="6" xfId="0" applyNumberFormat="1" applyFont="1" applyFill="1" applyBorder="1" applyAlignment="1">
      <alignment horizontal="center" vertical="center"/>
    </xf>
    <xf numFmtId="165" fontId="13" fillId="2" borderId="7" xfId="0" applyNumberFormat="1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3" fillId="2" borderId="6" xfId="0" applyNumberFormat="1" applyFont="1" applyFill="1" applyBorder="1" applyAlignment="1">
      <alignment horizontal="center"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8" xfId="0" applyNumberFormat="1" applyFont="1" applyFill="1" applyBorder="1" applyAlignment="1">
      <alignment horizontal="center" vertical="center"/>
    </xf>
    <xf numFmtId="165" fontId="13" fillId="2" borderId="15" xfId="0" applyNumberFormat="1" applyFont="1" applyFill="1" applyBorder="1" applyAlignment="1">
      <alignment horizontal="left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16" fillId="2" borderId="3" xfId="0" applyNumberFormat="1" applyFont="1" applyFill="1" applyBorder="1" applyAlignment="1">
      <alignment horizontal="center" vertical="center" wrapText="1"/>
    </xf>
    <xf numFmtId="165" fontId="8" fillId="2" borderId="4" xfId="0" applyNumberFormat="1" applyFont="1" applyFill="1" applyBorder="1" applyAlignment="1">
      <alignment horizontal="center" vertical="center" wrapText="1"/>
    </xf>
    <xf numFmtId="165" fontId="8" fillId="2" borderId="5" xfId="0" applyNumberFormat="1" applyFont="1" applyFill="1" applyBorder="1" applyAlignment="1">
      <alignment horizontal="center" vertical="center" wrapText="1"/>
    </xf>
    <xf numFmtId="164" fontId="18" fillId="2" borderId="3" xfId="0" applyNumberFormat="1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164" fontId="13" fillId="2" borderId="5" xfId="0" applyNumberFormat="1" applyFont="1" applyFill="1" applyBorder="1" applyAlignment="1">
      <alignment horizontal="center" vertical="center" wrapText="1"/>
    </xf>
    <xf numFmtId="164" fontId="16" fillId="2" borderId="3" xfId="0" applyNumberFormat="1" applyFont="1" applyFill="1" applyBorder="1" applyAlignment="1">
      <alignment horizontal="center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65" fontId="13" fillId="2" borderId="3" xfId="0" applyNumberFormat="1" applyFont="1" applyFill="1" applyBorder="1" applyAlignment="1">
      <alignment horizontal="center" vertical="center"/>
    </xf>
    <xf numFmtId="165" fontId="13" fillId="2" borderId="4" xfId="0" applyNumberFormat="1" applyFont="1" applyFill="1" applyBorder="1" applyAlignment="1">
      <alignment horizontal="center" vertical="center"/>
    </xf>
    <xf numFmtId="165" fontId="13" fillId="2" borderId="5" xfId="0" applyNumberFormat="1" applyFont="1" applyFill="1" applyBorder="1" applyAlignment="1">
      <alignment horizontal="center" vertical="center"/>
    </xf>
    <xf numFmtId="0" fontId="13" fillId="2" borderId="10" xfId="0" applyNumberFormat="1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wrapText="1"/>
    </xf>
    <xf numFmtId="164" fontId="8" fillId="2" borderId="8" xfId="0" applyNumberFormat="1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ADEC-64E3-49FA-B99F-93E3E2D48346}">
  <sheetPr>
    <pageSetUpPr fitToPage="1"/>
  </sheetPr>
  <dimension ref="A1:AH3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21" sqref="K21"/>
    </sheetView>
  </sheetViews>
  <sheetFormatPr defaultColWidth="9.109375" defaultRowHeight="20.100000000000001" customHeight="1"/>
  <cols>
    <col min="1" max="1" width="1.33203125" style="177" customWidth="1"/>
    <col min="2" max="2" width="5.21875" style="21" customWidth="1"/>
    <col min="3" max="4" width="7.21875" style="12" customWidth="1"/>
    <col min="5" max="5" width="9.77734375" style="12" customWidth="1"/>
    <col min="6" max="6" width="8.33203125" style="12" customWidth="1"/>
    <col min="7" max="7" width="9.6640625" style="12" customWidth="1"/>
    <col min="8" max="9" width="9" style="12" customWidth="1"/>
    <col min="10" max="10" width="5.21875" style="12" customWidth="1"/>
    <col min="11" max="11" width="7.109375" style="12" customWidth="1"/>
    <col min="12" max="13" width="9.6640625" style="12" customWidth="1"/>
    <col min="14" max="14" width="9" style="12" customWidth="1"/>
    <col min="15" max="16" width="8.109375" style="22" customWidth="1"/>
    <col min="17" max="18" width="8.77734375" style="22" customWidth="1"/>
    <col min="19" max="21" width="8.6640625" style="22" customWidth="1"/>
    <col min="22" max="22" width="8.77734375" style="22" customWidth="1"/>
    <col min="23" max="23" width="8.77734375" style="12" customWidth="1"/>
    <col min="24" max="29" width="8.77734375" style="22" customWidth="1"/>
    <col min="30" max="30" width="9" style="15" hidden="1" customWidth="1"/>
    <col min="31" max="31" width="9" style="22" hidden="1" customWidth="1"/>
    <col min="32" max="32" width="5.21875" style="12" hidden="1" customWidth="1"/>
    <col min="33" max="33" width="10.21875" style="12" bestFit="1" customWidth="1"/>
    <col min="34" max="34" width="5.21875" style="145" bestFit="1" customWidth="1"/>
    <col min="35" max="16384" width="9.109375" style="12"/>
  </cols>
  <sheetData>
    <row r="1" spans="1:34" ht="21">
      <c r="B1" s="240" t="s">
        <v>173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</row>
    <row r="2" spans="1:34" ht="14.4" hidden="1">
      <c r="B2" s="241" t="s">
        <v>144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</row>
    <row r="3" spans="1:34" ht="14.4">
      <c r="B3" s="242" t="s">
        <v>57</v>
      </c>
      <c r="C3" s="227" t="s">
        <v>58</v>
      </c>
      <c r="D3" s="200" t="s">
        <v>159</v>
      </c>
      <c r="E3" s="227" t="s">
        <v>59</v>
      </c>
      <c r="F3" s="245" t="s">
        <v>74</v>
      </c>
      <c r="G3" s="246"/>
      <c r="H3" s="246"/>
      <c r="I3" s="246"/>
      <c r="J3" s="227" t="s">
        <v>60</v>
      </c>
      <c r="K3" s="247" t="s">
        <v>77</v>
      </c>
      <c r="L3" s="227" t="s">
        <v>50</v>
      </c>
      <c r="M3" s="200" t="s">
        <v>162</v>
      </c>
      <c r="N3" s="237" t="s">
        <v>47</v>
      </c>
      <c r="O3" s="238"/>
      <c r="P3" s="238"/>
      <c r="Q3" s="238"/>
      <c r="R3" s="238"/>
      <c r="S3" s="238"/>
      <c r="T3" s="238"/>
      <c r="U3" s="238"/>
      <c r="V3" s="229" t="s">
        <v>48</v>
      </c>
      <c r="W3" s="229"/>
      <c r="X3" s="229"/>
      <c r="Y3" s="203" t="s">
        <v>120</v>
      </c>
      <c r="Z3" s="204"/>
      <c r="AA3" s="204"/>
      <c r="AB3" s="205"/>
      <c r="AC3" s="230" t="s">
        <v>116</v>
      </c>
      <c r="AD3" s="224" t="s">
        <v>62</v>
      </c>
      <c r="AE3" s="233" t="s">
        <v>87</v>
      </c>
      <c r="AF3" s="227" t="s">
        <v>88</v>
      </c>
      <c r="AG3" s="227" t="s">
        <v>63</v>
      </c>
    </row>
    <row r="4" spans="1:34" ht="14.4" customHeight="1">
      <c r="B4" s="243"/>
      <c r="C4" s="201"/>
      <c r="D4" s="201"/>
      <c r="E4" s="201"/>
      <c r="F4" s="246"/>
      <c r="G4" s="246"/>
      <c r="H4" s="246"/>
      <c r="I4" s="246"/>
      <c r="J4" s="201"/>
      <c r="K4" s="201"/>
      <c r="L4" s="201"/>
      <c r="M4" s="201"/>
      <c r="N4" s="235" t="s">
        <v>154</v>
      </c>
      <c r="O4" s="176">
        <v>0.16</v>
      </c>
      <c r="P4" s="206" t="s">
        <v>155</v>
      </c>
      <c r="Q4" s="176">
        <v>0.108</v>
      </c>
      <c r="R4" s="206" t="s">
        <v>157</v>
      </c>
      <c r="S4" s="176">
        <v>8.0000000000000002E-3</v>
      </c>
      <c r="T4" s="206" t="s">
        <v>158</v>
      </c>
      <c r="U4" s="176">
        <v>4.0000000000000001E-3</v>
      </c>
      <c r="V4" s="176">
        <v>0.08</v>
      </c>
      <c r="W4" s="187" t="s">
        <v>0</v>
      </c>
      <c r="X4" s="176">
        <v>2E-3</v>
      </c>
      <c r="Y4" s="206" t="s">
        <v>163</v>
      </c>
      <c r="Z4" s="114">
        <v>0.05</v>
      </c>
      <c r="AA4" s="114">
        <v>0.05</v>
      </c>
      <c r="AB4" s="114">
        <v>0.1</v>
      </c>
      <c r="AC4" s="231"/>
      <c r="AD4" s="225"/>
      <c r="AE4" s="234"/>
      <c r="AF4" s="201"/>
      <c r="AG4" s="201"/>
    </row>
    <row r="5" spans="1:34" ht="14.4">
      <c r="B5" s="244"/>
      <c r="C5" s="202"/>
      <c r="D5" s="202"/>
      <c r="E5" s="202"/>
      <c r="F5" s="179" t="s">
        <v>45</v>
      </c>
      <c r="G5" s="33" t="s">
        <v>71</v>
      </c>
      <c r="H5" s="33" t="s">
        <v>72</v>
      </c>
      <c r="I5" s="33" t="s">
        <v>73</v>
      </c>
      <c r="J5" s="202"/>
      <c r="K5" s="202"/>
      <c r="L5" s="202"/>
      <c r="M5" s="202"/>
      <c r="N5" s="236"/>
      <c r="O5" s="176" t="s">
        <v>53</v>
      </c>
      <c r="P5" s="239"/>
      <c r="Q5" s="119" t="s">
        <v>156</v>
      </c>
      <c r="R5" s="207"/>
      <c r="S5" s="176" t="s">
        <v>51</v>
      </c>
      <c r="T5" s="207"/>
      <c r="U5" s="176" t="s">
        <v>52</v>
      </c>
      <c r="V5" s="176" t="s">
        <v>53</v>
      </c>
      <c r="W5" s="187" t="s">
        <v>46</v>
      </c>
      <c r="X5" s="176" t="s">
        <v>51</v>
      </c>
      <c r="Y5" s="207"/>
      <c r="Z5" s="119" t="s">
        <v>117</v>
      </c>
      <c r="AA5" s="119" t="s">
        <v>118</v>
      </c>
      <c r="AB5" s="119" t="s">
        <v>119</v>
      </c>
      <c r="AC5" s="232"/>
      <c r="AD5" s="226"/>
      <c r="AE5" s="207"/>
      <c r="AF5" s="202"/>
      <c r="AG5" s="202"/>
    </row>
    <row r="6" spans="1:34" s="15" customFormat="1" ht="16.5" customHeight="1">
      <c r="A6" s="13"/>
      <c r="B6" s="14">
        <v>1</v>
      </c>
      <c r="C6" s="181" t="s">
        <v>54</v>
      </c>
      <c r="D6" s="199" t="s">
        <v>160</v>
      </c>
      <c r="E6" s="181">
        <v>7000</v>
      </c>
      <c r="F6" s="181">
        <v>22</v>
      </c>
      <c r="G6" s="181">
        <v>14</v>
      </c>
      <c r="H6" s="181">
        <f>F6-G6</f>
        <v>8</v>
      </c>
      <c r="I6" s="181">
        <f>E6/21.75*H6</f>
        <v>2574.7126436781609</v>
      </c>
      <c r="J6" s="181"/>
      <c r="K6" s="181"/>
      <c r="L6" s="181">
        <f>E6-I6+J6+K6</f>
        <v>4425.2873563218391</v>
      </c>
      <c r="M6" s="181">
        <f>VLOOKUP(C6,'7月社保和公积金明细表'!$C$6:$E$14,3,0)</f>
        <v>2200</v>
      </c>
      <c r="N6" s="181">
        <f>MIN(23565, MAX(3613, L6))</f>
        <v>4425.2873563218391</v>
      </c>
      <c r="O6" s="181">
        <f>ROUND(N6*0.16*0,2)</f>
        <v>0</v>
      </c>
      <c r="P6" s="181">
        <f>MIN(27786, MAX(5360, M6))</f>
        <v>5360</v>
      </c>
      <c r="Q6" s="181">
        <f>ROUND(P6*10.8%,2)</f>
        <v>578.88</v>
      </c>
      <c r="R6" s="181">
        <f>N6</f>
        <v>4425.2873563218391</v>
      </c>
      <c r="S6" s="181">
        <f>ROUND(R6*0.8%*0,2)</f>
        <v>0</v>
      </c>
      <c r="T6" s="181">
        <f>MIN(23565, MAX(4713, M6))</f>
        <v>4713</v>
      </c>
      <c r="U6" s="181">
        <f>ROUND(T6*0.4%*0,2)</f>
        <v>0</v>
      </c>
      <c r="V6" s="181">
        <f>ROUND(N6*8%,2)</f>
        <v>354.02</v>
      </c>
      <c r="W6" s="181">
        <f>ROUND(P6*2%+3,2)</f>
        <v>110.2</v>
      </c>
      <c r="X6" s="181">
        <f>IF(COUNTIF(D6,"*城镇*")&gt;0,ROUND(R6*0.2%,2),0)</f>
        <v>8.85</v>
      </c>
      <c r="Y6" s="181"/>
      <c r="Z6" s="181"/>
      <c r="AA6" s="181"/>
      <c r="AB6" s="181">
        <f t="shared" ref="AB6:AB14" si="0">Z6+AA6</f>
        <v>0</v>
      </c>
      <c r="AC6" s="181">
        <f>V6+W6+X6</f>
        <v>473.07</v>
      </c>
      <c r="AD6" s="181">
        <f>5000+5000</f>
        <v>10000</v>
      </c>
      <c r="AE6" s="181">
        <f t="shared" ref="AE6:AE14" si="1">L6-AC6-AD6</f>
        <v>-6047.7826436781615</v>
      </c>
      <c r="AF6" s="181">
        <f>ROUND(MAX(AE6*{3;10;20;25;30;35;45}%-{0;21;141;266;441;716;1516}*10,),2)</f>
        <v>0</v>
      </c>
      <c r="AG6" s="181">
        <f t="shared" ref="AG6:AG14" si="2">L6-AC6-AF6</f>
        <v>3952.2173563218389</v>
      </c>
      <c r="AH6" s="16"/>
    </row>
    <row r="7" spans="1:34" s="15" customFormat="1" ht="14.4">
      <c r="A7" s="13"/>
      <c r="B7" s="14">
        <v>2</v>
      </c>
      <c r="C7" s="115" t="s">
        <v>112</v>
      </c>
      <c r="D7" s="198" t="s">
        <v>161</v>
      </c>
      <c r="E7" s="181">
        <v>4000</v>
      </c>
      <c r="F7" s="181">
        <v>22</v>
      </c>
      <c r="G7" s="181">
        <v>22</v>
      </c>
      <c r="H7" s="181">
        <f t="shared" ref="H7" si="3">F7-G7</f>
        <v>0</v>
      </c>
      <c r="I7" s="181">
        <f>4000/21.75*H7</f>
        <v>0</v>
      </c>
      <c r="J7" s="181"/>
      <c r="K7" s="181"/>
      <c r="L7" s="181">
        <f t="shared" ref="L7:L14" si="4">E7-I7+J7+K7</f>
        <v>4000</v>
      </c>
      <c r="M7" s="193">
        <f>VLOOKUP(C7,'7月社保和公积金明细表'!$C$6:$E$14,3,0)</f>
        <v>2200</v>
      </c>
      <c r="N7" s="193">
        <f t="shared" ref="N7:N14" si="5">MIN(23565, MAX(3613, M7))</f>
        <v>3613</v>
      </c>
      <c r="O7" s="181">
        <f t="shared" ref="O7:O14" si="6">ROUND(N7*0.16*0,2)</f>
        <v>0</v>
      </c>
      <c r="P7" s="193">
        <f t="shared" ref="P7:P14" si="7">MIN(27786, MAX(5360, M7))</f>
        <v>5360</v>
      </c>
      <c r="Q7" s="181">
        <f t="shared" ref="Q7:Q14" si="8">ROUND(P7*10.8%,2)</f>
        <v>578.88</v>
      </c>
      <c r="R7" s="181">
        <f t="shared" ref="R7:R13" si="9">N7</f>
        <v>3613</v>
      </c>
      <c r="S7" s="181">
        <f t="shared" ref="S7:S14" si="10">ROUND(R7*0.8%*0,2)</f>
        <v>0</v>
      </c>
      <c r="T7" s="193">
        <f t="shared" ref="T7:T14" si="11">MIN(23565, MAX(4713, M7))</f>
        <v>4713</v>
      </c>
      <c r="U7" s="181">
        <f t="shared" ref="U7:U13" si="12">ROUND(T7*0.4%*0,2)</f>
        <v>0</v>
      </c>
      <c r="V7" s="181">
        <f t="shared" ref="V7:V14" si="13">ROUND(N7*8%,2)</f>
        <v>289.04000000000002</v>
      </c>
      <c r="W7" s="181">
        <f t="shared" ref="W7:W14" si="14">ROUND(P7*2%+3,2)</f>
        <v>110.2</v>
      </c>
      <c r="X7" s="181">
        <f t="shared" ref="X7:X14" si="15">IF(COUNTIF(D7,"*城镇*")&gt;0,ROUND(R7*0.2%,2),0)</f>
        <v>0</v>
      </c>
      <c r="Y7" s="181"/>
      <c r="Z7" s="181"/>
      <c r="AA7" s="181"/>
      <c r="AB7" s="181">
        <f t="shared" si="0"/>
        <v>0</v>
      </c>
      <c r="AC7" s="181">
        <f t="shared" ref="AC7" si="16">V7+W7+X7</f>
        <v>399.24</v>
      </c>
      <c r="AD7" s="181">
        <v>5000</v>
      </c>
      <c r="AE7" s="181">
        <f t="shared" si="1"/>
        <v>-1399.2399999999998</v>
      </c>
      <c r="AF7" s="181">
        <f>ROUND(MAX(AE7*{3;10;20;25;30;35;45}%-{0;21;141;266;441;716;1516}*10,),2)</f>
        <v>0</v>
      </c>
      <c r="AG7" s="181">
        <f t="shared" si="2"/>
        <v>3600.76</v>
      </c>
      <c r="AH7" s="151" t="s">
        <v>132</v>
      </c>
    </row>
    <row r="8" spans="1:34" s="15" customFormat="1" ht="14.4">
      <c r="A8" s="13"/>
      <c r="B8" s="14">
        <v>3</v>
      </c>
      <c r="C8" s="35" t="s">
        <v>104</v>
      </c>
      <c r="D8" s="35" t="s">
        <v>160</v>
      </c>
      <c r="E8" s="181">
        <v>5000</v>
      </c>
      <c r="F8" s="181">
        <v>22</v>
      </c>
      <c r="G8" s="181">
        <v>22</v>
      </c>
      <c r="H8" s="181">
        <f>F8-G8</f>
        <v>0</v>
      </c>
      <c r="I8" s="181">
        <f>4000/21.75*H8</f>
        <v>0</v>
      </c>
      <c r="J8" s="181"/>
      <c r="K8" s="181"/>
      <c r="L8" s="181">
        <f t="shared" si="4"/>
        <v>5000</v>
      </c>
      <c r="M8" s="193">
        <f>VLOOKUP(C8,'7月社保和公积金明细表'!$C$6:$E$14,3,0)</f>
        <v>2200</v>
      </c>
      <c r="N8" s="193">
        <f t="shared" si="5"/>
        <v>3613</v>
      </c>
      <c r="O8" s="181">
        <f t="shared" si="6"/>
        <v>0</v>
      </c>
      <c r="P8" s="193">
        <f t="shared" si="7"/>
        <v>5360</v>
      </c>
      <c r="Q8" s="181">
        <f t="shared" si="8"/>
        <v>578.88</v>
      </c>
      <c r="R8" s="181">
        <f t="shared" si="9"/>
        <v>3613</v>
      </c>
      <c r="S8" s="181">
        <f t="shared" si="10"/>
        <v>0</v>
      </c>
      <c r="T8" s="193">
        <f t="shared" si="11"/>
        <v>4713</v>
      </c>
      <c r="U8" s="181">
        <f t="shared" si="12"/>
        <v>0</v>
      </c>
      <c r="V8" s="181">
        <f t="shared" si="13"/>
        <v>289.04000000000002</v>
      </c>
      <c r="W8" s="181">
        <f t="shared" si="14"/>
        <v>110.2</v>
      </c>
      <c r="X8" s="181">
        <f t="shared" si="15"/>
        <v>7.23</v>
      </c>
      <c r="Y8" s="181">
        <f t="shared" ref="Y8:Y11" si="17">M8</f>
        <v>2200</v>
      </c>
      <c r="Z8" s="181">
        <f t="shared" ref="Z7:Z14" si="18">ROUND(Y8*5%,2)</f>
        <v>110</v>
      </c>
      <c r="AA8" s="181"/>
      <c r="AB8" s="181">
        <f t="shared" si="0"/>
        <v>110</v>
      </c>
      <c r="AC8" s="181">
        <f>V8+W8+X8+AB8</f>
        <v>516.47</v>
      </c>
      <c r="AD8" s="181">
        <f>5000</f>
        <v>5000</v>
      </c>
      <c r="AE8" s="181">
        <f t="shared" si="1"/>
        <v>-516.47000000000025</v>
      </c>
      <c r="AF8" s="181">
        <f>ROUND(MAX(AE8*{3;10;20;25;30;35;45}%-{0;21;141;266;441;716;1516}*10,),2)</f>
        <v>0</v>
      </c>
      <c r="AG8" s="181">
        <f t="shared" si="2"/>
        <v>4483.53</v>
      </c>
      <c r="AH8" s="146"/>
    </row>
    <row r="9" spans="1:34" s="15" customFormat="1" ht="14.4">
      <c r="A9" s="13"/>
      <c r="B9" s="14">
        <v>4</v>
      </c>
      <c r="C9" s="35" t="s">
        <v>103</v>
      </c>
      <c r="D9" s="35" t="s">
        <v>160</v>
      </c>
      <c r="E9" s="181">
        <v>7000</v>
      </c>
      <c r="F9" s="181">
        <v>22</v>
      </c>
      <c r="G9" s="181">
        <v>22</v>
      </c>
      <c r="H9" s="181">
        <f>F9-G9</f>
        <v>0</v>
      </c>
      <c r="I9" s="181">
        <f>4000/21.75*H9</f>
        <v>0</v>
      </c>
      <c r="J9" s="181"/>
      <c r="K9" s="181"/>
      <c r="L9" s="181">
        <f t="shared" si="4"/>
        <v>7000</v>
      </c>
      <c r="M9" s="193">
        <f>VLOOKUP(C9,'7月社保和公积金明细表'!$C$6:$E$14,3,0)</f>
        <v>2200</v>
      </c>
      <c r="N9" s="193">
        <f t="shared" si="5"/>
        <v>3613</v>
      </c>
      <c r="O9" s="181">
        <f t="shared" si="6"/>
        <v>0</v>
      </c>
      <c r="P9" s="193">
        <f t="shared" si="7"/>
        <v>5360</v>
      </c>
      <c r="Q9" s="181">
        <f t="shared" si="8"/>
        <v>578.88</v>
      </c>
      <c r="R9" s="181">
        <f t="shared" si="9"/>
        <v>3613</v>
      </c>
      <c r="S9" s="181">
        <f t="shared" si="10"/>
        <v>0</v>
      </c>
      <c r="T9" s="193">
        <f t="shared" si="11"/>
        <v>4713</v>
      </c>
      <c r="U9" s="181">
        <f t="shared" si="12"/>
        <v>0</v>
      </c>
      <c r="V9" s="181">
        <f t="shared" si="13"/>
        <v>289.04000000000002</v>
      </c>
      <c r="W9" s="181">
        <f t="shared" si="14"/>
        <v>110.2</v>
      </c>
      <c r="X9" s="181">
        <f t="shared" si="15"/>
        <v>7.23</v>
      </c>
      <c r="Y9" s="181"/>
      <c r="Z9" s="181"/>
      <c r="AA9" s="181"/>
      <c r="AB9" s="181">
        <f t="shared" si="0"/>
        <v>0</v>
      </c>
      <c r="AC9" s="181">
        <f>V9+W9+X9+AA9</f>
        <v>406.47</v>
      </c>
      <c r="AD9" s="181">
        <f>5000+2000</f>
        <v>7000</v>
      </c>
      <c r="AE9" s="181">
        <f t="shared" si="1"/>
        <v>-406.47000000000025</v>
      </c>
      <c r="AF9" s="181">
        <f>ROUND(MAX(AE9*{3;10;20;25;30;35;45}%-{0;21;141;266;441;716;1516}*10,),2)</f>
        <v>0</v>
      </c>
      <c r="AG9" s="144">
        <f t="shared" si="2"/>
        <v>6593.53</v>
      </c>
      <c r="AH9" s="148" t="s">
        <v>142</v>
      </c>
    </row>
    <row r="10" spans="1:34" s="15" customFormat="1" ht="14.4">
      <c r="A10" s="13"/>
      <c r="B10" s="14">
        <v>5</v>
      </c>
      <c r="C10" s="115" t="s">
        <v>124</v>
      </c>
      <c r="D10" s="198" t="s">
        <v>161</v>
      </c>
      <c r="E10" s="181">
        <v>5500</v>
      </c>
      <c r="F10" s="181">
        <v>22</v>
      </c>
      <c r="G10" s="181">
        <v>22</v>
      </c>
      <c r="H10" s="181">
        <f t="shared" ref="H10:H14" si="19">F10-G10</f>
        <v>0</v>
      </c>
      <c r="I10" s="181">
        <f t="shared" ref="I10:I14" si="20">4000/21.75*H10</f>
        <v>0</v>
      </c>
      <c r="J10" s="181"/>
      <c r="K10" s="181"/>
      <c r="L10" s="181">
        <f t="shared" si="4"/>
        <v>5500</v>
      </c>
      <c r="M10" s="193">
        <f>VLOOKUP(C10,'7月社保和公积金明细表'!$C$6:$E$14,3,0)</f>
        <v>5500</v>
      </c>
      <c r="N10" s="193">
        <f>MIN(23565, MAX(3613, M10))</f>
        <v>5500</v>
      </c>
      <c r="O10" s="181">
        <f t="shared" si="6"/>
        <v>0</v>
      </c>
      <c r="P10" s="193">
        <f t="shared" si="7"/>
        <v>5500</v>
      </c>
      <c r="Q10" s="181">
        <f t="shared" si="8"/>
        <v>594</v>
      </c>
      <c r="R10" s="181">
        <f t="shared" si="9"/>
        <v>5500</v>
      </c>
      <c r="S10" s="181">
        <f t="shared" si="10"/>
        <v>0</v>
      </c>
      <c r="T10" s="193">
        <f t="shared" si="11"/>
        <v>5500</v>
      </c>
      <c r="U10" s="181">
        <f t="shared" si="12"/>
        <v>0</v>
      </c>
      <c r="V10" s="181">
        <f t="shared" si="13"/>
        <v>440</v>
      </c>
      <c r="W10" s="181">
        <f t="shared" si="14"/>
        <v>113</v>
      </c>
      <c r="X10" s="181">
        <f t="shared" si="15"/>
        <v>0</v>
      </c>
      <c r="Y10" s="181">
        <f t="shared" si="17"/>
        <v>5500</v>
      </c>
      <c r="Z10" s="181">
        <f t="shared" si="18"/>
        <v>275</v>
      </c>
      <c r="AA10" s="181">
        <f>ROUND(Y10*5%,2)</f>
        <v>275</v>
      </c>
      <c r="AB10" s="181">
        <f t="shared" si="0"/>
        <v>550</v>
      </c>
      <c r="AC10" s="181">
        <f t="shared" ref="AC10:AC14" si="21">V10+W10+X10+AA10</f>
        <v>828</v>
      </c>
      <c r="AD10" s="181">
        <f>5000</f>
        <v>5000</v>
      </c>
      <c r="AE10" s="181">
        <f t="shared" si="1"/>
        <v>-328</v>
      </c>
      <c r="AF10" s="181">
        <f>ROUND(MAX(AE10*{3;10;20;25;30;35;45}%-{0;21;141;266;441;716;1516}*10,),2)</f>
        <v>0</v>
      </c>
      <c r="AG10" s="181">
        <f t="shared" si="2"/>
        <v>4672</v>
      </c>
      <c r="AH10" s="151" t="s">
        <v>132</v>
      </c>
    </row>
    <row r="11" spans="1:34" s="15" customFormat="1" ht="14.4">
      <c r="A11" s="13"/>
      <c r="B11" s="14">
        <v>6</v>
      </c>
      <c r="C11" s="35" t="s">
        <v>125</v>
      </c>
      <c r="D11" s="35" t="s">
        <v>160</v>
      </c>
      <c r="E11" s="181">
        <v>5500</v>
      </c>
      <c r="F11" s="181">
        <v>22</v>
      </c>
      <c r="G11" s="181">
        <v>22</v>
      </c>
      <c r="H11" s="181">
        <f t="shared" si="19"/>
        <v>0</v>
      </c>
      <c r="I11" s="181">
        <f t="shared" si="20"/>
        <v>0</v>
      </c>
      <c r="J11" s="181"/>
      <c r="K11" s="181"/>
      <c r="L11" s="181">
        <f t="shared" si="4"/>
        <v>5500</v>
      </c>
      <c r="M11" s="193">
        <f>VLOOKUP(C11,'7月社保和公积金明细表'!$C$6:$E$14,3,0)</f>
        <v>5500</v>
      </c>
      <c r="N11" s="193">
        <f t="shared" si="5"/>
        <v>5500</v>
      </c>
      <c r="O11" s="181">
        <f t="shared" si="6"/>
        <v>0</v>
      </c>
      <c r="P11" s="193">
        <f t="shared" si="7"/>
        <v>5500</v>
      </c>
      <c r="Q11" s="181">
        <f t="shared" si="8"/>
        <v>594</v>
      </c>
      <c r="R11" s="181">
        <f t="shared" si="9"/>
        <v>5500</v>
      </c>
      <c r="S11" s="181">
        <f t="shared" si="10"/>
        <v>0</v>
      </c>
      <c r="T11" s="193">
        <f t="shared" si="11"/>
        <v>5500</v>
      </c>
      <c r="U11" s="181">
        <f t="shared" si="12"/>
        <v>0</v>
      </c>
      <c r="V11" s="181">
        <f t="shared" si="13"/>
        <v>440</v>
      </c>
      <c r="W11" s="181">
        <f t="shared" si="14"/>
        <v>113</v>
      </c>
      <c r="X11" s="181">
        <f t="shared" si="15"/>
        <v>11</v>
      </c>
      <c r="Y11" s="181">
        <f t="shared" si="17"/>
        <v>5500</v>
      </c>
      <c r="Z11" s="181">
        <f t="shared" si="18"/>
        <v>275</v>
      </c>
      <c r="AA11" s="181">
        <f t="shared" ref="AA11:AA14" si="22">ROUND(Y11*5%,2)</f>
        <v>275</v>
      </c>
      <c r="AB11" s="181">
        <f t="shared" si="0"/>
        <v>550</v>
      </c>
      <c r="AC11" s="181">
        <f t="shared" si="21"/>
        <v>839</v>
      </c>
      <c r="AD11" s="181">
        <f>5000</f>
        <v>5000</v>
      </c>
      <c r="AE11" s="181">
        <f t="shared" si="1"/>
        <v>-339</v>
      </c>
      <c r="AF11" s="181">
        <f>ROUND(MAX(AE11*{3;10;20;25;30;35;45}%-{0;21;141;266;441;716;1516}*10,),2)</f>
        <v>0</v>
      </c>
      <c r="AG11" s="181">
        <f t="shared" si="2"/>
        <v>4661</v>
      </c>
      <c r="AH11" s="146"/>
    </row>
    <row r="12" spans="1:34" s="15" customFormat="1" ht="14.4">
      <c r="A12" s="13"/>
      <c r="B12" s="14">
        <v>7</v>
      </c>
      <c r="C12" s="115" t="s">
        <v>147</v>
      </c>
      <c r="D12" s="198" t="s">
        <v>161</v>
      </c>
      <c r="E12" s="181">
        <v>5500</v>
      </c>
      <c r="F12" s="181">
        <v>22</v>
      </c>
      <c r="G12" s="181">
        <v>22</v>
      </c>
      <c r="H12" s="181">
        <f t="shared" si="19"/>
        <v>0</v>
      </c>
      <c r="I12" s="181">
        <f t="shared" si="20"/>
        <v>0</v>
      </c>
      <c r="J12" s="181"/>
      <c r="K12" s="181"/>
      <c r="L12" s="181">
        <f t="shared" si="4"/>
        <v>5500</v>
      </c>
      <c r="M12" s="193">
        <f>VLOOKUP(C12,'7月社保和公积金明细表'!$C$6:$E$14,3,0)</f>
        <v>5500</v>
      </c>
      <c r="N12" s="193">
        <f t="shared" si="5"/>
        <v>5500</v>
      </c>
      <c r="O12" s="181">
        <f t="shared" si="6"/>
        <v>0</v>
      </c>
      <c r="P12" s="193">
        <f t="shared" si="7"/>
        <v>5500</v>
      </c>
      <c r="Q12" s="181">
        <f t="shared" si="8"/>
        <v>594</v>
      </c>
      <c r="R12" s="181">
        <f t="shared" si="9"/>
        <v>5500</v>
      </c>
      <c r="S12" s="181">
        <f t="shared" si="10"/>
        <v>0</v>
      </c>
      <c r="T12" s="193">
        <f t="shared" si="11"/>
        <v>5500</v>
      </c>
      <c r="U12" s="181">
        <f t="shared" si="12"/>
        <v>0</v>
      </c>
      <c r="V12" s="181">
        <f t="shared" si="13"/>
        <v>440</v>
      </c>
      <c r="W12" s="181">
        <f t="shared" si="14"/>
        <v>113</v>
      </c>
      <c r="X12" s="181">
        <f t="shared" si="15"/>
        <v>0</v>
      </c>
      <c r="Y12" s="181"/>
      <c r="Z12" s="181"/>
      <c r="AA12" s="181"/>
      <c r="AB12" s="181">
        <f t="shared" si="0"/>
        <v>0</v>
      </c>
      <c r="AC12" s="181">
        <f t="shared" si="21"/>
        <v>553</v>
      </c>
      <c r="AD12" s="181">
        <f>5000</f>
        <v>5000</v>
      </c>
      <c r="AE12" s="181">
        <f t="shared" si="1"/>
        <v>-53</v>
      </c>
      <c r="AF12" s="181">
        <f>ROUND(MAX(AE12*{3;10;20;25;30;35;45}%-{0;21;141;266;441;716;1516}*10,),2)</f>
        <v>0</v>
      </c>
      <c r="AG12" s="181">
        <f t="shared" si="2"/>
        <v>4947</v>
      </c>
      <c r="AH12" s="151" t="s">
        <v>132</v>
      </c>
    </row>
    <row r="13" spans="1:34" s="15" customFormat="1" ht="14.4">
      <c r="A13" s="13"/>
      <c r="B13" s="14">
        <v>8</v>
      </c>
      <c r="C13" s="35" t="s">
        <v>138</v>
      </c>
      <c r="D13" s="35" t="s">
        <v>160</v>
      </c>
      <c r="E13" s="181">
        <v>2610.41</v>
      </c>
      <c r="F13" s="181">
        <v>22</v>
      </c>
      <c r="G13" s="181">
        <v>22</v>
      </c>
      <c r="H13" s="181">
        <f t="shared" ref="H13" si="23">F13-G13</f>
        <v>0</v>
      </c>
      <c r="I13" s="181">
        <f t="shared" ref="I13" si="24">4000/21.75*H13</f>
        <v>0</v>
      </c>
      <c r="J13" s="181"/>
      <c r="K13" s="181"/>
      <c r="L13" s="181">
        <f t="shared" ref="L13" si="25">E13-I13+J13+K13</f>
        <v>2610.41</v>
      </c>
      <c r="M13" s="193">
        <f>VLOOKUP(C13,'7月社保和公积金明细表'!$C$6:$E$14,3,0)</f>
        <v>2200</v>
      </c>
      <c r="N13" s="193">
        <f t="shared" si="5"/>
        <v>3613</v>
      </c>
      <c r="O13" s="181">
        <f t="shared" si="6"/>
        <v>0</v>
      </c>
      <c r="P13" s="193">
        <f t="shared" si="7"/>
        <v>5360</v>
      </c>
      <c r="Q13" s="181">
        <f t="shared" si="8"/>
        <v>578.88</v>
      </c>
      <c r="R13" s="181">
        <f t="shared" si="9"/>
        <v>3613</v>
      </c>
      <c r="S13" s="181">
        <f t="shared" si="10"/>
        <v>0</v>
      </c>
      <c r="T13" s="193">
        <f t="shared" si="11"/>
        <v>4713</v>
      </c>
      <c r="U13" s="181">
        <f t="shared" si="12"/>
        <v>0</v>
      </c>
      <c r="V13" s="181">
        <f t="shared" si="13"/>
        <v>289.04000000000002</v>
      </c>
      <c r="W13" s="181">
        <f t="shared" si="14"/>
        <v>110.2</v>
      </c>
      <c r="X13" s="181">
        <f t="shared" si="15"/>
        <v>7.23</v>
      </c>
      <c r="Y13" s="181"/>
      <c r="Z13" s="181"/>
      <c r="AA13" s="181"/>
      <c r="AB13" s="181">
        <f t="shared" ref="AB13" si="26">Z13+AA13</f>
        <v>0</v>
      </c>
      <c r="AC13" s="181">
        <f t="shared" ref="AC13" si="27">V13+W13+X13+AA13</f>
        <v>406.47</v>
      </c>
      <c r="AD13" s="181">
        <f>5000</f>
        <v>5000</v>
      </c>
      <c r="AE13" s="181">
        <f t="shared" si="1"/>
        <v>-2796.0600000000004</v>
      </c>
      <c r="AF13" s="181">
        <f>ROUND(MAX(AE13*{3;10;20;25;30;35;45}%-{0;21;141;266;441;716;1516}*10,),2)</f>
        <v>0</v>
      </c>
      <c r="AG13" s="181">
        <f t="shared" si="2"/>
        <v>2203.9399999999996</v>
      </c>
      <c r="AH13" s="146"/>
    </row>
    <row r="14" spans="1:34" s="15" customFormat="1" ht="14.4">
      <c r="A14" s="13"/>
      <c r="B14" s="14">
        <v>9</v>
      </c>
      <c r="C14" s="35" t="s">
        <v>153</v>
      </c>
      <c r="D14" s="35" t="s">
        <v>160</v>
      </c>
      <c r="E14" s="181">
        <v>5000</v>
      </c>
      <c r="F14" s="181">
        <v>22</v>
      </c>
      <c r="G14" s="181">
        <v>22</v>
      </c>
      <c r="H14" s="181">
        <f t="shared" si="19"/>
        <v>0</v>
      </c>
      <c r="I14" s="181">
        <f t="shared" si="20"/>
        <v>0</v>
      </c>
      <c r="J14" s="181"/>
      <c r="K14" s="181"/>
      <c r="L14" s="181">
        <f t="shared" si="4"/>
        <v>5000</v>
      </c>
      <c r="M14" s="193">
        <f>VLOOKUP(C14,'7月社保和公积金明细表'!$C$6:$E$14,3,0)</f>
        <v>5000</v>
      </c>
      <c r="N14" s="193">
        <f t="shared" si="5"/>
        <v>5000</v>
      </c>
      <c r="O14" s="181">
        <f t="shared" si="6"/>
        <v>0</v>
      </c>
      <c r="P14" s="193">
        <f t="shared" si="7"/>
        <v>5360</v>
      </c>
      <c r="Q14" s="181">
        <f t="shared" si="8"/>
        <v>578.88</v>
      </c>
      <c r="R14" s="181">
        <v>5000</v>
      </c>
      <c r="S14" s="181">
        <f t="shared" si="10"/>
        <v>0</v>
      </c>
      <c r="T14" s="193">
        <f t="shared" si="11"/>
        <v>5000</v>
      </c>
      <c r="U14" s="181">
        <f>ROUND(T14*0.4%*0,2)</f>
        <v>0</v>
      </c>
      <c r="V14" s="181">
        <f t="shared" si="13"/>
        <v>400</v>
      </c>
      <c r="W14" s="181">
        <f t="shared" si="14"/>
        <v>110.2</v>
      </c>
      <c r="X14" s="181">
        <f t="shared" si="15"/>
        <v>10</v>
      </c>
      <c r="Y14" s="181"/>
      <c r="Z14" s="181"/>
      <c r="AA14" s="181"/>
      <c r="AB14" s="181">
        <f t="shared" si="0"/>
        <v>0</v>
      </c>
      <c r="AC14" s="181">
        <f t="shared" si="21"/>
        <v>520.20000000000005</v>
      </c>
      <c r="AD14" s="181">
        <f>5000</f>
        <v>5000</v>
      </c>
      <c r="AE14" s="181">
        <f t="shared" si="1"/>
        <v>-520.19999999999982</v>
      </c>
      <c r="AF14" s="181">
        <f>ROUND(MAX(AE14*{3;10;20;25;30;35;45}%-{0;21;141;266;441;716;1516}*10,),2)</f>
        <v>0</v>
      </c>
      <c r="AG14" s="181">
        <f t="shared" si="2"/>
        <v>4479.8</v>
      </c>
      <c r="AH14" s="146"/>
    </row>
    <row r="15" spans="1:34" s="15" customFormat="1" ht="14.4">
      <c r="A15" s="13"/>
      <c r="B15" s="14"/>
      <c r="C15" s="35"/>
      <c r="D15" s="35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46"/>
    </row>
    <row r="16" spans="1:34" s="15" customFormat="1" ht="13.8">
      <c r="A16" s="13"/>
      <c r="B16" s="228" t="s">
        <v>65</v>
      </c>
      <c r="C16" s="228"/>
      <c r="D16" s="185"/>
      <c r="E16" s="208">
        <f>SUM(E6:E15)</f>
        <v>47110.41</v>
      </c>
      <c r="F16" s="208"/>
      <c r="G16" s="208"/>
      <c r="H16" s="208"/>
      <c r="I16" s="208">
        <f>SUM(I6:I15)</f>
        <v>2574.7126436781609</v>
      </c>
      <c r="J16" s="208">
        <f>SUM(J6:J15)</f>
        <v>0</v>
      </c>
      <c r="K16" s="208">
        <f>SUM(K6:K15)</f>
        <v>0</v>
      </c>
      <c r="L16" s="208">
        <f>SUM(L6:L15)</f>
        <v>44535.697356321834</v>
      </c>
      <c r="M16" s="181"/>
      <c r="N16" s="208"/>
      <c r="O16" s="181">
        <f t="shared" ref="O16:AB16" si="28">SUM(O6:O15)</f>
        <v>0</v>
      </c>
      <c r="P16" s="181"/>
      <c r="Q16" s="181">
        <f t="shared" si="28"/>
        <v>5255.2800000000007</v>
      </c>
      <c r="R16" s="181"/>
      <c r="S16" s="181">
        <f t="shared" si="28"/>
        <v>0</v>
      </c>
      <c r="T16" s="181"/>
      <c r="U16" s="181">
        <f t="shared" si="28"/>
        <v>0</v>
      </c>
      <c r="V16" s="181">
        <f t="shared" si="28"/>
        <v>3230.18</v>
      </c>
      <c r="W16" s="181">
        <f t="shared" si="28"/>
        <v>1000.2</v>
      </c>
      <c r="X16" s="181">
        <f t="shared" si="28"/>
        <v>51.540000000000006</v>
      </c>
      <c r="Y16" s="181"/>
      <c r="Z16" s="181">
        <f t="shared" si="28"/>
        <v>660</v>
      </c>
      <c r="AA16" s="181">
        <f t="shared" si="28"/>
        <v>550</v>
      </c>
      <c r="AB16" s="181">
        <f t="shared" si="28"/>
        <v>1210</v>
      </c>
      <c r="AC16" s="224">
        <f>SUM(AC6:AC15)</f>
        <v>4941.92</v>
      </c>
      <c r="AD16" s="208"/>
      <c r="AE16" s="208"/>
      <c r="AF16" s="215">
        <f>SUM(AF6:AF15)</f>
        <v>0</v>
      </c>
      <c r="AG16" s="215">
        <f>SUM(AG6:AG15)</f>
        <v>39593.777356321843</v>
      </c>
      <c r="AH16" s="146"/>
    </row>
    <row r="17" spans="1:34" s="15" customFormat="1" ht="13.8">
      <c r="A17" s="13"/>
      <c r="B17" s="228"/>
      <c r="C17" s="228"/>
      <c r="D17" s="185"/>
      <c r="E17" s="208"/>
      <c r="F17" s="208"/>
      <c r="G17" s="208"/>
      <c r="H17" s="208"/>
      <c r="I17" s="208"/>
      <c r="J17" s="208"/>
      <c r="K17" s="208"/>
      <c r="L17" s="208"/>
      <c r="M17" s="181"/>
      <c r="N17" s="208"/>
      <c r="O17" s="208">
        <f>SUM(O16,Q16,S16,U16)</f>
        <v>5255.2800000000007</v>
      </c>
      <c r="P17" s="208"/>
      <c r="Q17" s="208"/>
      <c r="R17" s="208"/>
      <c r="S17" s="208"/>
      <c r="T17" s="208"/>
      <c r="U17" s="208"/>
      <c r="V17" s="208">
        <f>SUM(V16:X16)</f>
        <v>4281.92</v>
      </c>
      <c r="W17" s="208"/>
      <c r="X17" s="208"/>
      <c r="Y17" s="183"/>
      <c r="Z17" s="216">
        <f>Z16+AA16</f>
        <v>1210</v>
      </c>
      <c r="AA17" s="217"/>
      <c r="AB17" s="218"/>
      <c r="AC17" s="225"/>
      <c r="AD17" s="208"/>
      <c r="AE17" s="208"/>
      <c r="AF17" s="215"/>
      <c r="AG17" s="215"/>
      <c r="AH17" s="146"/>
    </row>
    <row r="18" spans="1:34" s="15" customFormat="1" ht="13.8">
      <c r="A18" s="13"/>
      <c r="B18" s="228"/>
      <c r="C18" s="228"/>
      <c r="D18" s="185"/>
      <c r="E18" s="208"/>
      <c r="F18" s="208"/>
      <c r="G18" s="208"/>
      <c r="H18" s="208"/>
      <c r="I18" s="208"/>
      <c r="J18" s="208"/>
      <c r="K18" s="208"/>
      <c r="L18" s="208"/>
      <c r="M18" s="181"/>
      <c r="N18" s="208"/>
      <c r="O18" s="208">
        <f>O17+V17</f>
        <v>9537.2000000000007</v>
      </c>
      <c r="P18" s="208"/>
      <c r="Q18" s="208"/>
      <c r="R18" s="208"/>
      <c r="S18" s="208"/>
      <c r="T18" s="208"/>
      <c r="U18" s="208"/>
      <c r="V18" s="208"/>
      <c r="W18" s="208"/>
      <c r="X18" s="208"/>
      <c r="Y18" s="184"/>
      <c r="Z18" s="219"/>
      <c r="AA18" s="220"/>
      <c r="AB18" s="221"/>
      <c r="AC18" s="226"/>
      <c r="AD18" s="208"/>
      <c r="AE18" s="208"/>
      <c r="AF18" s="215"/>
      <c r="AG18" s="215"/>
      <c r="AH18" s="146"/>
    </row>
    <row r="19" spans="1:34" s="20" customFormat="1" ht="21.75" customHeight="1">
      <c r="A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2"/>
      <c r="W19" s="182"/>
      <c r="X19" s="182"/>
      <c r="Y19" s="182"/>
      <c r="Z19" s="182"/>
      <c r="AA19" s="182"/>
      <c r="AB19" s="222" t="s">
        <v>150</v>
      </c>
      <c r="AC19" s="223"/>
      <c r="AD19" s="182"/>
      <c r="AE19" s="182"/>
      <c r="AF19" s="174"/>
      <c r="AG19" s="175">
        <f>AG16-AG9</f>
        <v>33000.247356321845</v>
      </c>
      <c r="AH19" s="147"/>
    </row>
    <row r="20" spans="1:34" s="15" customFormat="1" ht="14.4">
      <c r="A20" s="13"/>
      <c r="B20" s="212" t="s">
        <v>151</v>
      </c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146"/>
    </row>
    <row r="21" spans="1:34" s="15" customFormat="1" ht="13.8">
      <c r="A21" s="13"/>
      <c r="B21" s="21"/>
      <c r="AH21" s="146"/>
    </row>
    <row r="22" spans="1:34" s="15" customFormat="1" ht="14.4">
      <c r="A22" s="13"/>
      <c r="B22" s="213"/>
      <c r="C22" s="213"/>
      <c r="D22" s="180"/>
      <c r="O22" s="209" t="s">
        <v>47</v>
      </c>
      <c r="P22" s="210"/>
      <c r="Q22" s="210"/>
      <c r="R22" s="211"/>
      <c r="S22" s="195" t="s">
        <v>48</v>
      </c>
      <c r="T22" s="196"/>
      <c r="U22" s="196"/>
      <c r="V22" s="208" t="s">
        <v>56</v>
      </c>
      <c r="AE22" s="16"/>
      <c r="AH22" s="146"/>
    </row>
    <row r="23" spans="1:34" s="15" customFormat="1" ht="14.4">
      <c r="A23" s="13"/>
      <c r="B23" s="214"/>
      <c r="C23" s="214"/>
      <c r="D23" s="182"/>
      <c r="O23" s="186" t="s">
        <v>53</v>
      </c>
      <c r="P23" s="197" t="s">
        <v>156</v>
      </c>
      <c r="Q23" s="186" t="s">
        <v>51</v>
      </c>
      <c r="R23" s="186" t="s">
        <v>52</v>
      </c>
      <c r="S23" s="186" t="s">
        <v>53</v>
      </c>
      <c r="T23" s="178" t="s">
        <v>46</v>
      </c>
      <c r="U23" s="186" t="s">
        <v>51</v>
      </c>
      <c r="V23" s="208"/>
      <c r="AH23" s="146"/>
    </row>
    <row r="24" spans="1:34" s="15" customFormat="1" ht="14.4">
      <c r="A24" s="13"/>
      <c r="B24" s="21"/>
      <c r="N24" s="181" t="s">
        <v>67</v>
      </c>
      <c r="O24" s="181">
        <v>3613</v>
      </c>
      <c r="P24" s="181">
        <v>5360</v>
      </c>
      <c r="Q24" s="181">
        <v>3613</v>
      </c>
      <c r="R24" s="181">
        <v>4713</v>
      </c>
      <c r="S24" s="181">
        <v>3613</v>
      </c>
      <c r="T24" s="181">
        <v>5360</v>
      </c>
      <c r="U24" s="181">
        <v>3613</v>
      </c>
      <c r="V24" s="181"/>
      <c r="AH24" s="146"/>
    </row>
    <row r="25" spans="1:34" s="15" customFormat="1" ht="14.4">
      <c r="A25" s="13"/>
      <c r="B25" s="21"/>
      <c r="N25" s="181" t="s">
        <v>68</v>
      </c>
      <c r="O25" s="181">
        <f>ROUND(O24*$O$4,2)</f>
        <v>578.08000000000004</v>
      </c>
      <c r="P25" s="181">
        <f>ROUND(P24*$Q$4,2)</f>
        <v>578.88</v>
      </c>
      <c r="Q25" s="181">
        <f>ROUND(Q24*$S$4,2)</f>
        <v>28.9</v>
      </c>
      <c r="R25" s="181">
        <f>ROUND(R24*$U$4,2)</f>
        <v>18.850000000000001</v>
      </c>
      <c r="S25" s="181">
        <f>ROUND(S24*$V$4,2)</f>
        <v>289.04000000000002</v>
      </c>
      <c r="T25" s="181">
        <f>ROUND(T24*2%+3,2)</f>
        <v>110.2</v>
      </c>
      <c r="U25" s="181">
        <f>ROUND(U24*$X$4,2)</f>
        <v>7.23</v>
      </c>
      <c r="V25" s="181">
        <f>SUM(N25:U25)</f>
        <v>1611.18</v>
      </c>
      <c r="AH25" s="146"/>
    </row>
    <row r="26" spans="1:34" s="15" customFormat="1" ht="14.4">
      <c r="A26" s="13"/>
      <c r="B26" s="21"/>
      <c r="N26" s="181" t="s">
        <v>69</v>
      </c>
      <c r="O26" s="181">
        <v>23565</v>
      </c>
      <c r="P26" s="181">
        <v>27786</v>
      </c>
      <c r="Q26" s="181">
        <v>23565</v>
      </c>
      <c r="R26" s="181">
        <v>23565</v>
      </c>
      <c r="S26" s="181">
        <v>23565</v>
      </c>
      <c r="T26" s="181">
        <v>27786</v>
      </c>
      <c r="U26" s="181">
        <v>23565</v>
      </c>
      <c r="V26" s="181"/>
      <c r="AH26" s="146"/>
    </row>
    <row r="27" spans="1:34" s="15" customFormat="1" ht="14.4">
      <c r="A27" s="13"/>
      <c r="B27" s="21"/>
      <c r="N27" s="181" t="s">
        <v>70</v>
      </c>
      <c r="O27" s="181">
        <f>ROUND(O26*$O$4,2)</f>
        <v>3770.4</v>
      </c>
      <c r="P27" s="181">
        <f>ROUND(P26*$Q$4,2)</f>
        <v>3000.89</v>
      </c>
      <c r="Q27" s="181">
        <f>ROUND(Q26*$S$4,2)</f>
        <v>188.52</v>
      </c>
      <c r="R27" s="181">
        <f>ROUND(R26*$U$4,2)</f>
        <v>94.26</v>
      </c>
      <c r="S27" s="181">
        <f>ROUND(S26*$V$4,2)</f>
        <v>1885.2</v>
      </c>
      <c r="T27" s="181">
        <f>ROUND(T26*2%,2)+3</f>
        <v>558.72</v>
      </c>
      <c r="U27" s="181">
        <f>ROUND(U26*$X$4,2)</f>
        <v>47.13</v>
      </c>
      <c r="V27" s="181">
        <f>SUM(K27:U27)</f>
        <v>9545.119999999999</v>
      </c>
      <c r="AH27" s="146"/>
    </row>
    <row r="28" spans="1:34" s="15" customFormat="1" ht="13.8">
      <c r="A28" s="13"/>
      <c r="B28" s="21"/>
      <c r="AH28" s="146"/>
    </row>
    <row r="29" spans="1:34" s="15" customFormat="1" ht="13.8">
      <c r="A29" s="13"/>
      <c r="B29" s="21"/>
      <c r="AH29" s="146"/>
    </row>
    <row r="30" spans="1:34" s="15" customFormat="1" ht="13.8">
      <c r="A30" s="13"/>
      <c r="B30" s="21"/>
      <c r="AH30" s="146"/>
    </row>
    <row r="31" spans="1:34" s="15" customFormat="1" ht="13.8">
      <c r="A31" s="13"/>
      <c r="B31" s="21"/>
      <c r="AH31" s="146"/>
    </row>
    <row r="32" spans="1:34" s="15" customFormat="1" ht="13.8">
      <c r="A32" s="13"/>
      <c r="B32" s="21"/>
      <c r="AH32" s="146"/>
    </row>
    <row r="33" spans="1:34" s="15" customFormat="1" ht="13.8">
      <c r="A33" s="13"/>
      <c r="B33" s="21"/>
      <c r="AH33" s="146"/>
    </row>
    <row r="34" spans="1:34" ht="13.8">
      <c r="AF34" s="15"/>
    </row>
  </sheetData>
  <mergeCells count="49">
    <mergeCell ref="B1:AG1"/>
    <mergeCell ref="B2:AG2"/>
    <mergeCell ref="B3:B5"/>
    <mergeCell ref="C3:C5"/>
    <mergeCell ref="E3:E5"/>
    <mergeCell ref="F3:I4"/>
    <mergeCell ref="J3:J5"/>
    <mergeCell ref="K3:K5"/>
    <mergeCell ref="L3:L5"/>
    <mergeCell ref="AF3:AF5"/>
    <mergeCell ref="AG3:AG5"/>
    <mergeCell ref="B16:C18"/>
    <mergeCell ref="E16:E18"/>
    <mergeCell ref="F16:F18"/>
    <mergeCell ref="G16:G18"/>
    <mergeCell ref="H16:H18"/>
    <mergeCell ref="I16:I18"/>
    <mergeCell ref="J16:J18"/>
    <mergeCell ref="K16:K18"/>
    <mergeCell ref="V3:X3"/>
    <mergeCell ref="AC3:AC5"/>
    <mergeCell ref="AD3:AD5"/>
    <mergeCell ref="AE3:AE5"/>
    <mergeCell ref="N4:N5"/>
    <mergeCell ref="N3:U3"/>
    <mergeCell ref="AB19:AC19"/>
    <mergeCell ref="L16:L18"/>
    <mergeCell ref="N16:N18"/>
    <mergeCell ref="AC16:AC18"/>
    <mergeCell ref="AD16:AD18"/>
    <mergeCell ref="AG16:AG18"/>
    <mergeCell ref="O17:U17"/>
    <mergeCell ref="V17:X17"/>
    <mergeCell ref="Z17:AB18"/>
    <mergeCell ref="O18:X18"/>
    <mergeCell ref="AE16:AE18"/>
    <mergeCell ref="AF16:AF18"/>
    <mergeCell ref="V22:V23"/>
    <mergeCell ref="O22:R22"/>
    <mergeCell ref="B20:AG20"/>
    <mergeCell ref="B22:C22"/>
    <mergeCell ref="B23:C23"/>
    <mergeCell ref="D3:D5"/>
    <mergeCell ref="Y3:AB3"/>
    <mergeCell ref="Y4:Y5"/>
    <mergeCell ref="M3:M5"/>
    <mergeCell ref="R4:R5"/>
    <mergeCell ref="T4:T5"/>
    <mergeCell ref="P4:P5"/>
  </mergeCells>
  <phoneticPr fontId="1" type="noConversion"/>
  <pageMargins left="0.27" right="0.17" top="0.47" bottom="0.75" header="0.19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9"/>
  <sheetViews>
    <sheetView workbookViewId="0">
      <selection activeCell="AA11" sqref="AA11"/>
    </sheetView>
  </sheetViews>
  <sheetFormatPr defaultColWidth="9.109375" defaultRowHeight="20.100000000000001" customHeight="1"/>
  <cols>
    <col min="1" max="1" width="1.33203125" style="107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hidden="1" customWidth="1"/>
    <col min="13" max="18" width="8.77734375" style="22" customWidth="1"/>
    <col min="19" max="19" width="8.77734375" style="12" customWidth="1"/>
    <col min="20" max="20" width="8.77734375" style="22" customWidth="1"/>
    <col min="21" max="21" width="9" style="15" customWidth="1"/>
    <col min="22" max="22" width="9" style="22" hidden="1" customWidth="1"/>
    <col min="23" max="23" width="6.6640625" style="12" hidden="1" customWidth="1"/>
    <col min="24" max="26" width="10.77734375" style="12" customWidth="1"/>
    <col min="27" max="16384" width="9.109375" style="12"/>
  </cols>
  <sheetData>
    <row r="1" spans="1:26" ht="21">
      <c r="B1" s="240" t="s">
        <v>114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</row>
    <row r="2" spans="1:26" ht="14.4">
      <c r="B2" s="241" t="s">
        <v>49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</row>
    <row r="3" spans="1:26" ht="14.4">
      <c r="B3" s="242" t="s">
        <v>57</v>
      </c>
      <c r="C3" s="227" t="s">
        <v>58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66" t="s">
        <v>78</v>
      </c>
      <c r="V3" s="233" t="s">
        <v>87</v>
      </c>
      <c r="W3" s="227" t="s">
        <v>88</v>
      </c>
      <c r="X3" s="227" t="s">
        <v>63</v>
      </c>
      <c r="Y3" s="269" t="s">
        <v>101</v>
      </c>
      <c r="Z3" s="269" t="s">
        <v>102</v>
      </c>
    </row>
    <row r="4" spans="1:26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104">
        <v>0.16</v>
      </c>
      <c r="N4" s="104">
        <v>0.1</v>
      </c>
      <c r="O4" s="104">
        <v>8.0000000000000002E-3</v>
      </c>
      <c r="P4" s="104">
        <v>4.0000000000000001E-3</v>
      </c>
      <c r="Q4" s="104">
        <v>8.0000000000000002E-3</v>
      </c>
      <c r="R4" s="104">
        <v>0.08</v>
      </c>
      <c r="S4" s="101" t="s">
        <v>0</v>
      </c>
      <c r="T4" s="104">
        <v>2E-3</v>
      </c>
      <c r="U4" s="267"/>
      <c r="V4" s="234"/>
      <c r="W4" s="201"/>
      <c r="X4" s="201"/>
      <c r="Y4" s="270"/>
      <c r="Z4" s="270"/>
    </row>
    <row r="5" spans="1:26" ht="14.4">
      <c r="B5" s="244"/>
      <c r="C5" s="202"/>
      <c r="D5" s="202"/>
      <c r="E5" s="100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104" t="s">
        <v>53</v>
      </c>
      <c r="N5" s="104" t="s">
        <v>46</v>
      </c>
      <c r="O5" s="104" t="s">
        <v>51</v>
      </c>
      <c r="P5" s="104" t="s">
        <v>52</v>
      </c>
      <c r="Q5" s="104" t="s">
        <v>64</v>
      </c>
      <c r="R5" s="104" t="s">
        <v>53</v>
      </c>
      <c r="S5" s="101" t="s">
        <v>46</v>
      </c>
      <c r="T5" s="104" t="s">
        <v>51</v>
      </c>
      <c r="U5" s="268"/>
      <c r="V5" s="207"/>
      <c r="W5" s="202"/>
      <c r="X5" s="202"/>
      <c r="Y5" s="271"/>
      <c r="Z5" s="271"/>
    </row>
    <row r="6" spans="1:26" s="15" customFormat="1" ht="14.4">
      <c r="A6" s="13"/>
      <c r="B6" s="14">
        <v>1</v>
      </c>
      <c r="C6" s="103" t="s">
        <v>54</v>
      </c>
      <c r="D6" s="103">
        <v>7000</v>
      </c>
      <c r="E6" s="103">
        <v>22</v>
      </c>
      <c r="F6" s="103">
        <v>22</v>
      </c>
      <c r="G6" s="103">
        <f>E6-F6</f>
        <v>0</v>
      </c>
      <c r="H6" s="103">
        <f>D6/21.75*G6</f>
        <v>0</v>
      </c>
      <c r="I6" s="103"/>
      <c r="J6" s="103"/>
      <c r="K6" s="103">
        <f>D6-H6+I6+J6</f>
        <v>7000</v>
      </c>
      <c r="L6" s="103">
        <v>2200</v>
      </c>
      <c r="M6" s="103"/>
      <c r="N6" s="103">
        <f>ROUND(MAX(N$19,MIN($L6,N$21))*N$4,2)/2</f>
        <v>277.85000000000002</v>
      </c>
      <c r="O6" s="103"/>
      <c r="P6" s="103"/>
      <c r="Q6" s="103">
        <f>ROUND(MAX(Q$19,MIN($L6,Q$21))*Q$4,2)/2</f>
        <v>22.23</v>
      </c>
      <c r="R6" s="103">
        <f>ROUND(MAX(R$19,MIN($L6,R$21))*R$4,2)</f>
        <v>289.04000000000002</v>
      </c>
      <c r="S6" s="103">
        <f>ROUND(MAX(S$19,MIN($L6,S$21))*2%+3,2)</f>
        <v>114.14</v>
      </c>
      <c r="T6" s="103">
        <f>ROUND(MAX(T$19,MIN($L6,T$21))*T$4,2)</f>
        <v>7.23</v>
      </c>
      <c r="U6" s="103">
        <f>R6+S6+T6</f>
        <v>410.41</v>
      </c>
      <c r="V6" s="103">
        <f>5000-5000-U6</f>
        <v>-410.41</v>
      </c>
      <c r="W6" s="103">
        <f>ROUND(MAX(V6*{3;10;20;25;30;35;45}%-{0;21;141;266;441;716;1516}*10,),2)</f>
        <v>0</v>
      </c>
      <c r="X6" s="121">
        <f t="shared" ref="X6:X7" si="0">K6-U6</f>
        <v>6589.59</v>
      </c>
      <c r="Y6" s="103">
        <v>4589.59</v>
      </c>
      <c r="Z6" s="103">
        <f>X6-Y6</f>
        <v>2000</v>
      </c>
    </row>
    <row r="7" spans="1:26" s="15" customFormat="1" ht="14.4">
      <c r="A7" s="13"/>
      <c r="B7" s="14">
        <v>2</v>
      </c>
      <c r="C7" s="35" t="s">
        <v>112</v>
      </c>
      <c r="D7" s="103">
        <v>4000</v>
      </c>
      <c r="E7" s="103">
        <v>22</v>
      </c>
      <c r="F7" s="103">
        <v>22</v>
      </c>
      <c r="G7" s="103">
        <f t="shared" ref="G7" si="1">E7-F7</f>
        <v>0</v>
      </c>
      <c r="H7" s="103">
        <f>4000/21.75*G7</f>
        <v>0</v>
      </c>
      <c r="I7" s="103"/>
      <c r="J7" s="103"/>
      <c r="K7" s="103">
        <f t="shared" ref="K7:K8" si="2">D7-H7+I7+J7</f>
        <v>4000</v>
      </c>
      <c r="L7" s="103">
        <v>2200</v>
      </c>
      <c r="M7" s="103"/>
      <c r="N7" s="103">
        <f>ROUND(MAX(N$19,MIN($L7,N$21))*N$4,2)/2</f>
        <v>277.85000000000002</v>
      </c>
      <c r="O7" s="103"/>
      <c r="P7" s="103"/>
      <c r="Q7" s="103">
        <f>ROUND(MAX(Q$19,MIN($L7,Q$21))*Q$4,2)/2</f>
        <v>22.23</v>
      </c>
      <c r="R7" s="103">
        <f>ROUND(MAX(R$19,MIN($L7,R$21))*R$4,2)</f>
        <v>289.04000000000002</v>
      </c>
      <c r="S7" s="103">
        <f>ROUND(MAX(S$19,MIN($L7,S$21))*2%+3,2)</f>
        <v>114.14</v>
      </c>
      <c r="T7" s="103"/>
      <c r="U7" s="121">
        <f t="shared" ref="U7" si="3">R7+S7+T7</f>
        <v>403.18</v>
      </c>
      <c r="V7" s="103">
        <f t="shared" ref="V7:V8" si="4">5000-5000-U7</f>
        <v>-403.18</v>
      </c>
      <c r="W7" s="103">
        <f>ROUND(MAX(V7*{3;10;20;25;30;35;45}%-{0;21;141;266;441;716;1516}*10,),2)</f>
        <v>0</v>
      </c>
      <c r="X7" s="121">
        <f t="shared" si="0"/>
        <v>3596.82</v>
      </c>
      <c r="Y7" s="103">
        <v>3589.59</v>
      </c>
      <c r="Z7" s="103"/>
    </row>
    <row r="8" spans="1:26" s="15" customFormat="1" ht="14.4">
      <c r="A8" s="13"/>
      <c r="B8" s="14">
        <v>3</v>
      </c>
      <c r="C8" s="35" t="s">
        <v>104</v>
      </c>
      <c r="D8" s="103">
        <v>5000</v>
      </c>
      <c r="E8" s="103">
        <v>22</v>
      </c>
      <c r="F8" s="103">
        <v>22</v>
      </c>
      <c r="G8" s="103">
        <f>E8-F8</f>
        <v>0</v>
      </c>
      <c r="H8" s="103">
        <f>4000/21.75*G8</f>
        <v>0</v>
      </c>
      <c r="I8" s="103"/>
      <c r="J8" s="103"/>
      <c r="K8" s="103">
        <f t="shared" si="2"/>
        <v>5000</v>
      </c>
      <c r="L8" s="103">
        <v>2200</v>
      </c>
      <c r="M8" s="103"/>
      <c r="N8" s="103">
        <f>ROUND(MAX(N$19,MIN($L8,N$21))*N$4,2)/2</f>
        <v>277.85000000000002</v>
      </c>
      <c r="O8" s="103"/>
      <c r="P8" s="103"/>
      <c r="Q8" s="103">
        <f>ROUND(MAX(Q$19,MIN($L8,Q$21))*Q$4,2)/2</f>
        <v>22.23</v>
      </c>
      <c r="R8" s="103">
        <f>ROUND(MAX(R$19,MIN($L8,R$21))*R$4,2)</f>
        <v>289.04000000000002</v>
      </c>
      <c r="S8" s="103">
        <f>ROUND(MAX(S$19,MIN($L8,S$21))*2%+3,2)</f>
        <v>114.14</v>
      </c>
      <c r="T8" s="103">
        <f>ROUND(MAX(T$19,MIN($L8,T$21))*T$4,2)</f>
        <v>7.23</v>
      </c>
      <c r="U8" s="121">
        <f>R8+S8+T8+110</f>
        <v>520.41000000000008</v>
      </c>
      <c r="V8" s="103">
        <f t="shared" si="4"/>
        <v>-520.41000000000008</v>
      </c>
      <c r="W8" s="103">
        <f>ROUND(MAX(V8*{3;10;20;25;30;35;45}%-{0;21;141;266;441;716;1516}*10,),2)</f>
        <v>0</v>
      </c>
      <c r="X8" s="103">
        <f>K8-U8</f>
        <v>4479.59</v>
      </c>
      <c r="Y8" s="103">
        <v>4479.59</v>
      </c>
      <c r="Z8" s="103"/>
    </row>
    <row r="9" spans="1:26" s="15" customFormat="1" ht="14.4">
      <c r="A9" s="13"/>
      <c r="B9" s="14">
        <v>4</v>
      </c>
      <c r="C9" s="35" t="s">
        <v>130</v>
      </c>
      <c r="D9" s="120"/>
      <c r="E9" s="120"/>
      <c r="F9" s="120"/>
      <c r="G9" s="120"/>
      <c r="H9" s="120"/>
      <c r="I9" s="120"/>
      <c r="J9" s="120"/>
      <c r="K9" s="120">
        <f>4000/21.75*10</f>
        <v>1839.0804597701149</v>
      </c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>
        <f>K9-R9-S9-T9-W9</f>
        <v>1839.0804597701149</v>
      </c>
      <c r="Y9" s="120">
        <v>1839.08</v>
      </c>
      <c r="Z9" s="120"/>
    </row>
    <row r="10" spans="1:26" s="15" customFormat="1" ht="14.4">
      <c r="A10" s="13"/>
      <c r="B10" s="14"/>
      <c r="C10" s="35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spans="1:26" s="15" customFormat="1" ht="13.8">
      <c r="A11" s="13"/>
      <c r="B11" s="228" t="s">
        <v>65</v>
      </c>
      <c r="C11" s="228"/>
      <c r="D11" s="215">
        <f>SUM(D6:D10)</f>
        <v>16000</v>
      </c>
      <c r="E11" s="102"/>
      <c r="F11" s="102"/>
      <c r="G11" s="102"/>
      <c r="H11" s="215">
        <f>SUM(H6:H10)</f>
        <v>0</v>
      </c>
      <c r="I11" s="215">
        <f>SUM(I6:I10)</f>
        <v>0</v>
      </c>
      <c r="J11" s="215">
        <f>SUM(J6:J10)</f>
        <v>0</v>
      </c>
      <c r="K11" s="215">
        <f>SUM(K6:K10)</f>
        <v>17839.080459770114</v>
      </c>
      <c r="L11" s="215"/>
      <c r="M11" s="103">
        <f t="shared" ref="M11:T11" si="5">SUM(M6:M10)</f>
        <v>0</v>
      </c>
      <c r="N11" s="103">
        <f t="shared" si="5"/>
        <v>833.55000000000007</v>
      </c>
      <c r="O11" s="103">
        <f t="shared" si="5"/>
        <v>0</v>
      </c>
      <c r="P11" s="103">
        <f t="shared" si="5"/>
        <v>0</v>
      </c>
      <c r="Q11" s="103">
        <f t="shared" si="5"/>
        <v>66.69</v>
      </c>
      <c r="R11" s="103">
        <f t="shared" si="5"/>
        <v>867.12000000000012</v>
      </c>
      <c r="S11" s="103">
        <f t="shared" si="5"/>
        <v>342.42</v>
      </c>
      <c r="T11" s="103">
        <f t="shared" si="5"/>
        <v>14.46</v>
      </c>
      <c r="U11" s="208"/>
      <c r="V11" s="208"/>
      <c r="W11" s="215">
        <f>SUM(W6:W10)</f>
        <v>0</v>
      </c>
      <c r="X11" s="215">
        <f>SUM(X6:X10)</f>
        <v>16505.080459770114</v>
      </c>
      <c r="Y11" s="208">
        <f t="shared" ref="Y11:Z11" si="6">SUM(Y6:Y10)</f>
        <v>14497.85</v>
      </c>
      <c r="Z11" s="208">
        <f t="shared" si="6"/>
        <v>2000</v>
      </c>
    </row>
    <row r="12" spans="1:26" s="15" customFormat="1" ht="13.8">
      <c r="A12" s="13"/>
      <c r="B12" s="228"/>
      <c r="C12" s="228"/>
      <c r="D12" s="215"/>
      <c r="E12" s="102"/>
      <c r="F12" s="102"/>
      <c r="G12" s="102"/>
      <c r="H12" s="215"/>
      <c r="I12" s="215"/>
      <c r="J12" s="215"/>
      <c r="K12" s="215"/>
      <c r="L12" s="215"/>
      <c r="M12" s="215">
        <f>SUM(M11:Q11)</f>
        <v>900.24</v>
      </c>
      <c r="N12" s="215"/>
      <c r="O12" s="215"/>
      <c r="P12" s="215"/>
      <c r="Q12" s="215"/>
      <c r="R12" s="215">
        <f>SUM(R11:T11)</f>
        <v>1224.0000000000002</v>
      </c>
      <c r="S12" s="215"/>
      <c r="T12" s="215"/>
      <c r="U12" s="208"/>
      <c r="V12" s="208"/>
      <c r="W12" s="215"/>
      <c r="X12" s="215"/>
      <c r="Y12" s="208"/>
      <c r="Z12" s="208"/>
    </row>
    <row r="13" spans="1:26" s="15" customFormat="1" ht="13.8">
      <c r="A13" s="13"/>
      <c r="B13" s="228"/>
      <c r="C13" s="228"/>
      <c r="D13" s="215"/>
      <c r="E13" s="102"/>
      <c r="F13" s="102"/>
      <c r="G13" s="102"/>
      <c r="H13" s="215"/>
      <c r="I13" s="215"/>
      <c r="J13" s="215"/>
      <c r="K13" s="215"/>
      <c r="L13" s="215"/>
      <c r="M13" s="215">
        <f>M12+R12</f>
        <v>2124.2400000000002</v>
      </c>
      <c r="N13" s="215"/>
      <c r="O13" s="215"/>
      <c r="P13" s="215"/>
      <c r="Q13" s="215"/>
      <c r="R13" s="215"/>
      <c r="S13" s="215"/>
      <c r="T13" s="215"/>
      <c r="U13" s="208"/>
      <c r="V13" s="208"/>
      <c r="W13" s="215"/>
      <c r="X13" s="215"/>
      <c r="Y13" s="208"/>
      <c r="Z13" s="208"/>
    </row>
    <row r="14" spans="1:26" s="20" customFormat="1" ht="13.8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06"/>
      <c r="S14" s="106"/>
      <c r="T14" s="106"/>
      <c r="U14" s="106"/>
      <c r="V14" s="106"/>
      <c r="W14" s="106"/>
      <c r="X14" s="106"/>
      <c r="Y14" s="106"/>
      <c r="Z14" s="106"/>
    </row>
    <row r="15" spans="1:26" s="15" customFormat="1" ht="14.4">
      <c r="A15" s="13"/>
      <c r="B15" s="212" t="s">
        <v>55</v>
      </c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</row>
    <row r="16" spans="1:26" s="15" customFormat="1" ht="14.4">
      <c r="A16" s="13"/>
      <c r="B16" s="213" t="s">
        <v>66</v>
      </c>
      <c r="C16" s="213"/>
    </row>
    <row r="17" spans="1:23" s="15" customFormat="1" ht="14.4">
      <c r="A17" s="13"/>
      <c r="B17" s="214">
        <f>K11+M12</f>
        <v>18739.320459770115</v>
      </c>
      <c r="C17" s="214"/>
      <c r="M17" s="209" t="s">
        <v>47</v>
      </c>
      <c r="N17" s="210"/>
      <c r="O17" s="210"/>
      <c r="P17" s="210"/>
      <c r="Q17" s="211"/>
      <c r="R17" s="209" t="s">
        <v>48</v>
      </c>
      <c r="S17" s="210"/>
      <c r="T17" s="211"/>
      <c r="U17" s="208" t="s">
        <v>56</v>
      </c>
    </row>
    <row r="18" spans="1:23" s="15" customFormat="1" ht="14.4">
      <c r="A18" s="13"/>
      <c r="M18" s="105" t="s">
        <v>53</v>
      </c>
      <c r="N18" s="105" t="s">
        <v>46</v>
      </c>
      <c r="O18" s="105" t="s">
        <v>51</v>
      </c>
      <c r="P18" s="105" t="s">
        <v>52</v>
      </c>
      <c r="Q18" s="105" t="s">
        <v>64</v>
      </c>
      <c r="R18" s="105" t="s">
        <v>53</v>
      </c>
      <c r="S18" s="99" t="s">
        <v>46</v>
      </c>
      <c r="T18" s="105" t="s">
        <v>51</v>
      </c>
      <c r="U18" s="208"/>
    </row>
    <row r="19" spans="1:23" s="15" customFormat="1" ht="14.4">
      <c r="A19" s="13"/>
      <c r="B19" s="21"/>
      <c r="L19" s="103" t="s">
        <v>67</v>
      </c>
      <c r="M19" s="103">
        <v>3613</v>
      </c>
      <c r="N19" s="103">
        <v>5557</v>
      </c>
      <c r="O19" s="103">
        <v>3613</v>
      </c>
      <c r="P19" s="103">
        <v>4713</v>
      </c>
      <c r="Q19" s="103">
        <v>5557</v>
      </c>
      <c r="R19" s="103">
        <v>3613</v>
      </c>
      <c r="S19" s="103">
        <v>5557</v>
      </c>
      <c r="T19" s="103">
        <v>3613</v>
      </c>
      <c r="U19" s="103"/>
    </row>
    <row r="20" spans="1:23" s="15" customFormat="1" ht="14.4">
      <c r="A20" s="13"/>
      <c r="B20" s="21"/>
      <c r="L20" s="103" t="s">
        <v>68</v>
      </c>
      <c r="M20" s="103">
        <f>ROUND(M19*$M$4,2)</f>
        <v>578.08000000000004</v>
      </c>
      <c r="N20" s="103">
        <f>ROUND(N19*$N$4,2)</f>
        <v>555.70000000000005</v>
      </c>
      <c r="O20" s="103">
        <f>ROUND(O19*$O$4,2)</f>
        <v>28.9</v>
      </c>
      <c r="P20" s="103">
        <f>ROUND(P19*$P$4,2)</f>
        <v>18.850000000000001</v>
      </c>
      <c r="Q20" s="103">
        <f>ROUND(Q19*$Q$4,2)</f>
        <v>44.46</v>
      </c>
      <c r="R20" s="103">
        <f>ROUND(R19*$R$4,2)</f>
        <v>289.04000000000002</v>
      </c>
      <c r="S20" s="103">
        <f>ROUND(S19*2%+3,2)</f>
        <v>114.14</v>
      </c>
      <c r="T20" s="103">
        <f>ROUND(T19*$T$4,2)</f>
        <v>7.23</v>
      </c>
      <c r="U20" s="103">
        <f>SUM(M20:T20)</f>
        <v>1636.4000000000003</v>
      </c>
    </row>
    <row r="21" spans="1:23" s="15" customFormat="1" ht="14.4">
      <c r="A21" s="13"/>
      <c r="B21" s="21"/>
      <c r="L21" s="103" t="s">
        <v>69</v>
      </c>
      <c r="M21" s="103">
        <v>23565</v>
      </c>
      <c r="N21" s="103">
        <v>27786</v>
      </c>
      <c r="O21" s="103">
        <v>23565</v>
      </c>
      <c r="P21" s="103">
        <v>23565</v>
      </c>
      <c r="Q21" s="103">
        <v>27786</v>
      </c>
      <c r="R21" s="103">
        <v>23565</v>
      </c>
      <c r="S21" s="103">
        <v>27786</v>
      </c>
      <c r="T21" s="103">
        <v>23565</v>
      </c>
      <c r="U21" s="103"/>
    </row>
    <row r="22" spans="1:23" s="15" customFormat="1" ht="14.4">
      <c r="A22" s="13"/>
      <c r="B22" s="21"/>
      <c r="L22" s="103" t="s">
        <v>70</v>
      </c>
      <c r="M22" s="103">
        <f>ROUND(M21*$M$4,2)</f>
        <v>3770.4</v>
      </c>
      <c r="N22" s="103">
        <f>ROUND(N21*$N$4,2)</f>
        <v>2778.6</v>
      </c>
      <c r="O22" s="103">
        <f>ROUND(O21*$O$4,2)</f>
        <v>188.52</v>
      </c>
      <c r="P22" s="103">
        <f>ROUND(P21*$P$4,2)</f>
        <v>94.26</v>
      </c>
      <c r="Q22" s="103">
        <f>ROUND(Q21*$Q$4,2)</f>
        <v>222.29</v>
      </c>
      <c r="R22" s="103">
        <f>ROUND(R21*$R$4,2)</f>
        <v>1885.2</v>
      </c>
      <c r="S22" s="103">
        <f>ROUND(S21*2%,2)+3</f>
        <v>558.72</v>
      </c>
      <c r="T22" s="103">
        <f>ROUND(T21*$T$4,2)</f>
        <v>47.13</v>
      </c>
      <c r="U22" s="103">
        <f>SUM(M22:T22)</f>
        <v>9545.119999999999</v>
      </c>
    </row>
    <row r="23" spans="1:23" s="15" customFormat="1" ht="13.8">
      <c r="A23" s="13"/>
      <c r="B23" s="21"/>
    </row>
    <row r="24" spans="1:23" s="15" customFormat="1" ht="13.8">
      <c r="A24" s="13"/>
      <c r="B24" s="21"/>
    </row>
    <row r="25" spans="1:23" s="15" customFormat="1" ht="13.8">
      <c r="A25" s="13"/>
      <c r="B25" s="21"/>
    </row>
    <row r="26" spans="1:23" s="15" customFormat="1" ht="13.8">
      <c r="A26" s="13"/>
      <c r="B26" s="21"/>
    </row>
    <row r="27" spans="1:23" s="15" customFormat="1" ht="13.8">
      <c r="A27" s="13"/>
      <c r="B27" s="21"/>
    </row>
    <row r="28" spans="1:23" s="15" customFormat="1" ht="13.8">
      <c r="A28" s="13"/>
      <c r="B28" s="21"/>
    </row>
    <row r="29" spans="1:23" ht="13.8">
      <c r="W29" s="15"/>
    </row>
  </sheetData>
  <mergeCells count="40"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  <mergeCell ref="K11:K13"/>
    <mergeCell ref="L11:L13"/>
    <mergeCell ref="U11:U13"/>
    <mergeCell ref="M3:Q3"/>
    <mergeCell ref="R3:T3"/>
    <mergeCell ref="U3:U5"/>
    <mergeCell ref="M12:Q12"/>
    <mergeCell ref="R12:T12"/>
    <mergeCell ref="M13:T13"/>
    <mergeCell ref="B11:C13"/>
    <mergeCell ref="D11:D13"/>
    <mergeCell ref="H11:H13"/>
    <mergeCell ref="I11:I13"/>
    <mergeCell ref="J11:J13"/>
    <mergeCell ref="Y3:Y5"/>
    <mergeCell ref="Z3:Z5"/>
    <mergeCell ref="V3:V5"/>
    <mergeCell ref="W3:W5"/>
    <mergeCell ref="X3:X5"/>
    <mergeCell ref="V11:V13"/>
    <mergeCell ref="W11:W13"/>
    <mergeCell ref="X11:X13"/>
    <mergeCell ref="Y11:Y13"/>
    <mergeCell ref="Z11:Z13"/>
    <mergeCell ref="B15:X15"/>
    <mergeCell ref="B16:C16"/>
    <mergeCell ref="B17:C17"/>
    <mergeCell ref="M17:Q17"/>
    <mergeCell ref="R17:T17"/>
    <mergeCell ref="U17:U18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34"/>
  <sheetViews>
    <sheetView workbookViewId="0">
      <selection activeCell="S10" sqref="S10"/>
    </sheetView>
  </sheetViews>
  <sheetFormatPr defaultColWidth="9.109375" defaultRowHeight="20.100000000000001" customHeight="1"/>
  <cols>
    <col min="1" max="1" width="1.33203125" style="98" customWidth="1"/>
    <col min="2" max="2" width="4.88671875" style="21" bestFit="1" customWidth="1"/>
    <col min="3" max="3" width="7" style="12" customWidth="1"/>
    <col min="4" max="4" width="9" style="12" hidden="1" customWidth="1"/>
    <col min="5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77734375" style="22" bestFit="1" customWidth="1"/>
    <col min="15" max="15" width="9.77734375" style="12" bestFit="1" customWidth="1"/>
    <col min="16" max="16" width="9.77734375" style="22" customWidth="1"/>
    <col min="17" max="17" width="9.33203125" style="22" customWidth="1"/>
    <col min="18" max="18" width="8.44140625" style="12" customWidth="1"/>
    <col min="19" max="19" width="10" style="12" customWidth="1"/>
    <col min="20" max="20" width="3.77734375" style="12" customWidth="1"/>
    <col min="21" max="21" width="5.44140625" style="24" customWidth="1"/>
    <col min="22" max="22" width="5.44140625" style="12" customWidth="1"/>
    <col min="23" max="24" width="5.21875" style="12" customWidth="1"/>
    <col min="25" max="26" width="6.44140625" style="12" customWidth="1"/>
    <col min="27" max="27" width="6.6640625" style="12" customWidth="1"/>
    <col min="28" max="28" width="5.44140625" style="12" customWidth="1"/>
    <col min="29" max="16384" width="9.109375" style="12"/>
  </cols>
  <sheetData>
    <row r="1" spans="1:21" ht="30" customHeight="1">
      <c r="B1" s="240" t="s">
        <v>123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109"/>
      <c r="O1" s="109"/>
      <c r="P1" s="109"/>
      <c r="Q1" s="23"/>
      <c r="R1" s="23"/>
      <c r="S1" s="23"/>
    </row>
    <row r="2" spans="1:21" ht="20.100000000000001" customHeight="1"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1" ht="20.100000000000001" customHeight="1">
      <c r="B3" s="242" t="s">
        <v>32</v>
      </c>
      <c r="C3" s="227" t="s">
        <v>22</v>
      </c>
      <c r="D3" s="227" t="s">
        <v>33</v>
      </c>
      <c r="E3" s="229" t="s">
        <v>34</v>
      </c>
      <c r="F3" s="229"/>
      <c r="G3" s="229"/>
      <c r="H3" s="229"/>
      <c r="I3" s="229"/>
      <c r="J3" s="229" t="s">
        <v>23</v>
      </c>
      <c r="K3" s="229"/>
      <c r="L3" s="229"/>
      <c r="M3" s="224" t="s">
        <v>30</v>
      </c>
      <c r="N3" s="248" t="s">
        <v>120</v>
      </c>
      <c r="O3" s="229"/>
      <c r="P3" s="229"/>
      <c r="Q3" s="249"/>
      <c r="R3" s="250"/>
      <c r="S3" s="250"/>
    </row>
    <row r="4" spans="1:21" ht="20.100000000000001" customHeight="1">
      <c r="B4" s="243"/>
      <c r="C4" s="201"/>
      <c r="D4" s="201"/>
      <c r="E4" s="96">
        <v>0.16</v>
      </c>
      <c r="F4" s="96">
        <v>0.1</v>
      </c>
      <c r="G4" s="96">
        <v>8.0000000000000002E-3</v>
      </c>
      <c r="H4" s="96">
        <v>4.0000000000000001E-3</v>
      </c>
      <c r="I4" s="96">
        <v>8.0000000000000002E-3</v>
      </c>
      <c r="J4" s="96">
        <v>0.08</v>
      </c>
      <c r="K4" s="97" t="s">
        <v>0</v>
      </c>
      <c r="L4" s="96">
        <v>2E-3</v>
      </c>
      <c r="M4" s="225"/>
      <c r="N4" s="114">
        <v>0.05</v>
      </c>
      <c r="O4" s="114">
        <v>0.05</v>
      </c>
      <c r="P4" s="114">
        <v>0.1</v>
      </c>
      <c r="Q4" s="249"/>
      <c r="R4" s="250"/>
      <c r="S4" s="250"/>
    </row>
    <row r="5" spans="1:21" ht="20.100000000000001" customHeight="1">
      <c r="B5" s="244"/>
      <c r="C5" s="202"/>
      <c r="D5" s="202"/>
      <c r="E5" s="96" t="s">
        <v>24</v>
      </c>
      <c r="F5" s="96" t="s">
        <v>25</v>
      </c>
      <c r="G5" s="96" t="s">
        <v>26</v>
      </c>
      <c r="H5" s="96" t="s">
        <v>27</v>
      </c>
      <c r="I5" s="96" t="s">
        <v>28</v>
      </c>
      <c r="J5" s="96" t="s">
        <v>24</v>
      </c>
      <c r="K5" s="97" t="s">
        <v>25</v>
      </c>
      <c r="L5" s="96" t="s">
        <v>26</v>
      </c>
      <c r="M5" s="226"/>
      <c r="N5" s="112" t="s">
        <v>117</v>
      </c>
      <c r="O5" s="113" t="s">
        <v>118</v>
      </c>
      <c r="P5" s="112" t="s">
        <v>119</v>
      </c>
      <c r="Q5" s="249"/>
      <c r="R5" s="250"/>
      <c r="S5" s="250"/>
    </row>
    <row r="6" spans="1:21" s="15" customFormat="1" ht="20.100000000000001" customHeight="1">
      <c r="A6" s="13"/>
      <c r="B6" s="14">
        <v>1</v>
      </c>
      <c r="C6" s="93" t="s">
        <v>29</v>
      </c>
      <c r="D6" s="93">
        <v>2200</v>
      </c>
      <c r="E6" s="93"/>
      <c r="F6" s="93">
        <f>ROUND(MAX(F$24,MIN($D6,F$26))*F$4,2)/2</f>
        <v>277.85000000000002</v>
      </c>
      <c r="G6" s="93"/>
      <c r="H6" s="93"/>
      <c r="I6" s="93">
        <f>ROUND(MAX(I$24,MIN($D6,I$26))*I$4,2)/2</f>
        <v>22.23</v>
      </c>
      <c r="J6" s="93">
        <f t="shared" ref="J6:J9" si="0">ROUND(MAX(J$24,MIN($D6,J$26))*J$4,2)</f>
        <v>289.04000000000002</v>
      </c>
      <c r="K6" s="93">
        <f>ROUND(MAX(K$24,MIN($D6,K$26))*2%+3,2)</f>
        <v>114.14</v>
      </c>
      <c r="L6" s="93">
        <f>ROUND(MAX(L$24,MIN($D6,L$26))*L$4,2)</f>
        <v>7.23</v>
      </c>
      <c r="M6" s="93">
        <f>SUM(E6:L6)</f>
        <v>710.49000000000012</v>
      </c>
      <c r="N6" s="110"/>
      <c r="O6" s="110"/>
      <c r="P6" s="110">
        <f>N6+O6</f>
        <v>0</v>
      </c>
      <c r="Q6" s="26"/>
      <c r="R6" s="13"/>
      <c r="S6" s="13"/>
      <c r="U6" s="27"/>
    </row>
    <row r="7" spans="1:21" s="15" customFormat="1" ht="20.100000000000001" customHeight="1">
      <c r="A7" s="13"/>
      <c r="B7" s="14">
        <v>2</v>
      </c>
      <c r="C7" s="34" t="s">
        <v>104</v>
      </c>
      <c r="D7" s="93">
        <v>2200</v>
      </c>
      <c r="E7" s="93"/>
      <c r="F7" s="93">
        <f>ROUND(MAX(F$24,MIN($D7,F$26))*F$4,2)/2</f>
        <v>277.85000000000002</v>
      </c>
      <c r="G7" s="93"/>
      <c r="H7" s="93"/>
      <c r="I7" s="93">
        <f>ROUND(MAX(I$24,MIN($D7,I$26))*I$4,2)/2</f>
        <v>22.23</v>
      </c>
      <c r="J7" s="93">
        <f t="shared" si="0"/>
        <v>289.04000000000002</v>
      </c>
      <c r="K7" s="93">
        <f>ROUND(MAX(K$24,MIN($D7,K$26))*2%+3,2)</f>
        <v>114.14</v>
      </c>
      <c r="L7" s="93">
        <f>ROUND(MAX(L$24,MIN($D7,L$26))*L$4,2)</f>
        <v>7.23</v>
      </c>
      <c r="M7" s="93">
        <f t="shared" ref="M7:M9" si="1">SUM(E7:L7)</f>
        <v>710.49000000000012</v>
      </c>
      <c r="N7" s="110">
        <f>D7*N4</f>
        <v>110</v>
      </c>
      <c r="O7" s="110"/>
      <c r="P7" s="110">
        <f t="shared" ref="P7:P9" si="2">N7+O7</f>
        <v>110</v>
      </c>
      <c r="Q7" s="26"/>
      <c r="R7" s="13"/>
      <c r="S7" s="13"/>
      <c r="U7" s="27"/>
    </row>
    <row r="8" spans="1:21" s="15" customFormat="1" ht="20.100000000000001" customHeight="1">
      <c r="A8" s="13"/>
      <c r="B8" s="14">
        <v>3</v>
      </c>
      <c r="C8" s="34" t="s">
        <v>103</v>
      </c>
      <c r="D8" s="93">
        <v>2200</v>
      </c>
      <c r="E8" s="93"/>
      <c r="F8" s="93">
        <f>ROUND(MAX(F$24,MIN($D8,F$26))*F$4,2)/2</f>
        <v>277.85000000000002</v>
      </c>
      <c r="G8" s="93"/>
      <c r="H8" s="93"/>
      <c r="I8" s="93">
        <f>ROUND(MAX(I$24,MIN($D8,I$26))*I$4,2)/2</f>
        <v>22.23</v>
      </c>
      <c r="J8" s="93">
        <f t="shared" si="0"/>
        <v>289.04000000000002</v>
      </c>
      <c r="K8" s="93">
        <f>ROUND(MAX(K$24,MIN($D8,K$26))*2%+3,2)</f>
        <v>114.14</v>
      </c>
      <c r="L8" s="93">
        <f>ROUND(MAX(L$24,MIN($D8,L$26))*L$4,2)</f>
        <v>7.23</v>
      </c>
      <c r="M8" s="93">
        <f t="shared" si="1"/>
        <v>710.49000000000012</v>
      </c>
      <c r="N8" s="110"/>
      <c r="O8" s="110"/>
      <c r="P8" s="110">
        <f t="shared" si="2"/>
        <v>0</v>
      </c>
      <c r="Q8" s="26"/>
      <c r="R8" s="13"/>
      <c r="S8" s="13"/>
      <c r="U8" s="27"/>
    </row>
    <row r="9" spans="1:21" s="15" customFormat="1" ht="20.100000000000001" customHeight="1">
      <c r="A9" s="13"/>
      <c r="B9" s="14">
        <v>4</v>
      </c>
      <c r="C9" s="34" t="s">
        <v>112</v>
      </c>
      <c r="D9" s="93">
        <v>2200</v>
      </c>
      <c r="E9" s="93"/>
      <c r="F9" s="93">
        <f>ROUND(MAX(F$24,MIN($D9,F$26))*F$4,2)/2</f>
        <v>277.85000000000002</v>
      </c>
      <c r="G9" s="93"/>
      <c r="H9" s="93"/>
      <c r="I9" s="93">
        <f>ROUND(MAX(I$24,MIN($D9,I$26))*I$4,2)/2</f>
        <v>22.23</v>
      </c>
      <c r="J9" s="93">
        <f t="shared" si="0"/>
        <v>289.04000000000002</v>
      </c>
      <c r="K9" s="93">
        <f>ROUND(MAX(K$24,MIN($D9,K$26))*2%+3,2)</f>
        <v>114.14</v>
      </c>
      <c r="L9" s="93"/>
      <c r="M9" s="93">
        <f t="shared" si="1"/>
        <v>703.2600000000001</v>
      </c>
      <c r="N9" s="110"/>
      <c r="O9" s="110"/>
      <c r="P9" s="110">
        <f t="shared" si="2"/>
        <v>0</v>
      </c>
      <c r="Q9" s="28"/>
      <c r="R9" s="13"/>
      <c r="S9" s="13"/>
      <c r="U9" s="27"/>
    </row>
    <row r="10" spans="1:21" s="15" customFormat="1" ht="20.100000000000001" customHeight="1">
      <c r="A10" s="13"/>
      <c r="B10" s="251" t="s">
        <v>39</v>
      </c>
      <c r="C10" s="252"/>
      <c r="D10" s="253"/>
      <c r="E10" s="254">
        <f>SUM(E6:I9)</f>
        <v>1200.3200000000002</v>
      </c>
      <c r="F10" s="255"/>
      <c r="G10" s="255"/>
      <c r="H10" s="255"/>
      <c r="I10" s="256"/>
      <c r="J10" s="254">
        <f>SUM(J6:L9)</f>
        <v>1634.4100000000003</v>
      </c>
      <c r="K10" s="255"/>
      <c r="L10" s="256"/>
      <c r="M10" s="110">
        <f>SUM(M6:M9)</f>
        <v>2834.7300000000005</v>
      </c>
      <c r="N10" s="254">
        <f>SUM(P6:P9)</f>
        <v>110</v>
      </c>
      <c r="O10" s="255"/>
      <c r="P10" s="256"/>
      <c r="Q10" s="28"/>
      <c r="R10" s="13"/>
      <c r="S10" s="13"/>
      <c r="U10" s="27"/>
    </row>
    <row r="11" spans="1:21" s="15" customFormat="1" ht="20.100000000000001" customHeight="1">
      <c r="A11" s="13"/>
      <c r="B11" s="14">
        <v>5</v>
      </c>
      <c r="C11" s="93" t="s">
        <v>43</v>
      </c>
      <c r="D11" s="93">
        <v>2200</v>
      </c>
      <c r="E11" s="93"/>
      <c r="F11" s="93">
        <f>ROUND(MAX(F$24,MIN($D11,F$26))*F$4,2)/2</f>
        <v>277.85000000000002</v>
      </c>
      <c r="G11" s="93"/>
      <c r="H11" s="93"/>
      <c r="I11" s="93">
        <f>ROUND(MAX(I$24,MIN($D11,I$26))*I$4,2)/2</f>
        <v>22.23</v>
      </c>
      <c r="J11" s="93">
        <f t="shared" ref="J11:J15" si="3">ROUND(MAX(J$24,MIN($D11,J$26))*J$4,2)</f>
        <v>289.04000000000002</v>
      </c>
      <c r="K11" s="93">
        <f>ROUND(MAX(K$24,MIN($D11,K$26))*2%+3,2)</f>
        <v>114.14</v>
      </c>
      <c r="L11" s="93">
        <f>ROUND(MAX(L$24,MIN($D11,L$26))*L$4,2)</f>
        <v>7.23</v>
      </c>
      <c r="M11" s="93">
        <f t="shared" ref="M11:M15" si="4">SUM(E11:L11)</f>
        <v>710.49000000000012</v>
      </c>
      <c r="N11" s="110"/>
      <c r="O11" s="110"/>
      <c r="P11" s="110"/>
      <c r="Q11" s="83" t="s">
        <v>107</v>
      </c>
      <c r="R11" s="13"/>
      <c r="S11" s="13"/>
      <c r="U11" s="27"/>
    </row>
    <row r="12" spans="1:21" s="15" customFormat="1" ht="20.100000000000001" customHeight="1">
      <c r="A12" s="13"/>
      <c r="B12" s="14">
        <v>6</v>
      </c>
      <c r="C12" s="93" t="s">
        <v>40</v>
      </c>
      <c r="D12" s="93">
        <v>2200</v>
      </c>
      <c r="E12" s="93"/>
      <c r="F12" s="93">
        <f>ROUND(MAX(F$24,MIN($D12,F$26))*F$4,2)/2</f>
        <v>277.85000000000002</v>
      </c>
      <c r="G12" s="93"/>
      <c r="H12" s="93"/>
      <c r="I12" s="93">
        <f>ROUND(MAX(I$24,MIN($D12,I$26))*I$4,2)/2</f>
        <v>22.23</v>
      </c>
      <c r="J12" s="93">
        <f t="shared" si="3"/>
        <v>289.04000000000002</v>
      </c>
      <c r="K12" s="93">
        <f>ROUND(MAX(K$24,MIN($D12,K$26))*2%+3,2)</f>
        <v>114.14</v>
      </c>
      <c r="L12" s="93"/>
      <c r="M12" s="93">
        <f t="shared" si="4"/>
        <v>703.2600000000001</v>
      </c>
      <c r="N12" s="110"/>
      <c r="O12" s="110"/>
      <c r="P12" s="110"/>
      <c r="Q12" s="83" t="s">
        <v>107</v>
      </c>
      <c r="R12" s="13"/>
      <c r="S12" s="13"/>
      <c r="U12" s="27"/>
    </row>
    <row r="13" spans="1:21" s="15" customFormat="1" ht="20.100000000000001" customHeight="1">
      <c r="A13" s="13"/>
      <c r="B13" s="14">
        <v>7</v>
      </c>
      <c r="C13" s="93" t="s">
        <v>41</v>
      </c>
      <c r="D13" s="93">
        <v>2200</v>
      </c>
      <c r="E13" s="93"/>
      <c r="F13" s="93">
        <f>ROUND(MAX(F$24,MIN($D13,F$26))*F$4,2)/2</f>
        <v>277.85000000000002</v>
      </c>
      <c r="G13" s="93"/>
      <c r="H13" s="93"/>
      <c r="I13" s="93">
        <f>ROUND(MAX(I$24,MIN($D13,I$26))*I$4,2)/2</f>
        <v>22.23</v>
      </c>
      <c r="J13" s="93">
        <f t="shared" si="3"/>
        <v>289.04000000000002</v>
      </c>
      <c r="K13" s="93">
        <f>ROUND(MAX(K$24,MIN($D13,K$26))*2%+3,2)</f>
        <v>114.14</v>
      </c>
      <c r="L13" s="93">
        <f>ROUND(MAX(L$24,MIN($D13,L$26))*L$4,2)</f>
        <v>7.23</v>
      </c>
      <c r="M13" s="93">
        <f t="shared" si="4"/>
        <v>710.49000000000012</v>
      </c>
      <c r="N13" s="110"/>
      <c r="O13" s="110"/>
      <c r="P13" s="110"/>
      <c r="Q13" s="83" t="s">
        <v>107</v>
      </c>
      <c r="R13" s="13"/>
      <c r="S13" s="13"/>
      <c r="U13" s="27"/>
    </row>
    <row r="14" spans="1:21" s="15" customFormat="1" ht="20.100000000000001" customHeight="1">
      <c r="A14" s="13"/>
      <c r="B14" s="14">
        <v>8</v>
      </c>
      <c r="C14" s="115" t="s">
        <v>121</v>
      </c>
      <c r="D14" s="110">
        <v>5500</v>
      </c>
      <c r="E14" s="110"/>
      <c r="F14" s="110">
        <f>ROUND(MAX(F$24,MIN($D14,F$26))*F$4,2)/2</f>
        <v>277.85000000000002</v>
      </c>
      <c r="G14" s="110"/>
      <c r="H14" s="110"/>
      <c r="I14" s="110">
        <f>ROUND(MAX(I$24,MIN($D14,I$26))*I$4,2)/2</f>
        <v>22.23</v>
      </c>
      <c r="J14" s="110">
        <f t="shared" si="3"/>
        <v>440</v>
      </c>
      <c r="K14" s="110">
        <f>ROUND(MAX(K$24,MIN($D14,K$26))*2%+3,2)</f>
        <v>114.14</v>
      </c>
      <c r="L14" s="110"/>
      <c r="M14" s="110">
        <f t="shared" si="4"/>
        <v>854.22</v>
      </c>
      <c r="N14" s="110">
        <f>D14*N4</f>
        <v>275</v>
      </c>
      <c r="O14" s="110">
        <f>D14*O4</f>
        <v>275</v>
      </c>
      <c r="P14" s="110">
        <f t="shared" ref="P14:P15" si="5">N14+O14</f>
        <v>550</v>
      </c>
      <c r="Q14" s="83"/>
      <c r="R14" s="13"/>
      <c r="S14" s="13"/>
      <c r="U14" s="27"/>
    </row>
    <row r="15" spans="1:21" s="15" customFormat="1" ht="20.100000000000001" customHeight="1">
      <c r="A15" s="13"/>
      <c r="B15" s="14">
        <v>9</v>
      </c>
      <c r="C15" s="115" t="s">
        <v>122</v>
      </c>
      <c r="D15" s="110">
        <v>5500</v>
      </c>
      <c r="E15" s="110"/>
      <c r="F15" s="110">
        <f>ROUND(MAX(F$24,MIN($D15,F$26))*F$4,2)/2</f>
        <v>277.85000000000002</v>
      </c>
      <c r="G15" s="110"/>
      <c r="H15" s="110"/>
      <c r="I15" s="110">
        <f>ROUND(MAX(I$24,MIN($D15,I$26))*I$4,2)/2</f>
        <v>22.23</v>
      </c>
      <c r="J15" s="110">
        <f t="shared" si="3"/>
        <v>440</v>
      </c>
      <c r="K15" s="110">
        <f>ROUND(MAX(K$24,MIN($D15,K$26))*2%+3,2)</f>
        <v>114.14</v>
      </c>
      <c r="L15" s="110">
        <f t="shared" ref="L15" si="6">ROUND(MAX(L$24,MIN($D15,L$26))*L$4,2)</f>
        <v>11</v>
      </c>
      <c r="M15" s="110">
        <f t="shared" si="4"/>
        <v>865.22</v>
      </c>
      <c r="N15" s="110">
        <f>D15*N4</f>
        <v>275</v>
      </c>
      <c r="O15" s="110">
        <f>D15*O4</f>
        <v>275</v>
      </c>
      <c r="P15" s="110">
        <f t="shared" si="5"/>
        <v>550</v>
      </c>
      <c r="Q15" s="83"/>
      <c r="R15" s="13"/>
      <c r="S15" s="13"/>
      <c r="U15" s="27"/>
    </row>
    <row r="16" spans="1:21" s="15" customFormat="1" ht="20.100000000000001" hidden="1" customHeight="1">
      <c r="A16" s="13"/>
      <c r="B16" s="14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83"/>
      <c r="R16" s="13"/>
      <c r="S16" s="13"/>
      <c r="U16" s="27"/>
    </row>
    <row r="17" spans="1:21" s="15" customFormat="1" ht="15" customHeight="1">
      <c r="A17" s="13"/>
      <c r="B17" s="261" t="s">
        <v>39</v>
      </c>
      <c r="C17" s="262"/>
      <c r="D17" s="263"/>
      <c r="E17" s="254">
        <f>SUM(E11:I16)</f>
        <v>1500.4</v>
      </c>
      <c r="F17" s="255"/>
      <c r="G17" s="255"/>
      <c r="H17" s="255"/>
      <c r="I17" s="256"/>
      <c r="J17" s="254">
        <f>SUM(J11:L16)</f>
        <v>2343.2800000000002</v>
      </c>
      <c r="K17" s="255"/>
      <c r="L17" s="256"/>
      <c r="M17" s="110">
        <f>SUM(M11:M16)</f>
        <v>3843.6800000000003</v>
      </c>
      <c r="N17" s="254">
        <f>SUM(P14:P15)</f>
        <v>1100</v>
      </c>
      <c r="O17" s="255"/>
      <c r="P17" s="256"/>
      <c r="Q17" s="26"/>
      <c r="R17" s="30"/>
      <c r="S17" s="30"/>
      <c r="U17" s="31"/>
    </row>
    <row r="18" spans="1:21" s="15" customFormat="1" ht="15" customHeight="1">
      <c r="A18" s="13"/>
      <c r="B18" s="261" t="s">
        <v>44</v>
      </c>
      <c r="C18" s="262"/>
      <c r="D18" s="263"/>
      <c r="E18" s="257">
        <f>M10+M17</f>
        <v>6678.4100000000008</v>
      </c>
      <c r="F18" s="258"/>
      <c r="G18" s="258"/>
      <c r="H18" s="258"/>
      <c r="I18" s="258"/>
      <c r="J18" s="258"/>
      <c r="K18" s="258"/>
      <c r="L18" s="258"/>
      <c r="M18" s="259"/>
      <c r="N18" s="215">
        <f>N10+N17</f>
        <v>1210</v>
      </c>
      <c r="O18" s="215"/>
      <c r="P18" s="215"/>
      <c r="Q18" s="116">
        <f>E18+N18</f>
        <v>7888.4100000000008</v>
      </c>
      <c r="R18" s="30"/>
      <c r="S18" s="30"/>
      <c r="U18" s="31"/>
    </row>
    <row r="19" spans="1:21" s="15" customFormat="1" ht="9.75" customHeight="1">
      <c r="A19" s="13"/>
      <c r="B19" s="252"/>
      <c r="C19" s="252"/>
      <c r="D19" s="264"/>
      <c r="E19" s="264"/>
      <c r="F19" s="264"/>
      <c r="G19" s="264"/>
      <c r="H19" s="264"/>
      <c r="I19" s="264"/>
      <c r="J19" s="30"/>
      <c r="K19" s="30"/>
      <c r="L19" s="30"/>
      <c r="M19" s="30"/>
      <c r="N19" s="30"/>
      <c r="O19" s="30"/>
      <c r="P19" s="30"/>
      <c r="Q19" s="30"/>
      <c r="R19" s="30"/>
      <c r="S19" s="30"/>
      <c r="U19" s="31"/>
    </row>
    <row r="20" spans="1:21" s="15" customFormat="1" ht="20.100000000000001" customHeight="1">
      <c r="A20" s="13"/>
      <c r="B20" s="32" t="s">
        <v>35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31"/>
    </row>
    <row r="21" spans="1:21" s="15" customFormat="1" ht="20.100000000000001" customHeight="1">
      <c r="A21" s="13"/>
      <c r="B21" s="21"/>
      <c r="U21" s="31"/>
    </row>
    <row r="22" spans="1:21" s="15" customFormat="1" ht="20.100000000000001" customHeight="1">
      <c r="A22" s="13"/>
      <c r="B22" s="21"/>
      <c r="E22" s="209" t="s">
        <v>34</v>
      </c>
      <c r="F22" s="210"/>
      <c r="G22" s="210"/>
      <c r="H22" s="210"/>
      <c r="I22" s="211"/>
      <c r="J22" s="209" t="s">
        <v>23</v>
      </c>
      <c r="K22" s="210"/>
      <c r="L22" s="211"/>
      <c r="M22" s="265"/>
      <c r="N22" s="260"/>
      <c r="O22" s="260"/>
      <c r="P22" s="260"/>
      <c r="U22" s="31"/>
    </row>
    <row r="23" spans="1:21" s="15" customFormat="1" ht="20.100000000000001" customHeight="1">
      <c r="A23" s="13"/>
      <c r="B23" s="21"/>
      <c r="E23" s="94" t="s">
        <v>24</v>
      </c>
      <c r="F23" s="94" t="s">
        <v>25</v>
      </c>
      <c r="G23" s="94" t="s">
        <v>26</v>
      </c>
      <c r="H23" s="94" t="s">
        <v>27</v>
      </c>
      <c r="I23" s="94" t="s">
        <v>28</v>
      </c>
      <c r="J23" s="94" t="s">
        <v>24</v>
      </c>
      <c r="K23" s="95" t="s">
        <v>25</v>
      </c>
      <c r="L23" s="94" t="s">
        <v>26</v>
      </c>
      <c r="M23" s="265"/>
      <c r="N23" s="111"/>
      <c r="O23" s="108"/>
      <c r="P23" s="111"/>
      <c r="U23" s="31"/>
    </row>
    <row r="24" spans="1:21" s="15" customFormat="1" ht="20.100000000000001" customHeight="1">
      <c r="A24" s="13"/>
      <c r="B24" s="21"/>
      <c r="D24" s="93" t="s">
        <v>38</v>
      </c>
      <c r="E24" s="93">
        <v>3613</v>
      </c>
      <c r="F24" s="93">
        <v>5557</v>
      </c>
      <c r="G24" s="93">
        <v>3613</v>
      </c>
      <c r="H24" s="93">
        <v>4713</v>
      </c>
      <c r="I24" s="93">
        <v>5557</v>
      </c>
      <c r="J24" s="93">
        <v>3613</v>
      </c>
      <c r="K24" s="93">
        <v>5557</v>
      </c>
      <c r="L24" s="93">
        <v>3613</v>
      </c>
      <c r="M24" s="26"/>
      <c r="N24" s="13"/>
      <c r="O24" s="13"/>
      <c r="P24" s="13"/>
      <c r="U24" s="31"/>
    </row>
    <row r="25" spans="1:21" s="15" customFormat="1" ht="20.100000000000001" customHeight="1">
      <c r="A25" s="13"/>
      <c r="B25" s="21"/>
      <c r="D25" s="93" t="s">
        <v>36</v>
      </c>
      <c r="E25" s="93">
        <f>ROUND(E24*$E$4,2)</f>
        <v>578.08000000000004</v>
      </c>
      <c r="F25" s="93">
        <f>ROUND(F24*$F$4,2)</f>
        <v>555.70000000000005</v>
      </c>
      <c r="G25" s="93">
        <f>ROUND(G24*$G$4,2)</f>
        <v>28.9</v>
      </c>
      <c r="H25" s="93">
        <f>ROUND(H24*$H$4,2)</f>
        <v>18.850000000000001</v>
      </c>
      <c r="I25" s="93">
        <f>ROUND(I24*$I$4,2)</f>
        <v>44.46</v>
      </c>
      <c r="J25" s="93">
        <f>ROUND(J24*$J$4,2)</f>
        <v>289.04000000000002</v>
      </c>
      <c r="K25" s="93">
        <f>ROUND(K24*2%+3,2)</f>
        <v>114.14</v>
      </c>
      <c r="L25" s="93">
        <f>ROUND(L24*$L$4,2)</f>
        <v>7.23</v>
      </c>
      <c r="M25" s="26"/>
      <c r="N25" s="13"/>
      <c r="O25" s="13"/>
      <c r="P25" s="13"/>
      <c r="U25" s="31"/>
    </row>
    <row r="26" spans="1:21" s="15" customFormat="1" ht="20.100000000000001" customHeight="1">
      <c r="A26" s="13"/>
      <c r="B26" s="21"/>
      <c r="D26" s="93" t="s">
        <v>31</v>
      </c>
      <c r="E26" s="93">
        <v>23565</v>
      </c>
      <c r="F26" s="93">
        <v>27786</v>
      </c>
      <c r="G26" s="93">
        <v>23565</v>
      </c>
      <c r="H26" s="93">
        <v>23565</v>
      </c>
      <c r="I26" s="93">
        <v>27786</v>
      </c>
      <c r="J26" s="93">
        <v>23565</v>
      </c>
      <c r="K26" s="93">
        <v>27786</v>
      </c>
      <c r="L26" s="93">
        <v>23565</v>
      </c>
      <c r="M26" s="26"/>
      <c r="N26" s="13"/>
      <c r="O26" s="13"/>
      <c r="P26" s="13"/>
      <c r="U26" s="31"/>
    </row>
    <row r="27" spans="1:21" s="15" customFormat="1" ht="20.100000000000001" customHeight="1">
      <c r="A27" s="13"/>
      <c r="B27" s="21"/>
      <c r="D27" s="93" t="s">
        <v>37</v>
      </c>
      <c r="E27" s="93">
        <f>ROUND(E26*$E$4,2)</f>
        <v>3770.4</v>
      </c>
      <c r="F27" s="93">
        <f>ROUND(F26*$F$4,2)</f>
        <v>2778.6</v>
      </c>
      <c r="G27" s="93">
        <f>ROUND(G26*$G$4,2)</f>
        <v>188.52</v>
      </c>
      <c r="H27" s="93">
        <f>ROUND(H26*$H$4,2)</f>
        <v>94.26</v>
      </c>
      <c r="I27" s="93">
        <f>ROUND(I26*$I$4,2)</f>
        <v>222.29</v>
      </c>
      <c r="J27" s="93">
        <f>ROUND(J26*$J$4,2)</f>
        <v>1885.2</v>
      </c>
      <c r="K27" s="93">
        <f>ROUND(K26*2%,2)+3</f>
        <v>558.72</v>
      </c>
      <c r="L27" s="93">
        <f>ROUND(L26*$L$4,2)</f>
        <v>47.13</v>
      </c>
      <c r="M27" s="26"/>
      <c r="N27" s="13"/>
      <c r="O27" s="13"/>
      <c r="P27" s="13"/>
      <c r="U27" s="31"/>
    </row>
    <row r="28" spans="1:21" s="15" customFormat="1" ht="20.100000000000001" customHeight="1">
      <c r="A28" s="13"/>
      <c r="B28" s="21"/>
      <c r="M28" s="13"/>
      <c r="N28" s="13"/>
      <c r="O28" s="13"/>
      <c r="P28" s="13"/>
      <c r="U28" s="31"/>
    </row>
    <row r="29" spans="1:21" s="15" customFormat="1" ht="20.100000000000001" customHeight="1">
      <c r="A29" s="13"/>
      <c r="B29" s="21"/>
      <c r="U29" s="31"/>
    </row>
    <row r="30" spans="1:21" s="15" customFormat="1" ht="20.100000000000001" customHeight="1">
      <c r="A30" s="13"/>
      <c r="B30" s="21"/>
      <c r="U30" s="31"/>
    </row>
    <row r="31" spans="1:21" s="15" customFormat="1" ht="20.100000000000001" customHeight="1">
      <c r="A31" s="13"/>
      <c r="B31" s="21"/>
      <c r="U31" s="31"/>
    </row>
    <row r="32" spans="1:21" s="15" customFormat="1" ht="20.100000000000001" customHeight="1">
      <c r="A32" s="13"/>
      <c r="B32" s="21"/>
      <c r="U32" s="31"/>
    </row>
    <row r="33" spans="1:21" s="15" customFormat="1" ht="20.100000000000001" customHeight="1">
      <c r="A33" s="13"/>
      <c r="B33" s="21"/>
      <c r="U33" s="31"/>
    </row>
    <row r="34" spans="1:21" ht="20.100000000000001" customHeight="1">
      <c r="R34" s="15"/>
    </row>
  </sheetData>
  <mergeCells count="28">
    <mergeCell ref="N22:P22"/>
    <mergeCell ref="N18:P18"/>
    <mergeCell ref="E22:I22"/>
    <mergeCell ref="J22:L22"/>
    <mergeCell ref="M22:M23"/>
    <mergeCell ref="B19:C19"/>
    <mergeCell ref="D19:I19"/>
    <mergeCell ref="Q3:Q5"/>
    <mergeCell ref="R3:R5"/>
    <mergeCell ref="S3:S5"/>
    <mergeCell ref="B10:D10"/>
    <mergeCell ref="E10:I10"/>
    <mergeCell ref="J10:L10"/>
    <mergeCell ref="N3:P3"/>
    <mergeCell ref="N10:P10"/>
    <mergeCell ref="B17:D17"/>
    <mergeCell ref="E17:I17"/>
    <mergeCell ref="J17:L17"/>
    <mergeCell ref="B18:D18"/>
    <mergeCell ref="E18:M18"/>
    <mergeCell ref="N17:P17"/>
    <mergeCell ref="B1:M1"/>
    <mergeCell ref="B3:B5"/>
    <mergeCell ref="C3:C5"/>
    <mergeCell ref="D3:D5"/>
    <mergeCell ref="E3:I3"/>
    <mergeCell ref="J3:L3"/>
    <mergeCell ref="M3:M5"/>
  </mergeCells>
  <phoneticPr fontId="1" type="noConversion"/>
  <pageMargins left="0.34" right="0.17" top="0.36" bottom="0.75" header="0.17" footer="0.3"/>
  <pageSetup paperSize="9"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8"/>
  <sheetViews>
    <sheetView workbookViewId="0">
      <selection activeCell="S29" sqref="S29"/>
    </sheetView>
  </sheetViews>
  <sheetFormatPr defaultColWidth="9.109375" defaultRowHeight="20.100000000000001" customHeight="1"/>
  <cols>
    <col min="1" max="1" width="1.33203125" style="92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hidden="1" customWidth="1"/>
    <col min="13" max="18" width="8.77734375" style="22" customWidth="1"/>
    <col min="19" max="19" width="8.77734375" style="12" customWidth="1"/>
    <col min="20" max="20" width="8.77734375" style="22" customWidth="1"/>
    <col min="21" max="21" width="9" style="15" customWidth="1"/>
    <col min="22" max="22" width="9" style="22" hidden="1" customWidth="1"/>
    <col min="23" max="23" width="6.6640625" style="12" hidden="1" customWidth="1"/>
    <col min="24" max="26" width="10.77734375" style="12" customWidth="1"/>
    <col min="27" max="16384" width="9.109375" style="12"/>
  </cols>
  <sheetData>
    <row r="1" spans="1:26" ht="21">
      <c r="B1" s="240" t="s">
        <v>113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</row>
    <row r="2" spans="1:26" ht="14.4">
      <c r="B2" s="241" t="s">
        <v>49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</row>
    <row r="3" spans="1:26" ht="14.4">
      <c r="B3" s="242" t="s">
        <v>57</v>
      </c>
      <c r="C3" s="227" t="s">
        <v>58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66" t="s">
        <v>78</v>
      </c>
      <c r="V3" s="233" t="s">
        <v>87</v>
      </c>
      <c r="W3" s="227" t="s">
        <v>88</v>
      </c>
      <c r="X3" s="227" t="s">
        <v>63</v>
      </c>
      <c r="Y3" s="269" t="s">
        <v>101</v>
      </c>
      <c r="Z3" s="269" t="s">
        <v>102</v>
      </c>
    </row>
    <row r="4" spans="1:26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90">
        <v>0.16</v>
      </c>
      <c r="N4" s="90">
        <v>0.1</v>
      </c>
      <c r="O4" s="90">
        <v>8.0000000000000002E-3</v>
      </c>
      <c r="P4" s="90">
        <v>4.0000000000000001E-3</v>
      </c>
      <c r="Q4" s="90">
        <v>8.0000000000000002E-3</v>
      </c>
      <c r="R4" s="90">
        <v>0.08</v>
      </c>
      <c r="S4" s="86" t="s">
        <v>0</v>
      </c>
      <c r="T4" s="90">
        <v>2E-3</v>
      </c>
      <c r="U4" s="267"/>
      <c r="V4" s="234"/>
      <c r="W4" s="201"/>
      <c r="X4" s="201"/>
      <c r="Y4" s="270"/>
      <c r="Z4" s="270"/>
    </row>
    <row r="5" spans="1:26" ht="14.4">
      <c r="B5" s="244"/>
      <c r="C5" s="202"/>
      <c r="D5" s="202"/>
      <c r="E5" s="85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90" t="s">
        <v>53</v>
      </c>
      <c r="N5" s="90" t="s">
        <v>46</v>
      </c>
      <c r="O5" s="90" t="s">
        <v>51</v>
      </c>
      <c r="P5" s="90" t="s">
        <v>52</v>
      </c>
      <c r="Q5" s="90" t="s">
        <v>64</v>
      </c>
      <c r="R5" s="90" t="s">
        <v>53</v>
      </c>
      <c r="S5" s="86" t="s">
        <v>46</v>
      </c>
      <c r="T5" s="90" t="s">
        <v>51</v>
      </c>
      <c r="U5" s="268"/>
      <c r="V5" s="207"/>
      <c r="W5" s="202"/>
      <c r="X5" s="202"/>
      <c r="Y5" s="271"/>
      <c r="Z5" s="271"/>
    </row>
    <row r="6" spans="1:26" s="15" customFormat="1" ht="14.4">
      <c r="A6" s="13"/>
      <c r="B6" s="14">
        <v>1</v>
      </c>
      <c r="C6" s="87" t="s">
        <v>54</v>
      </c>
      <c r="D6" s="87">
        <v>7000</v>
      </c>
      <c r="E6" s="87">
        <v>22</v>
      </c>
      <c r="F6" s="87">
        <v>22</v>
      </c>
      <c r="G6" s="87">
        <f>E6-F6</f>
        <v>0</v>
      </c>
      <c r="H6" s="87">
        <f>D6/21.75*G6</f>
        <v>0</v>
      </c>
      <c r="I6" s="87"/>
      <c r="J6" s="87"/>
      <c r="K6" s="87">
        <f>D6-H6+I6+J6</f>
        <v>7000</v>
      </c>
      <c r="L6" s="87">
        <v>2200</v>
      </c>
      <c r="M6" s="87"/>
      <c r="N6" s="87">
        <f>ROUND(MAX(N$18,MIN($L6,N$20))*N$4,2)/2</f>
        <v>277.85000000000002</v>
      </c>
      <c r="O6" s="87"/>
      <c r="P6" s="87"/>
      <c r="Q6" s="87">
        <f>ROUND(MAX(Q$18,MIN($L6,Q$20))*Q$4,2)/2</f>
        <v>22.23</v>
      </c>
      <c r="R6" s="87">
        <f>ROUND(MAX(R$18,MIN($L6,R$20))*R$4,2)</f>
        <v>289.04000000000002</v>
      </c>
      <c r="S6" s="87">
        <f>ROUND(MAX(S$18,MIN($L6,S$20))*2%+3,2)</f>
        <v>114.14</v>
      </c>
      <c r="T6" s="87">
        <f>ROUND(MAX(T$18,MIN($L6,T$20))*T$4,2)</f>
        <v>7.23</v>
      </c>
      <c r="U6" s="87">
        <f>R6+S6+T6</f>
        <v>410.41</v>
      </c>
      <c r="V6" s="87">
        <f>5000-5000-U6</f>
        <v>-410.41</v>
      </c>
      <c r="W6" s="87">
        <f>ROUND(MAX(V6*{3;10;20;25;30;35;45}%-{0;21;141;266;441;716;1516}*10,),2)</f>
        <v>0</v>
      </c>
      <c r="X6" s="87">
        <f>K6-R6-S6-T6-W6</f>
        <v>6589.59</v>
      </c>
      <c r="Y6" s="87">
        <v>4589.59</v>
      </c>
      <c r="Z6" s="87">
        <f>X6-Y6</f>
        <v>2000</v>
      </c>
    </row>
    <row r="7" spans="1:26" s="15" customFormat="1" ht="14.4">
      <c r="A7" s="13"/>
      <c r="B7" s="14">
        <v>2</v>
      </c>
      <c r="C7" s="35" t="s">
        <v>75</v>
      </c>
      <c r="D7" s="87">
        <v>2610.41</v>
      </c>
      <c r="E7" s="87">
        <v>22</v>
      </c>
      <c r="F7" s="87">
        <v>22</v>
      </c>
      <c r="G7" s="87">
        <f t="shared" ref="G7" si="0">E7-F7</f>
        <v>0</v>
      </c>
      <c r="H7" s="87">
        <f>4000/21.75*G7</f>
        <v>0</v>
      </c>
      <c r="I7" s="87"/>
      <c r="J7" s="87"/>
      <c r="K7" s="87">
        <f t="shared" ref="K7:K8" si="1">D7-H7+I7+J7</f>
        <v>2610.41</v>
      </c>
      <c r="L7" s="87">
        <v>2200</v>
      </c>
      <c r="M7" s="87"/>
      <c r="N7" s="87">
        <f>ROUND(MAX(N$18,MIN($L7,N$20))*N$4,2)/2</f>
        <v>277.85000000000002</v>
      </c>
      <c r="O7" s="87"/>
      <c r="P7" s="87"/>
      <c r="Q7" s="87">
        <f>ROUND(MAX(Q$18,MIN($L7,Q$20))*Q$4,2)/2</f>
        <v>22.23</v>
      </c>
      <c r="R7" s="87">
        <f>ROUND(MAX(R$18,MIN($L7,R$20))*R$4,2)</f>
        <v>289.04000000000002</v>
      </c>
      <c r="S7" s="87">
        <f>ROUND(MAX(S$18,MIN($L7,S$20))*2%+3,2)</f>
        <v>114.14</v>
      </c>
      <c r="T7" s="87">
        <f>ROUND(MAX(T$18,MIN($L7,T$20))*T$4,2)</f>
        <v>7.23</v>
      </c>
      <c r="U7" s="87">
        <f t="shared" ref="U7" si="2">R7+S7+T7</f>
        <v>410.41</v>
      </c>
      <c r="V7" s="87">
        <f t="shared" ref="V7:V8" si="3">5000-5000-U7</f>
        <v>-410.41</v>
      </c>
      <c r="W7" s="87">
        <f>ROUND(MAX(V7*{3;10;20;25;30;35;45}%-{0;21;141;266;441;716;1516}*10,),2)</f>
        <v>0</v>
      </c>
      <c r="X7" s="87">
        <f>K7-R7-S7-T7-W7</f>
        <v>2200</v>
      </c>
      <c r="Y7" s="87">
        <v>2200</v>
      </c>
      <c r="Z7" s="87"/>
    </row>
    <row r="8" spans="1:26" s="15" customFormat="1" ht="14.4">
      <c r="A8" s="13"/>
      <c r="B8" s="14">
        <v>3</v>
      </c>
      <c r="C8" s="35" t="s">
        <v>104</v>
      </c>
      <c r="D8" s="87">
        <v>2200</v>
      </c>
      <c r="E8" s="87">
        <v>22</v>
      </c>
      <c r="F8" s="87">
        <v>22</v>
      </c>
      <c r="G8" s="87">
        <f>E8-F8</f>
        <v>0</v>
      </c>
      <c r="H8" s="87">
        <f>4000/21.75*G8</f>
        <v>0</v>
      </c>
      <c r="I8" s="87"/>
      <c r="J8" s="87"/>
      <c r="K8" s="87">
        <f t="shared" si="1"/>
        <v>2200</v>
      </c>
      <c r="L8" s="87"/>
      <c r="M8" s="87"/>
      <c r="N8" s="87"/>
      <c r="O8" s="87"/>
      <c r="P8" s="87"/>
      <c r="Q8" s="87"/>
      <c r="R8" s="87"/>
      <c r="S8" s="87"/>
      <c r="T8" s="87"/>
      <c r="U8" s="87"/>
      <c r="V8" s="87">
        <f t="shared" si="3"/>
        <v>0</v>
      </c>
      <c r="W8" s="87">
        <f>ROUND(MAX(V8*{3;10;20;25;30;35;45}%-{0;21;141;266;441;716;1516}*10,),2)</f>
        <v>0</v>
      </c>
      <c r="X8" s="87">
        <f>K8-R8-S8-T8-W8</f>
        <v>2200</v>
      </c>
      <c r="Y8" s="87">
        <v>2200</v>
      </c>
      <c r="Z8" s="87"/>
    </row>
    <row r="9" spans="1:26" s="15" customFormat="1" ht="14.4" hidden="1">
      <c r="A9" s="13"/>
      <c r="B9" s="14"/>
      <c r="C9" s="35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s="15" customFormat="1" ht="13.8">
      <c r="A10" s="13"/>
      <c r="B10" s="228" t="s">
        <v>65</v>
      </c>
      <c r="C10" s="228"/>
      <c r="D10" s="215">
        <f>SUM(D6:D9)</f>
        <v>11810.41</v>
      </c>
      <c r="E10" s="89"/>
      <c r="F10" s="89"/>
      <c r="G10" s="89"/>
      <c r="H10" s="215">
        <f>SUM(H6:H9)</f>
        <v>0</v>
      </c>
      <c r="I10" s="215">
        <f>SUM(I6:I9)</f>
        <v>0</v>
      </c>
      <c r="J10" s="215">
        <f>SUM(J6:J9)</f>
        <v>0</v>
      </c>
      <c r="K10" s="215">
        <f>SUM(K6:K9)</f>
        <v>11810.41</v>
      </c>
      <c r="L10" s="215"/>
      <c r="M10" s="87">
        <f t="shared" ref="M10:T10" si="4">SUM(M6:M9)</f>
        <v>0</v>
      </c>
      <c r="N10" s="87">
        <f t="shared" si="4"/>
        <v>555.70000000000005</v>
      </c>
      <c r="O10" s="87">
        <f t="shared" si="4"/>
        <v>0</v>
      </c>
      <c r="P10" s="87">
        <f t="shared" si="4"/>
        <v>0</v>
      </c>
      <c r="Q10" s="87">
        <f t="shared" si="4"/>
        <v>44.46</v>
      </c>
      <c r="R10" s="87">
        <f t="shared" si="4"/>
        <v>578.08000000000004</v>
      </c>
      <c r="S10" s="87">
        <f t="shared" si="4"/>
        <v>228.28</v>
      </c>
      <c r="T10" s="87">
        <f t="shared" si="4"/>
        <v>14.46</v>
      </c>
      <c r="U10" s="208"/>
      <c r="V10" s="208"/>
      <c r="W10" s="215">
        <f>SUM(W6:W9)</f>
        <v>0</v>
      </c>
      <c r="X10" s="215">
        <f>SUM(X6:X9)</f>
        <v>10989.59</v>
      </c>
      <c r="Y10" s="208">
        <f t="shared" ref="Y10:Z10" si="5">SUM(Y6:Y9)</f>
        <v>8989.59</v>
      </c>
      <c r="Z10" s="208">
        <f t="shared" si="5"/>
        <v>2000</v>
      </c>
    </row>
    <row r="11" spans="1:26" s="15" customFormat="1" ht="13.8">
      <c r="A11" s="13"/>
      <c r="B11" s="228"/>
      <c r="C11" s="228"/>
      <c r="D11" s="215"/>
      <c r="E11" s="89"/>
      <c r="F11" s="89"/>
      <c r="G11" s="89"/>
      <c r="H11" s="215"/>
      <c r="I11" s="215"/>
      <c r="J11" s="215"/>
      <c r="K11" s="215"/>
      <c r="L11" s="215"/>
      <c r="M11" s="215">
        <f>SUM(M10:Q10)</f>
        <v>600.16000000000008</v>
      </c>
      <c r="N11" s="215"/>
      <c r="O11" s="215"/>
      <c r="P11" s="215"/>
      <c r="Q11" s="215"/>
      <c r="R11" s="215">
        <f>SUM(R10:T10)</f>
        <v>820.82</v>
      </c>
      <c r="S11" s="215"/>
      <c r="T11" s="215"/>
      <c r="U11" s="208"/>
      <c r="V11" s="208"/>
      <c r="W11" s="215"/>
      <c r="X11" s="215"/>
      <c r="Y11" s="208"/>
      <c r="Z11" s="208"/>
    </row>
    <row r="12" spans="1:26" s="15" customFormat="1" ht="13.8">
      <c r="A12" s="13"/>
      <c r="B12" s="228"/>
      <c r="C12" s="228"/>
      <c r="D12" s="215"/>
      <c r="E12" s="89"/>
      <c r="F12" s="89"/>
      <c r="G12" s="89"/>
      <c r="H12" s="215"/>
      <c r="I12" s="215"/>
      <c r="J12" s="215"/>
      <c r="K12" s="215"/>
      <c r="L12" s="215"/>
      <c r="M12" s="215">
        <f>M11+R11</f>
        <v>1420.98</v>
      </c>
      <c r="N12" s="215"/>
      <c r="O12" s="215"/>
      <c r="P12" s="215"/>
      <c r="Q12" s="215"/>
      <c r="R12" s="215"/>
      <c r="S12" s="215"/>
      <c r="T12" s="215"/>
      <c r="U12" s="208"/>
      <c r="V12" s="208"/>
      <c r="W12" s="215"/>
      <c r="X12" s="215"/>
      <c r="Y12" s="208"/>
      <c r="Z12" s="208"/>
    </row>
    <row r="13" spans="1:26" s="20" customFormat="1" ht="13.8">
      <c r="A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88"/>
      <c r="S13" s="88"/>
      <c r="T13" s="88"/>
      <c r="U13" s="88"/>
      <c r="V13" s="88"/>
      <c r="W13" s="88"/>
      <c r="X13" s="88"/>
      <c r="Y13" s="88"/>
      <c r="Z13" s="88"/>
    </row>
    <row r="14" spans="1:26" s="15" customFormat="1" ht="14.4">
      <c r="A14" s="13"/>
      <c r="B14" s="212" t="s">
        <v>55</v>
      </c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</row>
    <row r="15" spans="1:26" s="15" customFormat="1" ht="14.4">
      <c r="A15" s="13"/>
      <c r="B15" s="213" t="s">
        <v>66</v>
      </c>
      <c r="C15" s="213"/>
    </row>
    <row r="16" spans="1:26" s="15" customFormat="1" ht="14.4">
      <c r="A16" s="13"/>
      <c r="B16" s="214">
        <f>K10+M11</f>
        <v>12410.57</v>
      </c>
      <c r="C16" s="214"/>
      <c r="M16" s="209" t="s">
        <v>47</v>
      </c>
      <c r="N16" s="210"/>
      <c r="O16" s="210"/>
      <c r="P16" s="210"/>
      <c r="Q16" s="211"/>
      <c r="R16" s="209" t="s">
        <v>48</v>
      </c>
      <c r="S16" s="210"/>
      <c r="T16" s="211"/>
      <c r="U16" s="208" t="s">
        <v>56</v>
      </c>
    </row>
    <row r="17" spans="1:23" s="15" customFormat="1" ht="14.4">
      <c r="A17" s="13"/>
      <c r="M17" s="91" t="s">
        <v>53</v>
      </c>
      <c r="N17" s="91" t="s">
        <v>46</v>
      </c>
      <c r="O17" s="91" t="s">
        <v>51</v>
      </c>
      <c r="P17" s="91" t="s">
        <v>52</v>
      </c>
      <c r="Q17" s="91" t="s">
        <v>64</v>
      </c>
      <c r="R17" s="91" t="s">
        <v>53</v>
      </c>
      <c r="S17" s="84" t="s">
        <v>46</v>
      </c>
      <c r="T17" s="91" t="s">
        <v>51</v>
      </c>
      <c r="U17" s="208"/>
    </row>
    <row r="18" spans="1:23" s="15" customFormat="1" ht="14.4">
      <c r="A18" s="13"/>
      <c r="B18" s="21"/>
      <c r="L18" s="87" t="s">
        <v>67</v>
      </c>
      <c r="M18" s="87">
        <v>3613</v>
      </c>
      <c r="N18" s="87">
        <v>5557</v>
      </c>
      <c r="O18" s="87">
        <v>3613</v>
      </c>
      <c r="P18" s="87">
        <v>4713</v>
      </c>
      <c r="Q18" s="87">
        <v>5557</v>
      </c>
      <c r="R18" s="87">
        <v>3613</v>
      </c>
      <c r="S18" s="87">
        <v>5557</v>
      </c>
      <c r="T18" s="87">
        <v>3613</v>
      </c>
      <c r="U18" s="87"/>
    </row>
    <row r="19" spans="1:23" s="15" customFormat="1" ht="14.4">
      <c r="A19" s="13"/>
      <c r="B19" s="21"/>
      <c r="L19" s="87" t="s">
        <v>68</v>
      </c>
      <c r="M19" s="87">
        <f>ROUND(M18*$M$4,2)</f>
        <v>578.08000000000004</v>
      </c>
      <c r="N19" s="87">
        <f>ROUND(N18*$N$4,2)</f>
        <v>555.70000000000005</v>
      </c>
      <c r="O19" s="87">
        <f>ROUND(O18*$O$4,2)</f>
        <v>28.9</v>
      </c>
      <c r="P19" s="87">
        <f>ROUND(P18*$P$4,2)</f>
        <v>18.850000000000001</v>
      </c>
      <c r="Q19" s="87">
        <f>ROUND(Q18*$Q$4,2)</f>
        <v>44.46</v>
      </c>
      <c r="R19" s="87">
        <f>ROUND(R18*$R$4,2)</f>
        <v>289.04000000000002</v>
      </c>
      <c r="S19" s="87">
        <f>ROUND(S18*2%+3,2)</f>
        <v>114.14</v>
      </c>
      <c r="T19" s="87">
        <f>ROUND(T18*$T$4,2)</f>
        <v>7.23</v>
      </c>
      <c r="U19" s="87">
        <f>SUM(M19:T19)</f>
        <v>1636.4000000000003</v>
      </c>
    </row>
    <row r="20" spans="1:23" s="15" customFormat="1" ht="14.4">
      <c r="A20" s="13"/>
      <c r="B20" s="21"/>
      <c r="L20" s="87" t="s">
        <v>69</v>
      </c>
      <c r="M20" s="87">
        <v>23565</v>
      </c>
      <c r="N20" s="87">
        <v>27786</v>
      </c>
      <c r="O20" s="87">
        <v>23565</v>
      </c>
      <c r="P20" s="87">
        <v>23565</v>
      </c>
      <c r="Q20" s="87">
        <v>27786</v>
      </c>
      <c r="R20" s="87">
        <v>23565</v>
      </c>
      <c r="S20" s="87">
        <v>27786</v>
      </c>
      <c r="T20" s="87">
        <v>23565</v>
      </c>
      <c r="U20" s="87"/>
    </row>
    <row r="21" spans="1:23" s="15" customFormat="1" ht="14.4">
      <c r="A21" s="13"/>
      <c r="B21" s="21"/>
      <c r="L21" s="87" t="s">
        <v>70</v>
      </c>
      <c r="M21" s="87">
        <f>ROUND(M20*$M$4,2)</f>
        <v>3770.4</v>
      </c>
      <c r="N21" s="87">
        <f>ROUND(N20*$N$4,2)</f>
        <v>2778.6</v>
      </c>
      <c r="O21" s="87">
        <f>ROUND(O20*$O$4,2)</f>
        <v>188.52</v>
      </c>
      <c r="P21" s="87">
        <f>ROUND(P20*$P$4,2)</f>
        <v>94.26</v>
      </c>
      <c r="Q21" s="87">
        <f>ROUND(Q20*$Q$4,2)</f>
        <v>222.29</v>
      </c>
      <c r="R21" s="87">
        <f>ROUND(R20*$R$4,2)</f>
        <v>1885.2</v>
      </c>
      <c r="S21" s="87">
        <f>ROUND(S20*2%,2)+3</f>
        <v>558.72</v>
      </c>
      <c r="T21" s="87">
        <f>ROUND(T20*$T$4,2)</f>
        <v>47.13</v>
      </c>
      <c r="U21" s="87">
        <f>SUM(M21:T21)</f>
        <v>9545.119999999999</v>
      </c>
    </row>
    <row r="22" spans="1:23" s="15" customFormat="1" ht="13.8">
      <c r="A22" s="13"/>
      <c r="B22" s="21"/>
    </row>
    <row r="23" spans="1:23" s="15" customFormat="1" ht="13.8">
      <c r="A23" s="13"/>
      <c r="B23" s="21"/>
    </row>
    <row r="24" spans="1:23" s="15" customFormat="1" ht="13.8">
      <c r="A24" s="13"/>
      <c r="B24" s="21"/>
    </row>
    <row r="25" spans="1:23" s="15" customFormat="1" ht="13.8">
      <c r="A25" s="13"/>
      <c r="B25" s="21"/>
    </row>
    <row r="26" spans="1:23" s="15" customFormat="1" ht="13.8">
      <c r="A26" s="13"/>
      <c r="B26" s="21"/>
    </row>
    <row r="27" spans="1:23" s="15" customFormat="1" ht="13.8">
      <c r="A27" s="13"/>
      <c r="B27" s="21"/>
    </row>
    <row r="28" spans="1:23" ht="13.8">
      <c r="W28" s="15"/>
    </row>
  </sheetData>
  <mergeCells count="40">
    <mergeCell ref="B14:X14"/>
    <mergeCell ref="B15:C15"/>
    <mergeCell ref="B16:C16"/>
    <mergeCell ref="M16:Q16"/>
    <mergeCell ref="R16:T16"/>
    <mergeCell ref="U16:U17"/>
    <mergeCell ref="V10:V12"/>
    <mergeCell ref="W10:W12"/>
    <mergeCell ref="X10:X12"/>
    <mergeCell ref="Y10:Y12"/>
    <mergeCell ref="Z10:Z12"/>
    <mergeCell ref="Y3:Y5"/>
    <mergeCell ref="Z3:Z5"/>
    <mergeCell ref="V3:V5"/>
    <mergeCell ref="W3:W5"/>
    <mergeCell ref="X3:X5"/>
    <mergeCell ref="B10:C12"/>
    <mergeCell ref="D10:D12"/>
    <mergeCell ref="H10:H12"/>
    <mergeCell ref="I10:I12"/>
    <mergeCell ref="J10:J12"/>
    <mergeCell ref="K10:K12"/>
    <mergeCell ref="L10:L12"/>
    <mergeCell ref="U10:U12"/>
    <mergeCell ref="M3:Q3"/>
    <mergeCell ref="R3:T3"/>
    <mergeCell ref="U3:U5"/>
    <mergeCell ref="M11:Q11"/>
    <mergeCell ref="R11:T11"/>
    <mergeCell ref="M12:T12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Y28"/>
  <sheetViews>
    <sheetView workbookViewId="0">
      <selection activeCell="P34" sqref="P34"/>
    </sheetView>
  </sheetViews>
  <sheetFormatPr defaultColWidth="9.109375" defaultRowHeight="20.100000000000001" customHeight="1"/>
  <cols>
    <col min="1" max="1" width="1.33203125" style="92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9.6640625" style="12" customWidth="1"/>
    <col min="12" max="12" width="9" style="12" hidden="1" customWidth="1"/>
    <col min="13" max="13" width="8.109375" style="22" customWidth="1"/>
    <col min="14" max="14" width="8.77734375" style="22" bestFit="1" customWidth="1"/>
    <col min="15" max="16" width="8.6640625" style="22" customWidth="1"/>
    <col min="17" max="17" width="8.77734375" style="22" customWidth="1"/>
    <col min="18" max="18" width="8.77734375" style="22" bestFit="1" customWidth="1"/>
    <col min="19" max="19" width="8.77734375" style="12" bestFit="1" customWidth="1"/>
    <col min="20" max="20" width="8.77734375" style="22" bestFit="1" customWidth="1"/>
    <col min="21" max="21" width="9" style="15" hidden="1" customWidth="1"/>
    <col min="22" max="22" width="9" style="22" hidden="1" customWidth="1"/>
    <col min="23" max="23" width="5.21875" style="12" hidden="1" customWidth="1"/>
    <col min="24" max="24" width="10.77734375" style="12" customWidth="1"/>
    <col min="25" max="25" width="52.109375" style="12" bestFit="1" customWidth="1"/>
    <col min="26" max="16384" width="9.109375" style="12"/>
  </cols>
  <sheetData>
    <row r="1" spans="1:25" ht="21">
      <c r="B1" s="240" t="s">
        <v>113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</row>
    <row r="2" spans="1:25" ht="14.4">
      <c r="B2" s="241" t="s">
        <v>49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</row>
    <row r="3" spans="1:25" ht="14.4">
      <c r="B3" s="242" t="s">
        <v>57</v>
      </c>
      <c r="C3" s="227" t="s">
        <v>58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24" t="s">
        <v>62</v>
      </c>
      <c r="V3" s="233" t="s">
        <v>87</v>
      </c>
      <c r="W3" s="227" t="s">
        <v>88</v>
      </c>
      <c r="X3" s="227" t="s">
        <v>63</v>
      </c>
    </row>
    <row r="4" spans="1:25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90">
        <v>0.16</v>
      </c>
      <c r="N4" s="90">
        <v>0.1</v>
      </c>
      <c r="O4" s="90">
        <v>8.0000000000000002E-3</v>
      </c>
      <c r="P4" s="90">
        <v>4.0000000000000001E-3</v>
      </c>
      <c r="Q4" s="90">
        <v>8.0000000000000002E-3</v>
      </c>
      <c r="R4" s="90">
        <v>0.08</v>
      </c>
      <c r="S4" s="86" t="s">
        <v>0</v>
      </c>
      <c r="T4" s="90">
        <v>2E-3</v>
      </c>
      <c r="U4" s="225"/>
      <c r="V4" s="234"/>
      <c r="W4" s="201"/>
      <c r="X4" s="201"/>
    </row>
    <row r="5" spans="1:25" ht="14.4">
      <c r="B5" s="244"/>
      <c r="C5" s="202"/>
      <c r="D5" s="202"/>
      <c r="E5" s="85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90" t="s">
        <v>53</v>
      </c>
      <c r="N5" s="90" t="s">
        <v>46</v>
      </c>
      <c r="O5" s="90" t="s">
        <v>51</v>
      </c>
      <c r="P5" s="90" t="s">
        <v>52</v>
      </c>
      <c r="Q5" s="90" t="s">
        <v>64</v>
      </c>
      <c r="R5" s="90" t="s">
        <v>53</v>
      </c>
      <c r="S5" s="86" t="s">
        <v>46</v>
      </c>
      <c r="T5" s="90" t="s">
        <v>51</v>
      </c>
      <c r="U5" s="226"/>
      <c r="V5" s="207"/>
      <c r="W5" s="202"/>
      <c r="X5" s="202"/>
    </row>
    <row r="6" spans="1:25" s="15" customFormat="1" ht="14.4">
      <c r="A6" s="13"/>
      <c r="B6" s="14">
        <v>1</v>
      </c>
      <c r="C6" s="87" t="s">
        <v>54</v>
      </c>
      <c r="D6" s="87">
        <v>5000</v>
      </c>
      <c r="E6" s="87">
        <v>22</v>
      </c>
      <c r="F6" s="87">
        <v>22</v>
      </c>
      <c r="G6" s="87">
        <f>E6-F6</f>
        <v>0</v>
      </c>
      <c r="H6" s="87">
        <f>D6/21.75*G6</f>
        <v>0</v>
      </c>
      <c r="I6" s="87"/>
      <c r="J6" s="87"/>
      <c r="K6" s="87">
        <f>D6-H6+I6+J6</f>
        <v>5000</v>
      </c>
      <c r="L6" s="87">
        <v>2200</v>
      </c>
      <c r="M6" s="87"/>
      <c r="N6" s="87">
        <f>ROUND(MAX(N$18,MIN($L6,N$20))*N$4,2)/2</f>
        <v>277.85000000000002</v>
      </c>
      <c r="O6" s="87"/>
      <c r="P6" s="87"/>
      <c r="Q6" s="87">
        <f>ROUND(MAX(Q$18,MIN($L6,Q$20))*Q$4,2)/2</f>
        <v>22.23</v>
      </c>
      <c r="R6" s="87">
        <f>ROUND(MAX(R$18,MIN($L6,R$20))*R$4,2)</f>
        <v>289.04000000000002</v>
      </c>
      <c r="S6" s="87">
        <f>ROUND(MAX(S$18,MIN($L6,S$20))*2%+3,2)</f>
        <v>114.14</v>
      </c>
      <c r="T6" s="87">
        <f>ROUND(MAX(T$18,MIN($L6,T$20))*T$4,2)</f>
        <v>7.23</v>
      </c>
      <c r="U6" s="87">
        <f>5000</f>
        <v>5000</v>
      </c>
      <c r="V6" s="87">
        <f>K6-R6-S6-T6-U6</f>
        <v>-410.40999999999985</v>
      </c>
      <c r="W6" s="87">
        <f>ROUND(MAX(V6*{3;10;20;25;30;35;45}%-{0;21;141;266;441;716;1516}*10,),2)</f>
        <v>0</v>
      </c>
      <c r="X6" s="87">
        <f>K6-R6-S6-T6-W6</f>
        <v>4589.59</v>
      </c>
      <c r="Y6" s="16"/>
    </row>
    <row r="7" spans="1:25" s="15" customFormat="1" ht="14.4">
      <c r="A7" s="13"/>
      <c r="B7" s="14">
        <v>2</v>
      </c>
      <c r="C7" s="35" t="s">
        <v>75</v>
      </c>
      <c r="D7" s="87">
        <v>2610.41</v>
      </c>
      <c r="E7" s="87">
        <v>22</v>
      </c>
      <c r="F7" s="87">
        <v>22</v>
      </c>
      <c r="G7" s="87">
        <f t="shared" ref="G7" si="0">E7-F7</f>
        <v>0</v>
      </c>
      <c r="H7" s="87">
        <f>4000/21.75*G7</f>
        <v>0</v>
      </c>
      <c r="I7" s="87"/>
      <c r="J7" s="87"/>
      <c r="K7" s="87">
        <f t="shared" ref="K7:K8" si="1">D7-H7+I7+J7</f>
        <v>2610.41</v>
      </c>
      <c r="L7" s="87">
        <v>2200</v>
      </c>
      <c r="M7" s="87"/>
      <c r="N7" s="87">
        <f>ROUND(MAX(N$18,MIN($L7,N$20))*N$4,2)/2</f>
        <v>277.85000000000002</v>
      </c>
      <c r="O7" s="87"/>
      <c r="P7" s="87"/>
      <c r="Q7" s="87">
        <f>ROUND(MAX(Q$18,MIN($L7,Q$20))*Q$4,2)/2</f>
        <v>22.23</v>
      </c>
      <c r="R7" s="87">
        <f>ROUND(MAX(R$18,MIN($L7,R$20))*R$4,2)</f>
        <v>289.04000000000002</v>
      </c>
      <c r="S7" s="87">
        <f>ROUND(MAX(S$18,MIN($L7,S$20))*2%+3,2)</f>
        <v>114.14</v>
      </c>
      <c r="T7" s="87">
        <f>ROUND(MAX(T$18,MIN($L7,T$20))*T$4,2)</f>
        <v>7.23</v>
      </c>
      <c r="U7" s="87">
        <v>5000</v>
      </c>
      <c r="V7" s="87">
        <f t="shared" ref="V7" si="2">K7-R7-S7-T7-U7</f>
        <v>-2800</v>
      </c>
      <c r="W7" s="87">
        <f>ROUND(MAX(V7*{3;10;20;25;30;35;45}%-{0;21;141;266;441;716;1516}*10,),2)</f>
        <v>0</v>
      </c>
      <c r="X7" s="87">
        <f>K7-R7-S7-T7-W7</f>
        <v>2200</v>
      </c>
    </row>
    <row r="8" spans="1:25" s="15" customFormat="1" ht="14.4">
      <c r="A8" s="13"/>
      <c r="B8" s="14">
        <v>3</v>
      </c>
      <c r="C8" s="35" t="s">
        <v>104</v>
      </c>
      <c r="D8" s="87">
        <v>2200</v>
      </c>
      <c r="E8" s="87">
        <v>22</v>
      </c>
      <c r="F8" s="87">
        <v>22</v>
      </c>
      <c r="G8" s="87">
        <f>E8-F8</f>
        <v>0</v>
      </c>
      <c r="H8" s="87">
        <f>4000/21.75*G8</f>
        <v>0</v>
      </c>
      <c r="I8" s="87"/>
      <c r="J8" s="87"/>
      <c r="K8" s="87">
        <f t="shared" si="1"/>
        <v>2200</v>
      </c>
      <c r="L8" s="87"/>
      <c r="M8" s="87"/>
      <c r="N8" s="87"/>
      <c r="O8" s="87"/>
      <c r="P8" s="87"/>
      <c r="Q8" s="87"/>
      <c r="R8" s="87"/>
      <c r="S8" s="87"/>
      <c r="T8" s="87"/>
      <c r="U8" s="87">
        <v>5001</v>
      </c>
      <c r="V8" s="87">
        <f>K8-R8-S8-T8-U8</f>
        <v>-2801</v>
      </c>
      <c r="W8" s="87">
        <f>ROUND(MAX(V8*{3;10;20;25;30;35;45}%-{0;21;141;266;441;716;1516}*10,),2)</f>
        <v>0</v>
      </c>
      <c r="X8" s="87">
        <f>K8-R8-S8-T8-W8</f>
        <v>2200</v>
      </c>
    </row>
    <row r="9" spans="1:25" s="15" customFormat="1" ht="14.4">
      <c r="A9" s="13"/>
      <c r="B9" s="14"/>
      <c r="C9" s="35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</row>
    <row r="10" spans="1:25" s="15" customFormat="1" ht="13.8">
      <c r="A10" s="13"/>
      <c r="B10" s="228" t="s">
        <v>65</v>
      </c>
      <c r="C10" s="228"/>
      <c r="D10" s="215">
        <f>SUM(D6:D9)</f>
        <v>9810.41</v>
      </c>
      <c r="E10" s="89"/>
      <c r="F10" s="89"/>
      <c r="G10" s="89"/>
      <c r="H10" s="215">
        <f>SUM(H6:H9)</f>
        <v>0</v>
      </c>
      <c r="I10" s="215">
        <f>SUM(I6:I9)</f>
        <v>0</v>
      </c>
      <c r="J10" s="215">
        <f>SUM(J6:J9)</f>
        <v>0</v>
      </c>
      <c r="K10" s="215">
        <f>SUM(K6:K9)</f>
        <v>9810.41</v>
      </c>
      <c r="L10" s="215"/>
      <c r="M10" s="87">
        <f>SUM(M6:M9)</f>
        <v>0</v>
      </c>
      <c r="N10" s="87">
        <f t="shared" ref="N10:T10" si="3">SUM(N6:N9)</f>
        <v>555.70000000000005</v>
      </c>
      <c r="O10" s="87">
        <f t="shared" si="3"/>
        <v>0</v>
      </c>
      <c r="P10" s="87">
        <f t="shared" si="3"/>
        <v>0</v>
      </c>
      <c r="Q10" s="87">
        <f t="shared" si="3"/>
        <v>44.46</v>
      </c>
      <c r="R10" s="87">
        <f t="shared" si="3"/>
        <v>578.08000000000004</v>
      </c>
      <c r="S10" s="87">
        <f t="shared" si="3"/>
        <v>228.28</v>
      </c>
      <c r="T10" s="87">
        <f t="shared" si="3"/>
        <v>14.46</v>
      </c>
      <c r="U10" s="208"/>
      <c r="V10" s="208"/>
      <c r="W10" s="215">
        <f>SUM(W6:W9)</f>
        <v>0</v>
      </c>
      <c r="X10" s="215">
        <f>SUM(X6:X9)</f>
        <v>8989.59</v>
      </c>
    </row>
    <row r="11" spans="1:25" s="15" customFormat="1" ht="13.8">
      <c r="A11" s="13"/>
      <c r="B11" s="228"/>
      <c r="C11" s="228"/>
      <c r="D11" s="215"/>
      <c r="E11" s="89"/>
      <c r="F11" s="89"/>
      <c r="G11" s="89"/>
      <c r="H11" s="215"/>
      <c r="I11" s="215"/>
      <c r="J11" s="215"/>
      <c r="K11" s="215"/>
      <c r="L11" s="215"/>
      <c r="M11" s="215">
        <f>SUM(M10:Q10)</f>
        <v>600.16000000000008</v>
      </c>
      <c r="N11" s="215"/>
      <c r="O11" s="215"/>
      <c r="P11" s="215"/>
      <c r="Q11" s="215"/>
      <c r="R11" s="215">
        <f>SUM(R10:T10)</f>
        <v>820.82</v>
      </c>
      <c r="S11" s="215"/>
      <c r="T11" s="215"/>
      <c r="U11" s="208"/>
      <c r="V11" s="208"/>
      <c r="W11" s="215"/>
      <c r="X11" s="215"/>
    </row>
    <row r="12" spans="1:25" s="15" customFormat="1" ht="13.8">
      <c r="A12" s="13"/>
      <c r="B12" s="228"/>
      <c r="C12" s="228"/>
      <c r="D12" s="215"/>
      <c r="E12" s="89"/>
      <c r="F12" s="89"/>
      <c r="G12" s="89"/>
      <c r="H12" s="215"/>
      <c r="I12" s="215"/>
      <c r="J12" s="215"/>
      <c r="K12" s="215"/>
      <c r="L12" s="215"/>
      <c r="M12" s="215">
        <f>M11+R11</f>
        <v>1420.98</v>
      </c>
      <c r="N12" s="215"/>
      <c r="O12" s="215"/>
      <c r="P12" s="215"/>
      <c r="Q12" s="215"/>
      <c r="R12" s="215"/>
      <c r="S12" s="215"/>
      <c r="T12" s="215"/>
      <c r="U12" s="208"/>
      <c r="V12" s="208"/>
      <c r="W12" s="215"/>
      <c r="X12" s="215"/>
    </row>
    <row r="13" spans="1:25" s="20" customFormat="1" ht="13.8">
      <c r="A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88"/>
      <c r="S13" s="88"/>
      <c r="T13" s="88"/>
      <c r="U13" s="88"/>
      <c r="V13" s="88"/>
      <c r="W13" s="88"/>
      <c r="X13" s="88"/>
    </row>
    <row r="14" spans="1:25" s="15" customFormat="1" ht="14.4">
      <c r="A14" s="13"/>
      <c r="B14" s="212" t="s">
        <v>55</v>
      </c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</row>
    <row r="15" spans="1:25" s="15" customFormat="1" ht="13.8">
      <c r="A15" s="13"/>
      <c r="B15" s="21"/>
    </row>
    <row r="16" spans="1:25" s="15" customFormat="1" ht="14.4">
      <c r="A16" s="13"/>
      <c r="B16" s="213" t="s">
        <v>66</v>
      </c>
      <c r="C16" s="213"/>
      <c r="M16" s="209" t="s">
        <v>47</v>
      </c>
      <c r="N16" s="210"/>
      <c r="O16" s="210"/>
      <c r="P16" s="210"/>
      <c r="Q16" s="211"/>
      <c r="R16" s="209" t="s">
        <v>48</v>
      </c>
      <c r="S16" s="210"/>
      <c r="T16" s="211"/>
      <c r="U16" s="208" t="s">
        <v>56</v>
      </c>
      <c r="Y16" s="16"/>
    </row>
    <row r="17" spans="1:23" s="15" customFormat="1" ht="14.4">
      <c r="A17" s="13"/>
      <c r="B17" s="214">
        <f>K10+M11</f>
        <v>10410.57</v>
      </c>
      <c r="C17" s="214"/>
      <c r="M17" s="91" t="s">
        <v>53</v>
      </c>
      <c r="N17" s="91" t="s">
        <v>46</v>
      </c>
      <c r="O17" s="91" t="s">
        <v>51</v>
      </c>
      <c r="P17" s="91" t="s">
        <v>52</v>
      </c>
      <c r="Q17" s="91" t="s">
        <v>64</v>
      </c>
      <c r="R17" s="91" t="s">
        <v>53</v>
      </c>
      <c r="S17" s="84" t="s">
        <v>46</v>
      </c>
      <c r="T17" s="91" t="s">
        <v>51</v>
      </c>
      <c r="U17" s="208"/>
    </row>
    <row r="18" spans="1:23" s="15" customFormat="1" ht="14.4">
      <c r="A18" s="13"/>
      <c r="B18" s="21"/>
      <c r="L18" s="87" t="s">
        <v>67</v>
      </c>
      <c r="M18" s="87">
        <v>3613</v>
      </c>
      <c r="N18" s="87">
        <v>5557</v>
      </c>
      <c r="O18" s="87">
        <v>3613</v>
      </c>
      <c r="P18" s="87">
        <v>4713</v>
      </c>
      <c r="Q18" s="87">
        <v>5557</v>
      </c>
      <c r="R18" s="87">
        <v>3613</v>
      </c>
      <c r="S18" s="87">
        <v>5557</v>
      </c>
      <c r="T18" s="87">
        <v>3613</v>
      </c>
      <c r="U18" s="87"/>
    </row>
    <row r="19" spans="1:23" s="15" customFormat="1" ht="14.4">
      <c r="A19" s="13"/>
      <c r="B19" s="21"/>
      <c r="L19" s="87" t="s">
        <v>68</v>
      </c>
      <c r="M19" s="87">
        <f>ROUND(M18*$M$4,2)</f>
        <v>578.08000000000004</v>
      </c>
      <c r="N19" s="87">
        <f>ROUND(N18*$N$4,2)</f>
        <v>555.70000000000005</v>
      </c>
      <c r="O19" s="87">
        <f>ROUND(O18*$O$4,2)</f>
        <v>28.9</v>
      </c>
      <c r="P19" s="87">
        <f>ROUND(P18*$P$4,2)</f>
        <v>18.850000000000001</v>
      </c>
      <c r="Q19" s="87">
        <f>ROUND(Q18*$Q$4,2)</f>
        <v>44.46</v>
      </c>
      <c r="R19" s="87">
        <f>ROUND(R18*$R$4,2)</f>
        <v>289.04000000000002</v>
      </c>
      <c r="S19" s="87">
        <f>ROUND(S18*2%+3,2)</f>
        <v>114.14</v>
      </c>
      <c r="T19" s="87">
        <f>ROUND(T18*$T$4,2)</f>
        <v>7.23</v>
      </c>
      <c r="U19" s="87">
        <f>SUM(M19:T19)</f>
        <v>1636.4000000000003</v>
      </c>
    </row>
    <row r="20" spans="1:23" s="15" customFormat="1" ht="14.4">
      <c r="A20" s="13"/>
      <c r="B20" s="21"/>
      <c r="L20" s="87" t="s">
        <v>69</v>
      </c>
      <c r="M20" s="87">
        <v>23565</v>
      </c>
      <c r="N20" s="87">
        <v>27786</v>
      </c>
      <c r="O20" s="87">
        <v>23565</v>
      </c>
      <c r="P20" s="87">
        <v>23565</v>
      </c>
      <c r="Q20" s="87">
        <v>27786</v>
      </c>
      <c r="R20" s="87">
        <v>23565</v>
      </c>
      <c r="S20" s="87">
        <v>27786</v>
      </c>
      <c r="T20" s="87">
        <v>23565</v>
      </c>
      <c r="U20" s="87"/>
    </row>
    <row r="21" spans="1:23" s="15" customFormat="1" ht="14.4">
      <c r="A21" s="13"/>
      <c r="B21" s="21"/>
      <c r="L21" s="87" t="s">
        <v>70</v>
      </c>
      <c r="M21" s="87">
        <f>ROUND(M20*$M$4,2)</f>
        <v>3770.4</v>
      </c>
      <c r="N21" s="87">
        <f>ROUND(N20*$N$4,2)</f>
        <v>2778.6</v>
      </c>
      <c r="O21" s="87">
        <f>ROUND(O20*$O$4,2)</f>
        <v>188.52</v>
      </c>
      <c r="P21" s="87">
        <f>ROUND(P20*$P$4,2)</f>
        <v>94.26</v>
      </c>
      <c r="Q21" s="87">
        <f>ROUND(Q20*$Q$4,2)</f>
        <v>222.29</v>
      </c>
      <c r="R21" s="87">
        <f>ROUND(R20*$R$4,2)</f>
        <v>1885.2</v>
      </c>
      <c r="S21" s="87">
        <f>ROUND(S20*2%,2)+3</f>
        <v>558.72</v>
      </c>
      <c r="T21" s="87">
        <f>ROUND(T20*$T$4,2)</f>
        <v>47.13</v>
      </c>
      <c r="U21" s="87">
        <f>SUM(M21:T21)</f>
        <v>9545.119999999999</v>
      </c>
    </row>
    <row r="22" spans="1:23" s="15" customFormat="1" ht="13.8">
      <c r="A22" s="13"/>
      <c r="B22" s="21"/>
    </row>
    <row r="23" spans="1:23" s="15" customFormat="1" ht="13.8">
      <c r="A23" s="13"/>
      <c r="B23" s="21"/>
    </row>
    <row r="24" spans="1:23" s="15" customFormat="1" ht="13.8">
      <c r="A24" s="13"/>
      <c r="B24" s="21"/>
    </row>
    <row r="25" spans="1:23" s="15" customFormat="1" ht="13.8">
      <c r="A25" s="13"/>
      <c r="B25" s="21"/>
    </row>
    <row r="26" spans="1:23" s="15" customFormat="1" ht="13.8">
      <c r="A26" s="13"/>
      <c r="B26" s="21"/>
    </row>
    <row r="27" spans="1:23" s="15" customFormat="1" ht="13.8">
      <c r="A27" s="13"/>
      <c r="B27" s="21"/>
    </row>
    <row r="28" spans="1:23" ht="13.8">
      <c r="W28" s="15"/>
    </row>
  </sheetData>
  <mergeCells count="36">
    <mergeCell ref="B14:X14"/>
    <mergeCell ref="B16:C16"/>
    <mergeCell ref="M16:Q16"/>
    <mergeCell ref="R16:T16"/>
    <mergeCell ref="U16:U17"/>
    <mergeCell ref="B17:C17"/>
    <mergeCell ref="W10:W12"/>
    <mergeCell ref="X10:X12"/>
    <mergeCell ref="M11:Q11"/>
    <mergeCell ref="R11:T11"/>
    <mergeCell ref="M12:T12"/>
    <mergeCell ref="B10:C12"/>
    <mergeCell ref="D10:D12"/>
    <mergeCell ref="H10:H12"/>
    <mergeCell ref="I10:I12"/>
    <mergeCell ref="J10:J12"/>
    <mergeCell ref="K10:K12"/>
    <mergeCell ref="M3:Q3"/>
    <mergeCell ref="R3:T3"/>
    <mergeCell ref="U3:U5"/>
    <mergeCell ref="V3:V5"/>
    <mergeCell ref="L10:L12"/>
    <mergeCell ref="U10:U12"/>
    <mergeCell ref="V10:V12"/>
    <mergeCell ref="W3:W5"/>
    <mergeCell ref="X3:X5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</mergeCells>
  <phoneticPr fontId="1" type="noConversion"/>
  <pageMargins left="0.24" right="0.17" top="0.47" bottom="0.75" header="0.19" footer="0.3"/>
  <pageSetup paperSize="9" scale="96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31"/>
  <sheetViews>
    <sheetView workbookViewId="0">
      <selection activeCell="O24" sqref="O24"/>
    </sheetView>
  </sheetViews>
  <sheetFormatPr defaultColWidth="9.109375" defaultRowHeight="20.100000000000001" customHeight="1"/>
  <cols>
    <col min="1" max="1" width="1.33203125" style="92" customWidth="1"/>
    <col min="2" max="2" width="4.88671875" style="21" bestFit="1" customWidth="1"/>
    <col min="3" max="3" width="7" style="12" customWidth="1"/>
    <col min="4" max="4" width="9" style="12" hidden="1" customWidth="1"/>
    <col min="5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33203125" style="22" customWidth="1"/>
    <col min="15" max="15" width="8.44140625" style="12" customWidth="1"/>
    <col min="16" max="16" width="10" style="12" customWidth="1"/>
    <col min="17" max="17" width="3.77734375" style="12" customWidth="1"/>
    <col min="18" max="18" width="5.44140625" style="24" customWidth="1"/>
    <col min="19" max="19" width="5.44140625" style="12" customWidth="1"/>
    <col min="20" max="21" width="5.21875" style="12" customWidth="1"/>
    <col min="22" max="23" width="6.44140625" style="12" customWidth="1"/>
    <col min="24" max="24" width="6.6640625" style="12" customWidth="1"/>
    <col min="25" max="25" width="5.44140625" style="12" customWidth="1"/>
    <col min="26" max="16384" width="9.109375" style="12"/>
  </cols>
  <sheetData>
    <row r="1" spans="1:18" ht="30" customHeight="1">
      <c r="B1" s="240" t="s">
        <v>111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"/>
      <c r="O1" s="23"/>
      <c r="P1" s="23"/>
    </row>
    <row r="2" spans="1:18" ht="20.100000000000001" customHeight="1"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ht="20.100000000000001" customHeight="1">
      <c r="B3" s="242" t="s">
        <v>32</v>
      </c>
      <c r="C3" s="227" t="s">
        <v>22</v>
      </c>
      <c r="D3" s="227" t="s">
        <v>33</v>
      </c>
      <c r="E3" s="229" t="s">
        <v>34</v>
      </c>
      <c r="F3" s="229"/>
      <c r="G3" s="229"/>
      <c r="H3" s="229"/>
      <c r="I3" s="229"/>
      <c r="J3" s="229" t="s">
        <v>23</v>
      </c>
      <c r="K3" s="229"/>
      <c r="L3" s="229"/>
      <c r="M3" s="224" t="s">
        <v>30</v>
      </c>
      <c r="N3" s="249"/>
      <c r="O3" s="250"/>
      <c r="P3" s="250"/>
    </row>
    <row r="4" spans="1:18" ht="20.100000000000001" customHeight="1">
      <c r="B4" s="243"/>
      <c r="C4" s="201"/>
      <c r="D4" s="201"/>
      <c r="E4" s="90">
        <v>0.16</v>
      </c>
      <c r="F4" s="90">
        <v>0.1</v>
      </c>
      <c r="G4" s="90">
        <v>8.0000000000000002E-3</v>
      </c>
      <c r="H4" s="90">
        <v>4.0000000000000001E-3</v>
      </c>
      <c r="I4" s="90">
        <v>8.0000000000000002E-3</v>
      </c>
      <c r="J4" s="90">
        <v>0.08</v>
      </c>
      <c r="K4" s="86" t="s">
        <v>0</v>
      </c>
      <c r="L4" s="90">
        <v>2E-3</v>
      </c>
      <c r="M4" s="225"/>
      <c r="N4" s="249"/>
      <c r="O4" s="250"/>
      <c r="P4" s="250"/>
    </row>
    <row r="5" spans="1:18" ht="20.100000000000001" customHeight="1">
      <c r="B5" s="244"/>
      <c r="C5" s="202"/>
      <c r="D5" s="202"/>
      <c r="E5" s="90" t="s">
        <v>24</v>
      </c>
      <c r="F5" s="90" t="s">
        <v>25</v>
      </c>
      <c r="G5" s="90" t="s">
        <v>26</v>
      </c>
      <c r="H5" s="90" t="s">
        <v>27</v>
      </c>
      <c r="I5" s="90" t="s">
        <v>28</v>
      </c>
      <c r="J5" s="90" t="s">
        <v>24</v>
      </c>
      <c r="K5" s="86" t="s">
        <v>25</v>
      </c>
      <c r="L5" s="90" t="s">
        <v>26</v>
      </c>
      <c r="M5" s="226"/>
      <c r="N5" s="249"/>
      <c r="O5" s="250"/>
      <c r="P5" s="250"/>
    </row>
    <row r="6" spans="1:18" s="15" customFormat="1" ht="20.100000000000001" customHeight="1">
      <c r="A6" s="13"/>
      <c r="B6" s="14">
        <v>1</v>
      </c>
      <c r="C6" s="87" t="s">
        <v>29</v>
      </c>
      <c r="D6" s="87">
        <v>2200</v>
      </c>
      <c r="E6" s="87"/>
      <c r="F6" s="87">
        <f>ROUND(MAX(F$21,MIN($D6,F$23))*F$4,2)/2</f>
        <v>277.85000000000002</v>
      </c>
      <c r="G6" s="87"/>
      <c r="H6" s="87"/>
      <c r="I6" s="87">
        <f>ROUND(MAX(I$21,MIN($D6,I$23))*I$4,2)/2</f>
        <v>22.23</v>
      </c>
      <c r="J6" s="87">
        <f t="shared" ref="J6:J9" si="0">ROUND(MAX(J$21,MIN($D6,J$23))*J$4,2)</f>
        <v>289.04000000000002</v>
      </c>
      <c r="K6" s="87">
        <f>ROUND(MAX(K$21,MIN($D6,K$23))*2%+3,2)</f>
        <v>114.14</v>
      </c>
      <c r="L6" s="87">
        <f>ROUND(MAX(L$21,MIN($D6,L$23))*L$4,2)</f>
        <v>7.23</v>
      </c>
      <c r="M6" s="87">
        <f>SUM(E6:L6)</f>
        <v>710.49000000000012</v>
      </c>
      <c r="N6" s="26"/>
      <c r="O6" s="13"/>
      <c r="P6" s="13"/>
      <c r="R6" s="27"/>
    </row>
    <row r="7" spans="1:18" s="15" customFormat="1" ht="20.100000000000001" customHeight="1">
      <c r="A7" s="13"/>
      <c r="B7" s="14">
        <v>2</v>
      </c>
      <c r="C7" s="34" t="s">
        <v>75</v>
      </c>
      <c r="D7" s="87">
        <v>2200</v>
      </c>
      <c r="E7" s="87"/>
      <c r="F7" s="87">
        <f>ROUND(MAX(F$21,MIN($D7,F$23))*F$4,2)/2</f>
        <v>277.85000000000002</v>
      </c>
      <c r="G7" s="87"/>
      <c r="H7" s="87"/>
      <c r="I7" s="87">
        <f>ROUND(MAX(I$21,MIN($D7,I$23))*I$4,2)/2</f>
        <v>22.23</v>
      </c>
      <c r="J7" s="87">
        <f t="shared" si="0"/>
        <v>289.04000000000002</v>
      </c>
      <c r="K7" s="87">
        <f>ROUND(MAX(K$21,MIN($D7,K$23))*2%+3,2)</f>
        <v>114.14</v>
      </c>
      <c r="L7" s="87">
        <f>ROUND(MAX(L$21,MIN($D7,L$23))*L$4,2)</f>
        <v>7.23</v>
      </c>
      <c r="M7" s="87">
        <f t="shared" ref="M7:M9" si="1">SUM(E7:L7)</f>
        <v>710.49000000000012</v>
      </c>
      <c r="N7" s="26"/>
      <c r="O7" s="13"/>
      <c r="P7" s="13"/>
      <c r="R7" s="27"/>
    </row>
    <row r="8" spans="1:18" s="15" customFormat="1" ht="20.100000000000001" customHeight="1">
      <c r="A8" s="13"/>
      <c r="B8" s="14">
        <v>3</v>
      </c>
      <c r="C8" s="34" t="s">
        <v>103</v>
      </c>
      <c r="D8" s="87">
        <v>2200</v>
      </c>
      <c r="E8" s="87"/>
      <c r="F8" s="87">
        <f>ROUND(MAX(F$21,MIN($D8,F$23))*F$4,2)/2</f>
        <v>277.85000000000002</v>
      </c>
      <c r="G8" s="87"/>
      <c r="H8" s="87"/>
      <c r="I8" s="87">
        <f>ROUND(MAX(I$21,MIN($D8,I$23))*I$4,2)/2</f>
        <v>22.23</v>
      </c>
      <c r="J8" s="87">
        <f t="shared" si="0"/>
        <v>289.04000000000002</v>
      </c>
      <c r="K8" s="87">
        <f>ROUND(MAX(K$21,MIN($D8,K$23))*2%+3,2)</f>
        <v>114.14</v>
      </c>
      <c r="L8" s="87">
        <f>ROUND(MAX(L$21,MIN($D8,L$23))*L$4,2)</f>
        <v>7.23</v>
      </c>
      <c r="M8" s="87">
        <f t="shared" ref="M8" si="2">SUM(E8:L8)</f>
        <v>710.49000000000012</v>
      </c>
      <c r="N8" s="26"/>
      <c r="O8" s="13"/>
      <c r="P8" s="13"/>
      <c r="R8" s="27"/>
    </row>
    <row r="9" spans="1:18" s="15" customFormat="1" ht="20.100000000000001" customHeight="1">
      <c r="A9" s="13"/>
      <c r="B9" s="14">
        <v>4</v>
      </c>
      <c r="C9" s="34" t="s">
        <v>112</v>
      </c>
      <c r="D9" s="87">
        <v>2200</v>
      </c>
      <c r="E9" s="87"/>
      <c r="F9" s="87">
        <f>ROUND(MAX(F$21,MIN($D9,F$23))*F$4,2)/2</f>
        <v>277.85000000000002</v>
      </c>
      <c r="G9" s="87"/>
      <c r="H9" s="87"/>
      <c r="I9" s="87">
        <f>ROUND(MAX(I$21,MIN($D9,I$23))*I$4,2)/2</f>
        <v>22.23</v>
      </c>
      <c r="J9" s="87">
        <f t="shared" si="0"/>
        <v>289.04000000000002</v>
      </c>
      <c r="K9" s="87">
        <f>ROUND(MAX(K$21,MIN($D9,K$23))*2%+3,2)</f>
        <v>114.14</v>
      </c>
      <c r="L9" s="87"/>
      <c r="M9" s="87">
        <f t="shared" si="1"/>
        <v>703.2600000000001</v>
      </c>
      <c r="N9" s="28"/>
      <c r="O9" s="13"/>
      <c r="P9" s="13"/>
      <c r="R9" s="27"/>
    </row>
    <row r="10" spans="1:18" s="15" customFormat="1" ht="20.100000000000001" customHeight="1">
      <c r="A10" s="13"/>
      <c r="B10" s="251" t="s">
        <v>39</v>
      </c>
      <c r="C10" s="252"/>
      <c r="D10" s="253"/>
      <c r="E10" s="254">
        <f>SUM(E6:I9)</f>
        <v>1200.3200000000002</v>
      </c>
      <c r="F10" s="255"/>
      <c r="G10" s="255"/>
      <c r="H10" s="255"/>
      <c r="I10" s="256"/>
      <c r="J10" s="254">
        <f>SUM(J6:L9)</f>
        <v>1634.4100000000003</v>
      </c>
      <c r="K10" s="255"/>
      <c r="L10" s="256"/>
      <c r="M10" s="89">
        <f>SUM(M6:M9)</f>
        <v>2834.7300000000005</v>
      </c>
      <c r="N10" s="28"/>
      <c r="O10" s="13"/>
      <c r="P10" s="13"/>
      <c r="R10" s="27"/>
    </row>
    <row r="11" spans="1:18" s="15" customFormat="1" ht="20.100000000000001" customHeight="1">
      <c r="A11" s="13"/>
      <c r="B11" s="14">
        <v>4</v>
      </c>
      <c r="C11" s="87" t="s">
        <v>43</v>
      </c>
      <c r="D11" s="87">
        <v>2200</v>
      </c>
      <c r="E11" s="87"/>
      <c r="F11" s="87">
        <f>ROUND(MAX(F$21,MIN($D11,F$23))*F$4,2)/2</f>
        <v>277.85000000000002</v>
      </c>
      <c r="G11" s="87"/>
      <c r="H11" s="87"/>
      <c r="I11" s="87">
        <f>ROUND(MAX(I$21,MIN($D11,I$23))*I$4,2)/2</f>
        <v>22.23</v>
      </c>
      <c r="J11" s="87">
        <f t="shared" ref="J11:J13" si="3">ROUND(MAX(J$21,MIN($D11,J$23))*J$4,2)</f>
        <v>289.04000000000002</v>
      </c>
      <c r="K11" s="87">
        <f>ROUND(MAX(K$21,MIN($D11,K$23))*2%+3,2)</f>
        <v>114.14</v>
      </c>
      <c r="L11" s="87">
        <f>ROUND(MAX(L$21,MIN($D11,L$23))*L$4,2)</f>
        <v>7.23</v>
      </c>
      <c r="M11" s="87">
        <f t="shared" ref="M11:M13" si="4">SUM(E11:L11)</f>
        <v>710.49000000000012</v>
      </c>
      <c r="N11" s="83" t="s">
        <v>107</v>
      </c>
      <c r="O11" s="13"/>
      <c r="P11" s="13"/>
      <c r="R11" s="27"/>
    </row>
    <row r="12" spans="1:18" s="15" customFormat="1" ht="20.100000000000001" customHeight="1">
      <c r="A12" s="13"/>
      <c r="B12" s="14">
        <v>5</v>
      </c>
      <c r="C12" s="87" t="s">
        <v>40</v>
      </c>
      <c r="D12" s="87">
        <v>2200</v>
      </c>
      <c r="E12" s="87"/>
      <c r="F12" s="87">
        <f>ROUND(MAX(F$21,MIN($D12,F$23))*F$4,2)/2</f>
        <v>277.85000000000002</v>
      </c>
      <c r="G12" s="87"/>
      <c r="H12" s="87"/>
      <c r="I12" s="87">
        <f>ROUND(MAX(I$21,MIN($D12,I$23))*I$4,2)/2</f>
        <v>22.23</v>
      </c>
      <c r="J12" s="87">
        <f t="shared" si="3"/>
        <v>289.04000000000002</v>
      </c>
      <c r="K12" s="87">
        <f>ROUND(MAX(K$21,MIN($D12,K$23))*2%+3,2)</f>
        <v>114.14</v>
      </c>
      <c r="L12" s="87"/>
      <c r="M12" s="87">
        <f t="shared" si="4"/>
        <v>703.2600000000001</v>
      </c>
      <c r="N12" s="83" t="s">
        <v>107</v>
      </c>
      <c r="O12" s="13"/>
      <c r="P12" s="13"/>
      <c r="R12" s="27"/>
    </row>
    <row r="13" spans="1:18" s="15" customFormat="1" ht="20.100000000000001" customHeight="1">
      <c r="A13" s="13"/>
      <c r="B13" s="14">
        <v>6</v>
      </c>
      <c r="C13" s="87" t="s">
        <v>41</v>
      </c>
      <c r="D13" s="87">
        <v>2200</v>
      </c>
      <c r="E13" s="87"/>
      <c r="F13" s="87">
        <f>ROUND(MAX(F$21,MIN($D13,F$23))*F$4,2)/2</f>
        <v>277.85000000000002</v>
      </c>
      <c r="G13" s="87"/>
      <c r="H13" s="87"/>
      <c r="I13" s="87">
        <f>ROUND(MAX(I$21,MIN($D13,I$23))*I$4,2)/2</f>
        <v>22.23</v>
      </c>
      <c r="J13" s="87">
        <f t="shared" si="3"/>
        <v>289.04000000000002</v>
      </c>
      <c r="K13" s="87">
        <f>ROUND(MAX(K$21,MIN($D13,K$23))*2%+3,2)</f>
        <v>114.14</v>
      </c>
      <c r="L13" s="87">
        <f>ROUND(MAX(L$21,MIN($D13,L$23))*L$4,2)</f>
        <v>7.23</v>
      </c>
      <c r="M13" s="87">
        <f t="shared" si="4"/>
        <v>710.49000000000012</v>
      </c>
      <c r="N13" s="83" t="s">
        <v>107</v>
      </c>
      <c r="O13" s="13"/>
      <c r="P13" s="13"/>
      <c r="R13" s="27"/>
    </row>
    <row r="14" spans="1:18" s="15" customFormat="1" ht="15" customHeight="1">
      <c r="A14" s="13"/>
      <c r="B14" s="261" t="s">
        <v>39</v>
      </c>
      <c r="C14" s="262"/>
      <c r="D14" s="263"/>
      <c r="E14" s="254">
        <f>SUM(E11:I13)</f>
        <v>900.24000000000012</v>
      </c>
      <c r="F14" s="255"/>
      <c r="G14" s="255"/>
      <c r="H14" s="255"/>
      <c r="I14" s="256"/>
      <c r="J14" s="254">
        <f>SUM(J11:L13)</f>
        <v>1224.0000000000002</v>
      </c>
      <c r="K14" s="255"/>
      <c r="L14" s="256"/>
      <c r="M14" s="89">
        <f>SUM(M11:M13)</f>
        <v>2124.2400000000002</v>
      </c>
      <c r="N14" s="26"/>
      <c r="O14" s="30"/>
      <c r="P14" s="30"/>
      <c r="R14" s="31"/>
    </row>
    <row r="15" spans="1:18" s="15" customFormat="1" ht="15" customHeight="1">
      <c r="A15" s="13"/>
      <c r="B15" s="261" t="s">
        <v>44</v>
      </c>
      <c r="C15" s="262"/>
      <c r="D15" s="263"/>
      <c r="E15" s="257">
        <f>M10+M14</f>
        <v>4958.9700000000012</v>
      </c>
      <c r="F15" s="258"/>
      <c r="G15" s="258"/>
      <c r="H15" s="258"/>
      <c r="I15" s="258"/>
      <c r="J15" s="258"/>
      <c r="K15" s="258"/>
      <c r="L15" s="258"/>
      <c r="M15" s="259"/>
      <c r="N15" s="26"/>
      <c r="O15" s="30"/>
      <c r="P15" s="30"/>
      <c r="R15" s="31"/>
    </row>
    <row r="16" spans="1:18" s="15" customFormat="1" ht="20.100000000000001" customHeight="1">
      <c r="A16" s="13"/>
      <c r="B16" s="252"/>
      <c r="C16" s="252"/>
      <c r="D16" s="264"/>
      <c r="E16" s="264"/>
      <c r="F16" s="264"/>
      <c r="G16" s="264"/>
      <c r="H16" s="264"/>
      <c r="I16" s="264"/>
      <c r="J16" s="30"/>
      <c r="K16" s="30"/>
      <c r="L16" s="30"/>
      <c r="M16" s="30"/>
      <c r="N16" s="30"/>
      <c r="O16" s="30"/>
      <c r="P16" s="30"/>
      <c r="R16" s="31"/>
    </row>
    <row r="17" spans="1:18" s="15" customFormat="1" ht="20.100000000000001" customHeight="1">
      <c r="A17" s="13"/>
      <c r="B17" s="32" t="s">
        <v>35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R17" s="31"/>
    </row>
    <row r="18" spans="1:18" s="15" customFormat="1" ht="20.100000000000001" customHeight="1">
      <c r="A18" s="13"/>
      <c r="B18" s="21"/>
      <c r="R18" s="31"/>
    </row>
    <row r="19" spans="1:18" s="15" customFormat="1" ht="20.100000000000001" customHeight="1">
      <c r="A19" s="13"/>
      <c r="B19" s="21"/>
      <c r="E19" s="209" t="s">
        <v>34</v>
      </c>
      <c r="F19" s="210"/>
      <c r="G19" s="210"/>
      <c r="H19" s="210"/>
      <c r="I19" s="211"/>
      <c r="J19" s="209" t="s">
        <v>23</v>
      </c>
      <c r="K19" s="210"/>
      <c r="L19" s="211"/>
      <c r="M19" s="224" t="s">
        <v>30</v>
      </c>
      <c r="R19" s="31"/>
    </row>
    <row r="20" spans="1:18" s="15" customFormat="1" ht="20.100000000000001" customHeight="1">
      <c r="A20" s="13"/>
      <c r="B20" s="21"/>
      <c r="E20" s="91" t="s">
        <v>24</v>
      </c>
      <c r="F20" s="91" t="s">
        <v>25</v>
      </c>
      <c r="G20" s="91" t="s">
        <v>26</v>
      </c>
      <c r="H20" s="91" t="s">
        <v>27</v>
      </c>
      <c r="I20" s="91" t="s">
        <v>28</v>
      </c>
      <c r="J20" s="91" t="s">
        <v>24</v>
      </c>
      <c r="K20" s="84" t="s">
        <v>25</v>
      </c>
      <c r="L20" s="91" t="s">
        <v>26</v>
      </c>
      <c r="M20" s="226"/>
      <c r="R20" s="31"/>
    </row>
    <row r="21" spans="1:18" s="15" customFormat="1" ht="20.100000000000001" customHeight="1">
      <c r="A21" s="13"/>
      <c r="B21" s="21"/>
      <c r="D21" s="87" t="s">
        <v>38</v>
      </c>
      <c r="E21" s="87">
        <v>3613</v>
      </c>
      <c r="F21" s="87">
        <v>5557</v>
      </c>
      <c r="G21" s="87">
        <v>3613</v>
      </c>
      <c r="H21" s="87">
        <v>4713</v>
      </c>
      <c r="I21" s="87">
        <v>5557</v>
      </c>
      <c r="J21" s="87">
        <v>3613</v>
      </c>
      <c r="K21" s="87">
        <v>5557</v>
      </c>
      <c r="L21" s="87">
        <v>3613</v>
      </c>
      <c r="M21" s="87"/>
      <c r="R21" s="31"/>
    </row>
    <row r="22" spans="1:18" s="15" customFormat="1" ht="20.100000000000001" customHeight="1">
      <c r="A22" s="13"/>
      <c r="B22" s="21"/>
      <c r="D22" s="87" t="s">
        <v>36</v>
      </c>
      <c r="E22" s="87">
        <f>ROUND(E21*$E$4,2)</f>
        <v>578.08000000000004</v>
      </c>
      <c r="F22" s="87">
        <f>ROUND(F21*$F$4,2)</f>
        <v>555.70000000000005</v>
      </c>
      <c r="G22" s="87">
        <f>ROUND(G21*$G$4,2)</f>
        <v>28.9</v>
      </c>
      <c r="H22" s="87">
        <f>ROUND(H21*$H$4,2)</f>
        <v>18.850000000000001</v>
      </c>
      <c r="I22" s="87">
        <f>ROUND(I21*$I$4,2)</f>
        <v>44.46</v>
      </c>
      <c r="J22" s="87">
        <f>ROUND(J21*$J$4,2)</f>
        <v>289.04000000000002</v>
      </c>
      <c r="K22" s="87">
        <f>ROUND(K21*2%+3,2)</f>
        <v>114.14</v>
      </c>
      <c r="L22" s="87">
        <f>ROUND(L21*$L$4,2)</f>
        <v>7.23</v>
      </c>
      <c r="M22" s="87">
        <f>SUM(E22:L22)</f>
        <v>1636.4000000000003</v>
      </c>
      <c r="R22" s="31"/>
    </row>
    <row r="23" spans="1:18" s="15" customFormat="1" ht="20.100000000000001" customHeight="1">
      <c r="A23" s="13"/>
      <c r="B23" s="21"/>
      <c r="D23" s="87" t="s">
        <v>31</v>
      </c>
      <c r="E23" s="87">
        <v>23565</v>
      </c>
      <c r="F23" s="87">
        <v>27786</v>
      </c>
      <c r="G23" s="87">
        <v>23565</v>
      </c>
      <c r="H23" s="87">
        <v>23565</v>
      </c>
      <c r="I23" s="87">
        <v>27786</v>
      </c>
      <c r="J23" s="87">
        <v>23565</v>
      </c>
      <c r="K23" s="87">
        <v>27786</v>
      </c>
      <c r="L23" s="87">
        <v>23565</v>
      </c>
      <c r="M23" s="87"/>
      <c r="R23" s="31"/>
    </row>
    <row r="24" spans="1:18" s="15" customFormat="1" ht="20.100000000000001" customHeight="1">
      <c r="A24" s="13"/>
      <c r="B24" s="21"/>
      <c r="D24" s="87" t="s">
        <v>37</v>
      </c>
      <c r="E24" s="87">
        <f>ROUND(E23*$E$4,2)</f>
        <v>3770.4</v>
      </c>
      <c r="F24" s="87">
        <f>ROUND(F23*$F$4,2)</f>
        <v>2778.6</v>
      </c>
      <c r="G24" s="87">
        <f>ROUND(G23*$G$4,2)</f>
        <v>188.52</v>
      </c>
      <c r="H24" s="87">
        <f>ROUND(H23*$H$4,2)</f>
        <v>94.26</v>
      </c>
      <c r="I24" s="87">
        <f>ROUND(I23*$I$4,2)</f>
        <v>222.29</v>
      </c>
      <c r="J24" s="87">
        <f>ROUND(J23*$J$4,2)</f>
        <v>1885.2</v>
      </c>
      <c r="K24" s="87">
        <f>ROUND(K23*2%,2)+3</f>
        <v>558.72</v>
      </c>
      <c r="L24" s="87">
        <f>ROUND(L23*$L$4,2)</f>
        <v>47.13</v>
      </c>
      <c r="M24" s="87">
        <f t="shared" ref="M24" si="5">SUM(E24:L24)</f>
        <v>9545.119999999999</v>
      </c>
      <c r="R24" s="31"/>
    </row>
    <row r="25" spans="1:18" s="15" customFormat="1" ht="20.100000000000001" customHeight="1">
      <c r="A25" s="13"/>
      <c r="B25" s="21"/>
      <c r="R25" s="31"/>
    </row>
    <row r="26" spans="1:18" s="15" customFormat="1" ht="20.100000000000001" customHeight="1">
      <c r="A26" s="13"/>
      <c r="B26" s="21"/>
      <c r="R26" s="31"/>
    </row>
    <row r="27" spans="1:18" s="15" customFormat="1" ht="20.100000000000001" customHeight="1">
      <c r="A27" s="13"/>
      <c r="B27" s="21"/>
      <c r="R27" s="31"/>
    </row>
    <row r="28" spans="1:18" s="15" customFormat="1" ht="20.100000000000001" customHeight="1">
      <c r="A28" s="13"/>
      <c r="B28" s="21"/>
      <c r="R28" s="31"/>
    </row>
    <row r="29" spans="1:18" s="15" customFormat="1" ht="20.100000000000001" customHeight="1">
      <c r="A29" s="13"/>
      <c r="B29" s="21"/>
      <c r="R29" s="31"/>
    </row>
    <row r="30" spans="1:18" s="15" customFormat="1" ht="20.100000000000001" customHeight="1">
      <c r="A30" s="13"/>
      <c r="B30" s="21"/>
      <c r="R30" s="31"/>
    </row>
    <row r="31" spans="1:18" ht="20.100000000000001" customHeight="1">
      <c r="O31" s="15"/>
    </row>
  </sheetData>
  <mergeCells count="23">
    <mergeCell ref="E19:I19"/>
    <mergeCell ref="J19:L19"/>
    <mergeCell ref="M19:M20"/>
    <mergeCell ref="B14:D14"/>
    <mergeCell ref="E14:I14"/>
    <mergeCell ref="J14:L14"/>
    <mergeCell ref="B15:D15"/>
    <mergeCell ref="E15:M15"/>
    <mergeCell ref="B16:C16"/>
    <mergeCell ref="D16:I16"/>
    <mergeCell ref="N3:N5"/>
    <mergeCell ref="O3:O5"/>
    <mergeCell ref="P3:P5"/>
    <mergeCell ref="B10:D10"/>
    <mergeCell ref="E10:I10"/>
    <mergeCell ref="J10:L10"/>
    <mergeCell ref="B1:M1"/>
    <mergeCell ref="B3:B5"/>
    <mergeCell ref="C3:C5"/>
    <mergeCell ref="D3:D5"/>
    <mergeCell ref="E3:I3"/>
    <mergeCell ref="J3:L3"/>
    <mergeCell ref="M3:M5"/>
  </mergeCells>
  <phoneticPr fontId="1" type="noConversion"/>
  <pageMargins left="0.34" right="0.17" top="0.36" bottom="0.75" header="0.17" footer="0.3"/>
  <pageSetup paperSize="9"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9"/>
  <sheetViews>
    <sheetView workbookViewId="0">
      <selection activeCell="X24" sqref="X24"/>
    </sheetView>
  </sheetViews>
  <sheetFormatPr defaultColWidth="9.109375" defaultRowHeight="20.100000000000001" customHeight="1"/>
  <cols>
    <col min="1" max="1" width="1.33203125" style="82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hidden="1" customWidth="1"/>
    <col min="13" max="18" width="8.77734375" style="22" customWidth="1"/>
    <col min="19" max="19" width="8.77734375" style="12" customWidth="1"/>
    <col min="20" max="20" width="8.77734375" style="22" customWidth="1"/>
    <col min="21" max="21" width="9" style="15" customWidth="1"/>
    <col min="22" max="22" width="9" style="22" customWidth="1"/>
    <col min="23" max="23" width="6.6640625" style="12" customWidth="1"/>
    <col min="24" max="26" width="10.77734375" style="12" customWidth="1"/>
    <col min="27" max="16384" width="9.109375" style="12"/>
  </cols>
  <sheetData>
    <row r="1" spans="1:26" ht="21">
      <c r="B1" s="240" t="s">
        <v>105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</row>
    <row r="2" spans="1:26" ht="14.4">
      <c r="B2" s="241" t="s">
        <v>49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</row>
    <row r="3" spans="1:26" ht="14.4">
      <c r="B3" s="242" t="s">
        <v>57</v>
      </c>
      <c r="C3" s="227" t="s">
        <v>81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66" t="s">
        <v>108</v>
      </c>
      <c r="V3" s="233" t="s">
        <v>87</v>
      </c>
      <c r="W3" s="227" t="s">
        <v>88</v>
      </c>
      <c r="X3" s="227" t="s">
        <v>63</v>
      </c>
      <c r="Y3" s="269" t="s">
        <v>101</v>
      </c>
      <c r="Z3" s="269" t="s">
        <v>102</v>
      </c>
    </row>
    <row r="4" spans="1:26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74">
        <v>0.16</v>
      </c>
      <c r="N4" s="74">
        <v>0.1</v>
      </c>
      <c r="O4" s="74">
        <v>8.0000000000000002E-3</v>
      </c>
      <c r="P4" s="74">
        <v>4.0000000000000001E-3</v>
      </c>
      <c r="Q4" s="74">
        <v>8.0000000000000002E-3</v>
      </c>
      <c r="R4" s="74">
        <v>0.08</v>
      </c>
      <c r="S4" s="78" t="s">
        <v>0</v>
      </c>
      <c r="T4" s="74">
        <v>2E-3</v>
      </c>
      <c r="U4" s="267"/>
      <c r="V4" s="234"/>
      <c r="W4" s="201"/>
      <c r="X4" s="201"/>
      <c r="Y4" s="270"/>
      <c r="Z4" s="270"/>
    </row>
    <row r="5" spans="1:26" ht="14.4">
      <c r="B5" s="244"/>
      <c r="C5" s="202"/>
      <c r="D5" s="202"/>
      <c r="E5" s="77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74" t="s">
        <v>53</v>
      </c>
      <c r="N5" s="74" t="s">
        <v>46</v>
      </c>
      <c r="O5" s="74" t="s">
        <v>51</v>
      </c>
      <c r="P5" s="74" t="s">
        <v>52</v>
      </c>
      <c r="Q5" s="74" t="s">
        <v>64</v>
      </c>
      <c r="R5" s="74" t="s">
        <v>53</v>
      </c>
      <c r="S5" s="78" t="s">
        <v>93</v>
      </c>
      <c r="T5" s="74" t="s">
        <v>51</v>
      </c>
      <c r="U5" s="268"/>
      <c r="V5" s="207"/>
      <c r="W5" s="202"/>
      <c r="X5" s="202"/>
      <c r="Y5" s="271"/>
      <c r="Z5" s="271"/>
    </row>
    <row r="6" spans="1:26" s="15" customFormat="1" ht="14.4">
      <c r="A6" s="13"/>
      <c r="B6" s="14">
        <v>1</v>
      </c>
      <c r="C6" s="72" t="s">
        <v>54</v>
      </c>
      <c r="D6" s="72">
        <v>7000</v>
      </c>
      <c r="E6" s="72">
        <v>22</v>
      </c>
      <c r="F6" s="72">
        <v>22</v>
      </c>
      <c r="G6" s="72">
        <f>E6-F6</f>
        <v>0</v>
      </c>
      <c r="H6" s="72">
        <f>D6/21.75*G6</f>
        <v>0</v>
      </c>
      <c r="I6" s="72"/>
      <c r="J6" s="72"/>
      <c r="K6" s="72">
        <f>D6-H6+I6+J6</f>
        <v>7000</v>
      </c>
      <c r="L6" s="72">
        <v>2200</v>
      </c>
      <c r="M6" s="72"/>
      <c r="N6" s="72">
        <f>ROUND(MAX(N$19,MIN($L6,N$21))*N$4,2)/2</f>
        <v>277.85000000000002</v>
      </c>
      <c r="O6" s="72"/>
      <c r="P6" s="72"/>
      <c r="Q6" s="72">
        <f>ROUND(MAX(Q$19,MIN($L6,Q$21))*Q$4,2)/2</f>
        <v>22.23</v>
      </c>
      <c r="R6" s="72">
        <f>ROUND(MAX(R$19,MIN($L6,R$21))*R$4,2)</f>
        <v>289.04000000000002</v>
      </c>
      <c r="S6" s="72">
        <f>ROUND(MAX(S$19,MIN($L6,S$21))*2%+3,2)</f>
        <v>114.14</v>
      </c>
      <c r="T6" s="72">
        <f>ROUND(MAX(T$19,MIN($L6,T$21))*T$4,2)</f>
        <v>7.23</v>
      </c>
      <c r="U6" s="72">
        <f>R6+S6+T6</f>
        <v>410.41</v>
      </c>
      <c r="V6" s="72">
        <f>5000-5000-U6</f>
        <v>-410.41</v>
      </c>
      <c r="W6" s="72">
        <f>ROUND(MAX(V6*{3;10;20;25;30;35;45}%-{0;21;141;266;441;716;1516}*10,),2)</f>
        <v>0</v>
      </c>
      <c r="X6" s="72">
        <f>K6-R6-S6-T6-W6</f>
        <v>6589.59</v>
      </c>
      <c r="Y6" s="72">
        <v>4589.59</v>
      </c>
      <c r="Z6" s="72">
        <f>X6-Y6</f>
        <v>2000</v>
      </c>
    </row>
    <row r="7" spans="1:26" s="15" customFormat="1" ht="14.4">
      <c r="A7" s="13"/>
      <c r="B7" s="14">
        <v>2</v>
      </c>
      <c r="C7" s="35" t="s">
        <v>75</v>
      </c>
      <c r="D7" s="72">
        <v>2610.41</v>
      </c>
      <c r="E7" s="72">
        <v>22</v>
      </c>
      <c r="F7" s="72">
        <v>22</v>
      </c>
      <c r="G7" s="72">
        <f t="shared" ref="G7" si="0">E7-F7</f>
        <v>0</v>
      </c>
      <c r="H7" s="72">
        <f>4000/21.75*G7</f>
        <v>0</v>
      </c>
      <c r="I7" s="72"/>
      <c r="J7" s="72"/>
      <c r="K7" s="72">
        <f t="shared" ref="K7:K9" si="1">D7-H7+I7+J7</f>
        <v>2610.41</v>
      </c>
      <c r="L7" s="72">
        <v>2200</v>
      </c>
      <c r="M7" s="72"/>
      <c r="N7" s="72">
        <f>ROUND(MAX(N$19,MIN($L7,N$21))*N$4,2)/2</f>
        <v>277.85000000000002</v>
      </c>
      <c r="O7" s="72"/>
      <c r="P7" s="72"/>
      <c r="Q7" s="72">
        <f>ROUND(MAX(Q$19,MIN($L7,Q$21))*Q$4,2)/2</f>
        <v>22.23</v>
      </c>
      <c r="R7" s="72">
        <f>ROUND(MAX(R$19,MIN($L7,R$21))*R$4,2)</f>
        <v>289.04000000000002</v>
      </c>
      <c r="S7" s="72">
        <f>ROUND(MAX(S$19,MIN($L7,S$21))*2%+3,2)</f>
        <v>114.14</v>
      </c>
      <c r="T7" s="72">
        <f>ROUND(MAX(T$19,MIN($L7,T$21))*T$4,2)</f>
        <v>7.23</v>
      </c>
      <c r="U7" s="72">
        <f t="shared" ref="U7" si="2">R7+S7+T7</f>
        <v>410.41</v>
      </c>
      <c r="V7" s="72">
        <f t="shared" ref="V7:V9" si="3">5000-5000-U7</f>
        <v>-410.41</v>
      </c>
      <c r="W7" s="72">
        <f>ROUND(MAX(V7*{3;10;20;25;30;35;45}%-{0;21;141;266;441;716;1516}*10,),2)</f>
        <v>0</v>
      </c>
      <c r="X7" s="72">
        <f>K7-R7-S7-T7-W7</f>
        <v>2200</v>
      </c>
      <c r="Y7" s="72">
        <v>2200</v>
      </c>
      <c r="Z7" s="72"/>
    </row>
    <row r="8" spans="1:26" s="15" customFormat="1" ht="14.4">
      <c r="A8" s="13"/>
      <c r="B8" s="14">
        <v>3</v>
      </c>
      <c r="C8" s="35" t="s">
        <v>76</v>
      </c>
      <c r="D8" s="72">
        <v>2200</v>
      </c>
      <c r="E8" s="72">
        <v>22</v>
      </c>
      <c r="F8" s="72">
        <v>22</v>
      </c>
      <c r="G8" s="72">
        <f>E8-F8</f>
        <v>0</v>
      </c>
      <c r="H8" s="72">
        <f>4000/21.75*G8</f>
        <v>0</v>
      </c>
      <c r="I8" s="72"/>
      <c r="J8" s="72"/>
      <c r="K8" s="72">
        <f t="shared" si="1"/>
        <v>2200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>
        <f t="shared" si="3"/>
        <v>0</v>
      </c>
      <c r="W8" s="72">
        <f>ROUND(MAX(V8*{3;10;20;25;30;35;45}%-{0;21;141;266;441;716;1516}*10,),2)</f>
        <v>0</v>
      </c>
      <c r="X8" s="72">
        <f>K8-R8-S8-T8-W8</f>
        <v>2200</v>
      </c>
      <c r="Y8" s="72">
        <v>2200</v>
      </c>
      <c r="Z8" s="72"/>
    </row>
    <row r="9" spans="1:26" s="15" customFormat="1" ht="14.4">
      <c r="A9" s="13"/>
      <c r="B9" s="14">
        <v>4</v>
      </c>
      <c r="C9" s="35" t="s">
        <v>104</v>
      </c>
      <c r="D9" s="72">
        <v>2200</v>
      </c>
      <c r="E9" s="72">
        <v>22</v>
      </c>
      <c r="F9" s="72">
        <v>22</v>
      </c>
      <c r="G9" s="72">
        <f>E9-F9</f>
        <v>0</v>
      </c>
      <c r="H9" s="72">
        <f>4000/21.75*G9</f>
        <v>0</v>
      </c>
      <c r="I9" s="72"/>
      <c r="J9" s="72"/>
      <c r="K9" s="72">
        <f t="shared" si="1"/>
        <v>2200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>
        <f t="shared" si="3"/>
        <v>0</v>
      </c>
      <c r="W9" s="72">
        <f>ROUND(MAX(V9*{3;10;20;25;30;35;45}%-{0;21;141;266;441;716;1516}*10,),2)</f>
        <v>0</v>
      </c>
      <c r="X9" s="72">
        <f>K9-R9-S9-T9-W9</f>
        <v>2200</v>
      </c>
      <c r="Y9" s="72">
        <v>2200</v>
      </c>
      <c r="Z9" s="72"/>
    </row>
    <row r="10" spans="1:26" s="15" customFormat="1" ht="14.4" hidden="1">
      <c r="A10" s="13"/>
      <c r="B10" s="14"/>
      <c r="C10" s="35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s="15" customFormat="1" ht="13.8">
      <c r="A11" s="13"/>
      <c r="B11" s="228" t="s">
        <v>65</v>
      </c>
      <c r="C11" s="228"/>
      <c r="D11" s="215">
        <f>SUM(D6:D10)</f>
        <v>14010.41</v>
      </c>
      <c r="E11" s="73"/>
      <c r="F11" s="73"/>
      <c r="G11" s="73"/>
      <c r="H11" s="215">
        <f>SUM(H6:H10)</f>
        <v>0</v>
      </c>
      <c r="I11" s="215">
        <f>SUM(I6:I10)</f>
        <v>0</v>
      </c>
      <c r="J11" s="215">
        <f>SUM(J6:J10)</f>
        <v>0</v>
      </c>
      <c r="K11" s="215">
        <f>SUM(K6:K10)</f>
        <v>14010.41</v>
      </c>
      <c r="L11" s="215"/>
      <c r="M11" s="72">
        <f>SUM(M6:M10)</f>
        <v>0</v>
      </c>
      <c r="N11" s="72">
        <f t="shared" ref="N11:T11" si="4">SUM(N6:N10)</f>
        <v>555.70000000000005</v>
      </c>
      <c r="O11" s="72">
        <f t="shared" si="4"/>
        <v>0</v>
      </c>
      <c r="P11" s="72">
        <f t="shared" si="4"/>
        <v>0</v>
      </c>
      <c r="Q11" s="72">
        <f t="shared" si="4"/>
        <v>44.46</v>
      </c>
      <c r="R11" s="72">
        <f t="shared" si="4"/>
        <v>578.08000000000004</v>
      </c>
      <c r="S11" s="72">
        <f t="shared" si="4"/>
        <v>228.28</v>
      </c>
      <c r="T11" s="72">
        <f t="shared" si="4"/>
        <v>14.46</v>
      </c>
      <c r="U11" s="208"/>
      <c r="V11" s="208"/>
      <c r="W11" s="215">
        <f>SUM(W6:W10)</f>
        <v>0</v>
      </c>
      <c r="X11" s="215">
        <f>SUM(X6:X10)</f>
        <v>13189.59</v>
      </c>
      <c r="Y11" s="208">
        <f t="shared" ref="Y11:Z11" si="5">SUM(Y6:Y10)</f>
        <v>11189.59</v>
      </c>
      <c r="Z11" s="208">
        <f t="shared" si="5"/>
        <v>2000</v>
      </c>
    </row>
    <row r="12" spans="1:26" s="15" customFormat="1" ht="13.8">
      <c r="A12" s="13"/>
      <c r="B12" s="228"/>
      <c r="C12" s="228"/>
      <c r="D12" s="215"/>
      <c r="E12" s="73"/>
      <c r="F12" s="73"/>
      <c r="G12" s="73"/>
      <c r="H12" s="215"/>
      <c r="I12" s="215"/>
      <c r="J12" s="215"/>
      <c r="K12" s="215"/>
      <c r="L12" s="215"/>
      <c r="M12" s="215">
        <f>SUM(M11:Q11)</f>
        <v>600.16000000000008</v>
      </c>
      <c r="N12" s="215"/>
      <c r="O12" s="215"/>
      <c r="P12" s="215"/>
      <c r="Q12" s="215"/>
      <c r="R12" s="215">
        <f>SUM(R11:T11)</f>
        <v>820.82</v>
      </c>
      <c r="S12" s="215"/>
      <c r="T12" s="215"/>
      <c r="U12" s="208"/>
      <c r="V12" s="208"/>
      <c r="W12" s="215"/>
      <c r="X12" s="215"/>
      <c r="Y12" s="208"/>
      <c r="Z12" s="208"/>
    </row>
    <row r="13" spans="1:26" s="15" customFormat="1" ht="13.8">
      <c r="A13" s="13"/>
      <c r="B13" s="228"/>
      <c r="C13" s="228"/>
      <c r="D13" s="215"/>
      <c r="E13" s="73"/>
      <c r="F13" s="73"/>
      <c r="G13" s="73"/>
      <c r="H13" s="215"/>
      <c r="I13" s="215"/>
      <c r="J13" s="215"/>
      <c r="K13" s="215"/>
      <c r="L13" s="215"/>
      <c r="M13" s="215">
        <f>M12+R12</f>
        <v>1420.98</v>
      </c>
      <c r="N13" s="215"/>
      <c r="O13" s="215"/>
      <c r="P13" s="215"/>
      <c r="Q13" s="215"/>
      <c r="R13" s="215"/>
      <c r="S13" s="215"/>
      <c r="T13" s="215"/>
      <c r="U13" s="208"/>
      <c r="V13" s="208"/>
      <c r="W13" s="215"/>
      <c r="X13" s="215"/>
      <c r="Y13" s="208"/>
      <c r="Z13" s="208"/>
    </row>
    <row r="14" spans="1:26" s="20" customFormat="1" ht="13.8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</row>
    <row r="15" spans="1:26" s="15" customFormat="1" ht="14.4">
      <c r="A15" s="13"/>
      <c r="B15" s="212" t="s">
        <v>110</v>
      </c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</row>
    <row r="16" spans="1:26" s="15" customFormat="1" ht="14.4">
      <c r="A16" s="13"/>
      <c r="B16" s="213" t="s">
        <v>66</v>
      </c>
      <c r="C16" s="213"/>
    </row>
    <row r="17" spans="1:23" s="15" customFormat="1" ht="14.4">
      <c r="A17" s="13"/>
      <c r="B17" s="214">
        <f>K11+M12</f>
        <v>14610.57</v>
      </c>
      <c r="C17" s="214"/>
      <c r="M17" s="209" t="s">
        <v>47</v>
      </c>
      <c r="N17" s="210"/>
      <c r="O17" s="210"/>
      <c r="P17" s="210"/>
      <c r="Q17" s="211"/>
      <c r="R17" s="209" t="s">
        <v>48</v>
      </c>
      <c r="S17" s="210"/>
      <c r="T17" s="211"/>
      <c r="U17" s="208" t="s">
        <v>56</v>
      </c>
    </row>
    <row r="18" spans="1:23" s="15" customFormat="1" ht="14.4">
      <c r="A18" s="13"/>
      <c r="M18" s="75" t="s">
        <v>53</v>
      </c>
      <c r="N18" s="75" t="s">
        <v>93</v>
      </c>
      <c r="O18" s="75" t="s">
        <v>51</v>
      </c>
      <c r="P18" s="75" t="s">
        <v>52</v>
      </c>
      <c r="Q18" s="75" t="s">
        <v>64</v>
      </c>
      <c r="R18" s="75" t="s">
        <v>53</v>
      </c>
      <c r="S18" s="76" t="s">
        <v>93</v>
      </c>
      <c r="T18" s="75" t="s">
        <v>51</v>
      </c>
      <c r="U18" s="208"/>
    </row>
    <row r="19" spans="1:23" s="15" customFormat="1" ht="14.4">
      <c r="A19" s="13"/>
      <c r="B19" s="21"/>
      <c r="L19" s="72" t="s">
        <v>67</v>
      </c>
      <c r="M19" s="72">
        <v>3613</v>
      </c>
      <c r="N19" s="72">
        <v>5557</v>
      </c>
      <c r="O19" s="72">
        <v>3613</v>
      </c>
      <c r="P19" s="72">
        <v>4713</v>
      </c>
      <c r="Q19" s="72">
        <v>5557</v>
      </c>
      <c r="R19" s="72">
        <v>3613</v>
      </c>
      <c r="S19" s="72">
        <v>5557</v>
      </c>
      <c r="T19" s="72">
        <v>3613</v>
      </c>
      <c r="U19" s="72"/>
    </row>
    <row r="20" spans="1:23" s="15" customFormat="1" ht="14.4">
      <c r="A20" s="13"/>
      <c r="B20" s="21"/>
      <c r="L20" s="72" t="s">
        <v>68</v>
      </c>
      <c r="M20" s="72">
        <f>ROUND(M19*$M$4,2)</f>
        <v>578.08000000000004</v>
      </c>
      <c r="N20" s="72">
        <f>ROUND(N19*$N$4,2)</f>
        <v>555.70000000000005</v>
      </c>
      <c r="O20" s="72">
        <f>ROUND(O19*$O$4,2)</f>
        <v>28.9</v>
      </c>
      <c r="P20" s="72">
        <f>ROUND(P19*$P$4,2)</f>
        <v>18.850000000000001</v>
      </c>
      <c r="Q20" s="72">
        <f>ROUND(Q19*$Q$4,2)</f>
        <v>44.46</v>
      </c>
      <c r="R20" s="72">
        <f>ROUND(R19*$R$4,2)</f>
        <v>289.04000000000002</v>
      </c>
      <c r="S20" s="72">
        <f>ROUND(S19*2%+3,2)</f>
        <v>114.14</v>
      </c>
      <c r="T20" s="72">
        <f>ROUND(T19*$T$4,2)</f>
        <v>7.23</v>
      </c>
      <c r="U20" s="72">
        <f>SUM(M20:T20)</f>
        <v>1636.4000000000003</v>
      </c>
    </row>
    <row r="21" spans="1:23" s="15" customFormat="1" ht="14.4">
      <c r="A21" s="13"/>
      <c r="B21" s="21"/>
      <c r="L21" s="72" t="s">
        <v>69</v>
      </c>
      <c r="M21" s="72">
        <v>23565</v>
      </c>
      <c r="N21" s="72">
        <v>27786</v>
      </c>
      <c r="O21" s="72">
        <v>23565</v>
      </c>
      <c r="P21" s="72">
        <v>23565</v>
      </c>
      <c r="Q21" s="72">
        <v>27786</v>
      </c>
      <c r="R21" s="72">
        <v>23565</v>
      </c>
      <c r="S21" s="72">
        <v>27786</v>
      </c>
      <c r="T21" s="72">
        <v>23565</v>
      </c>
      <c r="U21" s="72"/>
    </row>
    <row r="22" spans="1:23" s="15" customFormat="1" ht="14.4">
      <c r="A22" s="13"/>
      <c r="B22" s="21"/>
      <c r="L22" s="72" t="s">
        <v>70</v>
      </c>
      <c r="M22" s="72">
        <f>ROUND(M21*$M$4,2)</f>
        <v>3770.4</v>
      </c>
      <c r="N22" s="72">
        <f>ROUND(N21*$N$4,2)</f>
        <v>2778.6</v>
      </c>
      <c r="O22" s="72">
        <f>ROUND(O21*$O$4,2)</f>
        <v>188.52</v>
      </c>
      <c r="P22" s="72">
        <f>ROUND(P21*$P$4,2)</f>
        <v>94.26</v>
      </c>
      <c r="Q22" s="72">
        <f>ROUND(Q21*$Q$4,2)</f>
        <v>222.29</v>
      </c>
      <c r="R22" s="72">
        <f>ROUND(R21*$R$4,2)</f>
        <v>1885.2</v>
      </c>
      <c r="S22" s="72">
        <f>ROUND(S21*2%,2)+3</f>
        <v>558.72</v>
      </c>
      <c r="T22" s="72">
        <f>ROUND(T21*$T$4,2)</f>
        <v>47.13</v>
      </c>
      <c r="U22" s="72">
        <f>SUM(M22:T22)</f>
        <v>9545.119999999999</v>
      </c>
    </row>
    <row r="23" spans="1:23" s="15" customFormat="1" ht="13.8">
      <c r="A23" s="13"/>
      <c r="B23" s="21"/>
    </row>
    <row r="24" spans="1:23" s="15" customFormat="1" ht="13.8">
      <c r="A24" s="13"/>
      <c r="B24" s="21"/>
    </row>
    <row r="25" spans="1:23" s="15" customFormat="1" ht="13.8">
      <c r="A25" s="13"/>
      <c r="B25" s="21"/>
    </row>
    <row r="26" spans="1:23" s="15" customFormat="1" ht="13.8">
      <c r="A26" s="13"/>
      <c r="B26" s="21"/>
    </row>
    <row r="27" spans="1:23" s="15" customFormat="1" ht="13.8">
      <c r="A27" s="13"/>
      <c r="B27" s="21"/>
    </row>
    <row r="28" spans="1:23" s="15" customFormat="1" ht="13.8">
      <c r="A28" s="13"/>
      <c r="B28" s="21"/>
    </row>
    <row r="29" spans="1:23" ht="13.8">
      <c r="W29" s="15"/>
    </row>
  </sheetData>
  <mergeCells count="40"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  <mergeCell ref="M17:Q17"/>
    <mergeCell ref="R17:T17"/>
    <mergeCell ref="U17:U18"/>
    <mergeCell ref="B17:C17"/>
    <mergeCell ref="L11:L13"/>
    <mergeCell ref="U11:U13"/>
    <mergeCell ref="M12:Q12"/>
    <mergeCell ref="R12:T12"/>
    <mergeCell ref="M13:T13"/>
    <mergeCell ref="B11:C13"/>
    <mergeCell ref="D11:D13"/>
    <mergeCell ref="H11:H13"/>
    <mergeCell ref="I11:I13"/>
    <mergeCell ref="J11:J13"/>
    <mergeCell ref="K11:K13"/>
    <mergeCell ref="B16:C16"/>
    <mergeCell ref="Y3:Y5"/>
    <mergeCell ref="Z3:Z5"/>
    <mergeCell ref="Y11:Y13"/>
    <mergeCell ref="Z11:Z13"/>
    <mergeCell ref="B15:X15"/>
    <mergeCell ref="V11:V13"/>
    <mergeCell ref="W11:W13"/>
    <mergeCell ref="X11:X13"/>
    <mergeCell ref="M3:Q3"/>
    <mergeCell ref="R3:T3"/>
    <mergeCell ref="U3:U5"/>
    <mergeCell ref="V3:V5"/>
    <mergeCell ref="W3:W5"/>
    <mergeCell ref="X3:X5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Y29"/>
  <sheetViews>
    <sheetView workbookViewId="0">
      <selection activeCell="N27" sqref="N27"/>
    </sheetView>
  </sheetViews>
  <sheetFormatPr defaultColWidth="9.109375" defaultRowHeight="20.100000000000001" customHeight="1"/>
  <cols>
    <col min="1" max="1" width="1.33203125" style="82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9.6640625" style="12" customWidth="1"/>
    <col min="12" max="12" width="9" style="12" hidden="1" customWidth="1"/>
    <col min="13" max="13" width="8.109375" style="22" customWidth="1"/>
    <col min="14" max="14" width="8.77734375" style="22" bestFit="1" customWidth="1"/>
    <col min="15" max="16" width="8.6640625" style="22" customWidth="1"/>
    <col min="17" max="17" width="8.77734375" style="22" customWidth="1"/>
    <col min="18" max="18" width="8.77734375" style="22" bestFit="1" customWidth="1"/>
    <col min="19" max="19" width="8.77734375" style="12" bestFit="1" customWidth="1"/>
    <col min="20" max="20" width="8.77734375" style="22" bestFit="1" customWidth="1"/>
    <col min="21" max="21" width="9" style="15" hidden="1" customWidth="1"/>
    <col min="22" max="22" width="9" style="22" hidden="1" customWidth="1"/>
    <col min="23" max="23" width="5.21875" style="12" hidden="1" customWidth="1"/>
    <col min="24" max="24" width="10.77734375" style="12" customWidth="1"/>
    <col min="25" max="25" width="52.109375" style="12" bestFit="1" customWidth="1"/>
    <col min="26" max="16384" width="9.109375" style="12"/>
  </cols>
  <sheetData>
    <row r="1" spans="1:25" ht="21">
      <c r="B1" s="240" t="s">
        <v>105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</row>
    <row r="2" spans="1:25" ht="14.4">
      <c r="B2" s="241" t="s">
        <v>49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</row>
    <row r="3" spans="1:25" ht="14.4">
      <c r="B3" s="242" t="s">
        <v>57</v>
      </c>
      <c r="C3" s="227" t="s">
        <v>81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24" t="s">
        <v>62</v>
      </c>
      <c r="V3" s="233" t="s">
        <v>87</v>
      </c>
      <c r="W3" s="227" t="s">
        <v>88</v>
      </c>
      <c r="X3" s="227" t="s">
        <v>63</v>
      </c>
    </row>
    <row r="4" spans="1:25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74">
        <v>0.16</v>
      </c>
      <c r="N4" s="74">
        <v>0.1</v>
      </c>
      <c r="O4" s="74">
        <v>8.0000000000000002E-3</v>
      </c>
      <c r="P4" s="74">
        <v>4.0000000000000001E-3</v>
      </c>
      <c r="Q4" s="74">
        <v>8.0000000000000002E-3</v>
      </c>
      <c r="R4" s="74">
        <v>0.08</v>
      </c>
      <c r="S4" s="78" t="s">
        <v>0</v>
      </c>
      <c r="T4" s="74">
        <v>2E-3</v>
      </c>
      <c r="U4" s="225"/>
      <c r="V4" s="234"/>
      <c r="W4" s="201"/>
      <c r="X4" s="201"/>
    </row>
    <row r="5" spans="1:25" ht="14.4">
      <c r="B5" s="244"/>
      <c r="C5" s="202"/>
      <c r="D5" s="202"/>
      <c r="E5" s="77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74" t="s">
        <v>53</v>
      </c>
      <c r="N5" s="74" t="s">
        <v>46</v>
      </c>
      <c r="O5" s="74" t="s">
        <v>51</v>
      </c>
      <c r="P5" s="74" t="s">
        <v>52</v>
      </c>
      <c r="Q5" s="74" t="s">
        <v>64</v>
      </c>
      <c r="R5" s="74" t="s">
        <v>53</v>
      </c>
      <c r="S5" s="78" t="s">
        <v>93</v>
      </c>
      <c r="T5" s="74" t="s">
        <v>51</v>
      </c>
      <c r="U5" s="226"/>
      <c r="V5" s="207"/>
      <c r="W5" s="202"/>
      <c r="X5" s="202"/>
    </row>
    <row r="6" spans="1:25" s="15" customFormat="1" ht="14.4">
      <c r="A6" s="13"/>
      <c r="B6" s="14">
        <v>1</v>
      </c>
      <c r="C6" s="72" t="s">
        <v>54</v>
      </c>
      <c r="D6" s="72">
        <v>5000</v>
      </c>
      <c r="E6" s="72">
        <v>22</v>
      </c>
      <c r="F6" s="72">
        <v>22</v>
      </c>
      <c r="G6" s="72">
        <f>E6-F6</f>
        <v>0</v>
      </c>
      <c r="H6" s="72">
        <f>D6/21.75*G6</f>
        <v>0</v>
      </c>
      <c r="I6" s="72"/>
      <c r="J6" s="72"/>
      <c r="K6" s="72">
        <f>D6-H6+I6+J6</f>
        <v>5000</v>
      </c>
      <c r="L6" s="72">
        <v>2200</v>
      </c>
      <c r="M6" s="72"/>
      <c r="N6" s="72">
        <f>ROUND(MAX(N$19,MIN($L6,N$21))*N$4,2)/2</f>
        <v>277.85000000000002</v>
      </c>
      <c r="O6" s="72"/>
      <c r="P6" s="72"/>
      <c r="Q6" s="72">
        <f>ROUND(MAX(Q$19,MIN($L6,Q$21))*Q$4,2)/2</f>
        <v>22.23</v>
      </c>
      <c r="R6" s="72">
        <f>ROUND(MAX(R$19,MIN($L6,R$21))*R$4,2)</f>
        <v>289.04000000000002</v>
      </c>
      <c r="S6" s="72">
        <f>ROUND(MAX(S$19,MIN($L6,S$21))*2%+3,2)</f>
        <v>114.14</v>
      </c>
      <c r="T6" s="72">
        <f>ROUND(MAX(T$19,MIN($L6,T$21))*T$4,2)</f>
        <v>7.23</v>
      </c>
      <c r="U6" s="72">
        <f>5000</f>
        <v>5000</v>
      </c>
      <c r="V6" s="72">
        <f>K6-R6-S6-T6-U6</f>
        <v>-410.40999999999985</v>
      </c>
      <c r="W6" s="72">
        <f>ROUND(MAX(V6*{3;10;20;25;30;35;45}%-{0;21;141;266;441;716;1516}*10,),2)</f>
        <v>0</v>
      </c>
      <c r="X6" s="72">
        <f>K6-R6-S6-T6-W6</f>
        <v>4589.59</v>
      </c>
      <c r="Y6" s="16"/>
    </row>
    <row r="7" spans="1:25" s="15" customFormat="1" ht="14.4">
      <c r="A7" s="13"/>
      <c r="B7" s="14">
        <v>2</v>
      </c>
      <c r="C7" s="35" t="s">
        <v>75</v>
      </c>
      <c r="D7" s="72">
        <v>2610.41</v>
      </c>
      <c r="E7" s="72">
        <v>22</v>
      </c>
      <c r="F7" s="72">
        <v>22</v>
      </c>
      <c r="G7" s="72">
        <f t="shared" ref="G7" si="0">E7-F7</f>
        <v>0</v>
      </c>
      <c r="H7" s="72">
        <f>4000/21.75*G7</f>
        <v>0</v>
      </c>
      <c r="I7" s="72"/>
      <c r="J7" s="72"/>
      <c r="K7" s="72">
        <f t="shared" ref="K7:K8" si="1">D7-H7+I7+J7</f>
        <v>2610.41</v>
      </c>
      <c r="L7" s="72">
        <v>2200</v>
      </c>
      <c r="M7" s="72"/>
      <c r="N7" s="72">
        <f>ROUND(MAX(N$19,MIN($L7,N$21))*N$4,2)/2</f>
        <v>277.85000000000002</v>
      </c>
      <c r="O7" s="72"/>
      <c r="P7" s="72"/>
      <c r="Q7" s="72">
        <f>ROUND(MAX(Q$19,MIN($L7,Q$21))*Q$4,2)/2</f>
        <v>22.23</v>
      </c>
      <c r="R7" s="72">
        <f>ROUND(MAX(R$19,MIN($L7,R$21))*R$4,2)</f>
        <v>289.04000000000002</v>
      </c>
      <c r="S7" s="72">
        <f>ROUND(MAX(S$19,MIN($L7,S$21))*2%+3,2)</f>
        <v>114.14</v>
      </c>
      <c r="T7" s="72">
        <f>ROUND(MAX(T$19,MIN($L7,T$21))*T$4,2)</f>
        <v>7.23</v>
      </c>
      <c r="U7" s="72">
        <v>5000</v>
      </c>
      <c r="V7" s="72">
        <f t="shared" ref="V7" si="2">K7-R7-S7-T7-U7</f>
        <v>-2800</v>
      </c>
      <c r="W7" s="72">
        <f>ROUND(MAX(V7*{3;10;20;25;30;35;45}%-{0;21;141;266;441;716;1516}*10,),2)</f>
        <v>0</v>
      </c>
      <c r="X7" s="72">
        <f>K7-R7-S7-T7-W7</f>
        <v>2200</v>
      </c>
    </row>
    <row r="8" spans="1:25" s="15" customFormat="1" ht="14.4">
      <c r="A8" s="13"/>
      <c r="B8" s="14">
        <v>3</v>
      </c>
      <c r="C8" s="35" t="s">
        <v>76</v>
      </c>
      <c r="D8" s="72">
        <v>2200</v>
      </c>
      <c r="E8" s="72">
        <v>22</v>
      </c>
      <c r="F8" s="72">
        <v>22</v>
      </c>
      <c r="G8" s="72">
        <f>E8-F8</f>
        <v>0</v>
      </c>
      <c r="H8" s="72">
        <f>4000/21.75*G8</f>
        <v>0</v>
      </c>
      <c r="I8" s="72"/>
      <c r="J8" s="72"/>
      <c r="K8" s="72">
        <f t="shared" si="1"/>
        <v>2200</v>
      </c>
      <c r="L8" s="72"/>
      <c r="M8" s="72"/>
      <c r="N8" s="72"/>
      <c r="O8" s="72"/>
      <c r="P8" s="72"/>
      <c r="Q8" s="72"/>
      <c r="R8" s="72"/>
      <c r="S8" s="72"/>
      <c r="T8" s="72"/>
      <c r="U8" s="72">
        <v>5000</v>
      </c>
      <c r="V8" s="72">
        <f>K8-R8-S8-T8-U8</f>
        <v>-2800</v>
      </c>
      <c r="W8" s="72">
        <f>ROUND(MAX(V8*{3;10;20;25;30;35;45}%-{0;21;141;266;441;716;1516}*10,),2)</f>
        <v>0</v>
      </c>
      <c r="X8" s="72">
        <f>K8-R8-S8-T8-W8</f>
        <v>2200</v>
      </c>
    </row>
    <row r="9" spans="1:25" s="15" customFormat="1" ht="14.4">
      <c r="A9" s="13"/>
      <c r="B9" s="14">
        <v>4</v>
      </c>
      <c r="C9" s="35" t="s">
        <v>104</v>
      </c>
      <c r="D9" s="72">
        <v>2200</v>
      </c>
      <c r="E9" s="72">
        <v>22</v>
      </c>
      <c r="F9" s="72">
        <v>22</v>
      </c>
      <c r="G9" s="72">
        <f>E9-F9</f>
        <v>0</v>
      </c>
      <c r="H9" s="72">
        <f>4000/21.75*G9</f>
        <v>0</v>
      </c>
      <c r="I9" s="72"/>
      <c r="J9" s="72"/>
      <c r="K9" s="72">
        <f t="shared" ref="K9" si="3">D9-H9+I9+J9</f>
        <v>2200</v>
      </c>
      <c r="L9" s="72"/>
      <c r="M9" s="72"/>
      <c r="N9" s="72"/>
      <c r="O9" s="72"/>
      <c r="P9" s="72"/>
      <c r="Q9" s="72"/>
      <c r="R9" s="72"/>
      <c r="S9" s="72"/>
      <c r="T9" s="72"/>
      <c r="U9" s="72">
        <v>5001</v>
      </c>
      <c r="V9" s="72">
        <f>K9-R9-S9-T9-U9</f>
        <v>-2801</v>
      </c>
      <c r="W9" s="72">
        <f>ROUND(MAX(V9*{3;10;20;25;30;35;45}%-{0;21;141;266;441;716;1516}*10,),2)</f>
        <v>0</v>
      </c>
      <c r="X9" s="72">
        <f>K9-R9-S9-T9-W9</f>
        <v>2200</v>
      </c>
    </row>
    <row r="10" spans="1:25" s="15" customFormat="1" ht="14.4">
      <c r="A10" s="13"/>
      <c r="B10" s="14"/>
      <c r="C10" s="35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 spans="1:25" s="15" customFormat="1" ht="13.8">
      <c r="A11" s="13"/>
      <c r="B11" s="228" t="s">
        <v>65</v>
      </c>
      <c r="C11" s="228"/>
      <c r="D11" s="215">
        <f>SUM(D6:D10)</f>
        <v>12010.41</v>
      </c>
      <c r="E11" s="73"/>
      <c r="F11" s="73"/>
      <c r="G11" s="73"/>
      <c r="H11" s="215">
        <f>SUM(H6:H10)</f>
        <v>0</v>
      </c>
      <c r="I11" s="215">
        <f>SUM(I6:I10)</f>
        <v>0</v>
      </c>
      <c r="J11" s="215">
        <f>SUM(J6:J10)</f>
        <v>0</v>
      </c>
      <c r="K11" s="215">
        <f>SUM(K6:K10)</f>
        <v>12010.41</v>
      </c>
      <c r="L11" s="215"/>
      <c r="M11" s="72">
        <f>SUM(M6:M10)</f>
        <v>0</v>
      </c>
      <c r="N11" s="72">
        <f t="shared" ref="N11:T11" si="4">SUM(N6:N10)</f>
        <v>555.70000000000005</v>
      </c>
      <c r="O11" s="72">
        <f t="shared" si="4"/>
        <v>0</v>
      </c>
      <c r="P11" s="72">
        <f t="shared" si="4"/>
        <v>0</v>
      </c>
      <c r="Q11" s="72">
        <f t="shared" si="4"/>
        <v>44.46</v>
      </c>
      <c r="R11" s="72">
        <f t="shared" si="4"/>
        <v>578.08000000000004</v>
      </c>
      <c r="S11" s="72">
        <f t="shared" si="4"/>
        <v>228.28</v>
      </c>
      <c r="T11" s="72">
        <f t="shared" si="4"/>
        <v>14.46</v>
      </c>
      <c r="U11" s="208"/>
      <c r="V11" s="208"/>
      <c r="W11" s="215">
        <f>SUM(W6:W10)</f>
        <v>0</v>
      </c>
      <c r="X11" s="215">
        <f>SUM(X6:X10)</f>
        <v>11189.59</v>
      </c>
    </row>
    <row r="12" spans="1:25" s="15" customFormat="1" ht="13.8">
      <c r="A12" s="13"/>
      <c r="B12" s="228"/>
      <c r="C12" s="228"/>
      <c r="D12" s="215"/>
      <c r="E12" s="73"/>
      <c r="F12" s="73"/>
      <c r="G12" s="73"/>
      <c r="H12" s="215"/>
      <c r="I12" s="215"/>
      <c r="J12" s="215"/>
      <c r="K12" s="215"/>
      <c r="L12" s="215"/>
      <c r="M12" s="215">
        <f>SUM(M11:Q11)</f>
        <v>600.16000000000008</v>
      </c>
      <c r="N12" s="215"/>
      <c r="O12" s="215"/>
      <c r="P12" s="215"/>
      <c r="Q12" s="215"/>
      <c r="R12" s="215">
        <f>SUM(R11:T11)</f>
        <v>820.82</v>
      </c>
      <c r="S12" s="215"/>
      <c r="T12" s="215"/>
      <c r="U12" s="208"/>
      <c r="V12" s="208"/>
      <c r="W12" s="215"/>
      <c r="X12" s="215"/>
    </row>
    <row r="13" spans="1:25" s="15" customFormat="1" ht="13.8">
      <c r="A13" s="13"/>
      <c r="B13" s="228"/>
      <c r="C13" s="228"/>
      <c r="D13" s="215"/>
      <c r="E13" s="73"/>
      <c r="F13" s="73"/>
      <c r="G13" s="73"/>
      <c r="H13" s="215"/>
      <c r="I13" s="215"/>
      <c r="J13" s="215"/>
      <c r="K13" s="215"/>
      <c r="L13" s="215"/>
      <c r="M13" s="215">
        <f>M12+R12</f>
        <v>1420.98</v>
      </c>
      <c r="N13" s="215"/>
      <c r="O13" s="215"/>
      <c r="P13" s="215"/>
      <c r="Q13" s="215"/>
      <c r="R13" s="215"/>
      <c r="S13" s="215"/>
      <c r="T13" s="215"/>
      <c r="U13" s="208"/>
      <c r="V13" s="208"/>
      <c r="W13" s="215"/>
      <c r="X13" s="215"/>
    </row>
    <row r="14" spans="1:25" s="20" customFormat="1" ht="13.8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</row>
    <row r="15" spans="1:25" s="15" customFormat="1" ht="14.4">
      <c r="A15" s="13"/>
      <c r="B15" s="212" t="s">
        <v>55</v>
      </c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</row>
    <row r="16" spans="1:25" s="15" customFormat="1" ht="13.8">
      <c r="A16" s="13"/>
      <c r="B16" s="21"/>
    </row>
    <row r="17" spans="1:25" s="15" customFormat="1" ht="14.4">
      <c r="A17" s="13"/>
      <c r="B17" s="213" t="s">
        <v>66</v>
      </c>
      <c r="C17" s="213"/>
      <c r="M17" s="209" t="s">
        <v>47</v>
      </c>
      <c r="N17" s="210"/>
      <c r="O17" s="210"/>
      <c r="P17" s="210"/>
      <c r="Q17" s="211"/>
      <c r="R17" s="209" t="s">
        <v>48</v>
      </c>
      <c r="S17" s="210"/>
      <c r="T17" s="211"/>
      <c r="U17" s="208" t="s">
        <v>56</v>
      </c>
      <c r="Y17" s="16"/>
    </row>
    <row r="18" spans="1:25" s="15" customFormat="1" ht="14.4">
      <c r="A18" s="13"/>
      <c r="B18" s="214">
        <f>K11+M12</f>
        <v>12610.57</v>
      </c>
      <c r="C18" s="214"/>
      <c r="M18" s="75" t="s">
        <v>53</v>
      </c>
      <c r="N18" s="75" t="s">
        <v>93</v>
      </c>
      <c r="O18" s="75" t="s">
        <v>51</v>
      </c>
      <c r="P18" s="75" t="s">
        <v>52</v>
      </c>
      <c r="Q18" s="75" t="s">
        <v>64</v>
      </c>
      <c r="R18" s="75" t="s">
        <v>53</v>
      </c>
      <c r="S18" s="76" t="s">
        <v>93</v>
      </c>
      <c r="T18" s="75" t="s">
        <v>51</v>
      </c>
      <c r="U18" s="208"/>
    </row>
    <row r="19" spans="1:25" s="15" customFormat="1" ht="14.4">
      <c r="A19" s="13"/>
      <c r="B19" s="21"/>
      <c r="L19" s="72" t="s">
        <v>67</v>
      </c>
      <c r="M19" s="72">
        <v>3613</v>
      </c>
      <c r="N19" s="72">
        <v>5557</v>
      </c>
      <c r="O19" s="72">
        <v>3613</v>
      </c>
      <c r="P19" s="72">
        <v>4713</v>
      </c>
      <c r="Q19" s="72">
        <v>5557</v>
      </c>
      <c r="R19" s="72">
        <v>3613</v>
      </c>
      <c r="S19" s="72">
        <v>5557</v>
      </c>
      <c r="T19" s="72">
        <v>3613</v>
      </c>
      <c r="U19" s="72"/>
    </row>
    <row r="20" spans="1:25" s="15" customFormat="1" ht="14.4">
      <c r="A20" s="13"/>
      <c r="B20" s="21"/>
      <c r="L20" s="72" t="s">
        <v>68</v>
      </c>
      <c r="M20" s="72">
        <f>ROUND(M19*$M$4,2)</f>
        <v>578.08000000000004</v>
      </c>
      <c r="N20" s="72">
        <f>ROUND(N19*$N$4,2)</f>
        <v>555.70000000000005</v>
      </c>
      <c r="O20" s="72">
        <f>ROUND(O19*$O$4,2)</f>
        <v>28.9</v>
      </c>
      <c r="P20" s="72">
        <f>ROUND(P19*$P$4,2)</f>
        <v>18.850000000000001</v>
      </c>
      <c r="Q20" s="72">
        <f>ROUND(Q19*$Q$4,2)</f>
        <v>44.46</v>
      </c>
      <c r="R20" s="72">
        <f>ROUND(R19*$R$4,2)</f>
        <v>289.04000000000002</v>
      </c>
      <c r="S20" s="72">
        <f>ROUND(S19*2%+3,2)</f>
        <v>114.14</v>
      </c>
      <c r="T20" s="72">
        <f>ROUND(T19*$T$4,2)</f>
        <v>7.23</v>
      </c>
      <c r="U20" s="72">
        <f>SUM(M20:T20)</f>
        <v>1636.4000000000003</v>
      </c>
    </row>
    <row r="21" spans="1:25" s="15" customFormat="1" ht="14.4">
      <c r="A21" s="13"/>
      <c r="B21" s="21"/>
      <c r="L21" s="72" t="s">
        <v>69</v>
      </c>
      <c r="M21" s="72">
        <v>23565</v>
      </c>
      <c r="N21" s="72">
        <v>27786</v>
      </c>
      <c r="O21" s="72">
        <v>23565</v>
      </c>
      <c r="P21" s="72">
        <v>23565</v>
      </c>
      <c r="Q21" s="72">
        <v>27786</v>
      </c>
      <c r="R21" s="72">
        <v>23565</v>
      </c>
      <c r="S21" s="72">
        <v>27786</v>
      </c>
      <c r="T21" s="72">
        <v>23565</v>
      </c>
      <c r="U21" s="72"/>
    </row>
    <row r="22" spans="1:25" s="15" customFormat="1" ht="14.4">
      <c r="A22" s="13"/>
      <c r="B22" s="21"/>
      <c r="L22" s="72" t="s">
        <v>70</v>
      </c>
      <c r="M22" s="72">
        <f>ROUND(M21*$M$4,2)</f>
        <v>3770.4</v>
      </c>
      <c r="N22" s="72">
        <f>ROUND(N21*$N$4,2)</f>
        <v>2778.6</v>
      </c>
      <c r="O22" s="72">
        <f>ROUND(O21*$O$4,2)</f>
        <v>188.52</v>
      </c>
      <c r="P22" s="72">
        <f>ROUND(P21*$P$4,2)</f>
        <v>94.26</v>
      </c>
      <c r="Q22" s="72">
        <f>ROUND(Q21*$Q$4,2)</f>
        <v>222.29</v>
      </c>
      <c r="R22" s="72">
        <f>ROUND(R21*$R$4,2)</f>
        <v>1885.2</v>
      </c>
      <c r="S22" s="72">
        <f>ROUND(S21*2%,2)+3</f>
        <v>558.72</v>
      </c>
      <c r="T22" s="72">
        <f>ROUND(T21*$T$4,2)</f>
        <v>47.13</v>
      </c>
      <c r="U22" s="72">
        <f>SUM(M22:T22)</f>
        <v>9545.119999999999</v>
      </c>
    </row>
    <row r="23" spans="1:25" s="15" customFormat="1" ht="13.8">
      <c r="A23" s="13"/>
      <c r="B23" s="21"/>
    </row>
    <row r="24" spans="1:25" s="15" customFormat="1" ht="13.8">
      <c r="A24" s="13"/>
      <c r="B24" s="21"/>
    </row>
    <row r="25" spans="1:25" s="15" customFormat="1" ht="13.8">
      <c r="A25" s="13"/>
      <c r="B25" s="21"/>
    </row>
    <row r="26" spans="1:25" s="15" customFormat="1" ht="13.8">
      <c r="A26" s="13"/>
      <c r="B26" s="21"/>
    </row>
    <row r="27" spans="1:25" s="15" customFormat="1" ht="13.8">
      <c r="A27" s="13"/>
      <c r="B27" s="21"/>
    </row>
    <row r="28" spans="1:25" s="15" customFormat="1" ht="13.8">
      <c r="A28" s="13"/>
      <c r="B28" s="21"/>
    </row>
    <row r="29" spans="1:25" ht="13.8">
      <c r="W29" s="15"/>
    </row>
  </sheetData>
  <mergeCells count="36">
    <mergeCell ref="W3:W5"/>
    <mergeCell ref="X3:X5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  <mergeCell ref="K11:K13"/>
    <mergeCell ref="M3:Q3"/>
    <mergeCell ref="R3:T3"/>
    <mergeCell ref="U3:U5"/>
    <mergeCell ref="V3:V5"/>
    <mergeCell ref="L11:L13"/>
    <mergeCell ref="U11:U13"/>
    <mergeCell ref="V11:V13"/>
    <mergeCell ref="B11:C13"/>
    <mergeCell ref="D11:D13"/>
    <mergeCell ref="H11:H13"/>
    <mergeCell ref="I11:I13"/>
    <mergeCell ref="J11:J13"/>
    <mergeCell ref="W11:W13"/>
    <mergeCell ref="X11:X13"/>
    <mergeCell ref="M12:Q12"/>
    <mergeCell ref="R12:T12"/>
    <mergeCell ref="M13:T13"/>
    <mergeCell ref="B15:X15"/>
    <mergeCell ref="B17:C17"/>
    <mergeCell ref="M17:Q17"/>
    <mergeCell ref="R17:T17"/>
    <mergeCell ref="U17:U18"/>
    <mergeCell ref="B18:C18"/>
  </mergeCells>
  <phoneticPr fontId="1" type="noConversion"/>
  <pageMargins left="0.24" right="0.17" top="0.25" bottom="0.75" header="0.19" footer="0.3"/>
  <pageSetup paperSize="9" scale="92" orientation="portrait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30"/>
  <sheetViews>
    <sheetView workbookViewId="0">
      <selection activeCell="S12" sqref="S12"/>
    </sheetView>
  </sheetViews>
  <sheetFormatPr defaultColWidth="9.109375" defaultRowHeight="20.100000000000001" customHeight="1"/>
  <cols>
    <col min="1" max="1" width="1.33203125" style="71" customWidth="1"/>
    <col min="2" max="2" width="4.88671875" style="21" bestFit="1" customWidth="1"/>
    <col min="3" max="3" width="7" style="12" customWidth="1"/>
    <col min="4" max="4" width="9" style="12" hidden="1" customWidth="1"/>
    <col min="5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33203125" style="22" customWidth="1"/>
    <col min="15" max="15" width="8.44140625" style="12" customWidth="1"/>
    <col min="16" max="16" width="10" style="12" customWidth="1"/>
    <col min="17" max="17" width="3.77734375" style="12" customWidth="1"/>
    <col min="18" max="18" width="5.44140625" style="24" customWidth="1"/>
    <col min="19" max="19" width="5.44140625" style="12" customWidth="1"/>
    <col min="20" max="21" width="5.21875" style="12" customWidth="1"/>
    <col min="22" max="23" width="6.44140625" style="12" customWidth="1"/>
    <col min="24" max="24" width="6.6640625" style="12" customWidth="1"/>
    <col min="25" max="25" width="5.44140625" style="12" customWidth="1"/>
    <col min="26" max="16384" width="9.109375" style="12"/>
  </cols>
  <sheetData>
    <row r="1" spans="1:18" ht="30" customHeight="1">
      <c r="B1" s="240" t="s">
        <v>106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"/>
      <c r="O1" s="23"/>
      <c r="P1" s="23"/>
    </row>
    <row r="2" spans="1:18" ht="20.100000000000001" customHeight="1"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ht="20.100000000000001" customHeight="1">
      <c r="B3" s="242" t="s">
        <v>32</v>
      </c>
      <c r="C3" s="227" t="s">
        <v>22</v>
      </c>
      <c r="D3" s="227" t="s">
        <v>33</v>
      </c>
      <c r="E3" s="229" t="s">
        <v>34</v>
      </c>
      <c r="F3" s="229"/>
      <c r="G3" s="229"/>
      <c r="H3" s="229"/>
      <c r="I3" s="229"/>
      <c r="J3" s="229" t="s">
        <v>23</v>
      </c>
      <c r="K3" s="229"/>
      <c r="L3" s="229"/>
      <c r="M3" s="224" t="s">
        <v>30</v>
      </c>
      <c r="N3" s="249"/>
      <c r="O3" s="250"/>
      <c r="P3" s="250"/>
    </row>
    <row r="4" spans="1:18" ht="20.100000000000001" customHeight="1">
      <c r="B4" s="243"/>
      <c r="C4" s="201"/>
      <c r="D4" s="201"/>
      <c r="E4" s="68">
        <v>0.16</v>
      </c>
      <c r="F4" s="68">
        <v>0.1</v>
      </c>
      <c r="G4" s="68">
        <v>8.0000000000000002E-3</v>
      </c>
      <c r="H4" s="68">
        <v>4.0000000000000001E-3</v>
      </c>
      <c r="I4" s="68">
        <v>8.0000000000000002E-3</v>
      </c>
      <c r="J4" s="68">
        <v>0.08</v>
      </c>
      <c r="K4" s="66" t="s">
        <v>0</v>
      </c>
      <c r="L4" s="68">
        <v>2E-3</v>
      </c>
      <c r="M4" s="225"/>
      <c r="N4" s="249"/>
      <c r="O4" s="250"/>
      <c r="P4" s="250"/>
    </row>
    <row r="5" spans="1:18" ht="20.100000000000001" customHeight="1">
      <c r="B5" s="244"/>
      <c r="C5" s="202"/>
      <c r="D5" s="202"/>
      <c r="E5" s="68" t="s">
        <v>24</v>
      </c>
      <c r="F5" s="68" t="s">
        <v>25</v>
      </c>
      <c r="G5" s="68" t="s">
        <v>26</v>
      </c>
      <c r="H5" s="68" t="s">
        <v>27</v>
      </c>
      <c r="I5" s="68" t="s">
        <v>28</v>
      </c>
      <c r="J5" s="68" t="s">
        <v>24</v>
      </c>
      <c r="K5" s="66" t="s">
        <v>25</v>
      </c>
      <c r="L5" s="68" t="s">
        <v>26</v>
      </c>
      <c r="M5" s="226"/>
      <c r="N5" s="249"/>
      <c r="O5" s="250"/>
      <c r="P5" s="250"/>
    </row>
    <row r="6" spans="1:18" s="15" customFormat="1" ht="20.100000000000001" customHeight="1">
      <c r="A6" s="13"/>
      <c r="B6" s="14">
        <v>1</v>
      </c>
      <c r="C6" s="70" t="s">
        <v>29</v>
      </c>
      <c r="D6" s="70">
        <v>2200</v>
      </c>
      <c r="E6" s="70"/>
      <c r="F6" s="70">
        <f>ROUND(MAX(F$20,MIN($D6,F$22))*F$4,2)/2</f>
        <v>277.85000000000002</v>
      </c>
      <c r="G6" s="70"/>
      <c r="H6" s="70"/>
      <c r="I6" s="70">
        <f>ROUND(MAX(I$20,MIN($D6,I$22))*I$4,2)/2</f>
        <v>22.23</v>
      </c>
      <c r="J6" s="70">
        <f t="shared" ref="J6:J8" si="0">ROUND(MAX(J$20,MIN($D6,J$22))*J$4,2)</f>
        <v>289.04000000000002</v>
      </c>
      <c r="K6" s="70">
        <f>ROUND(MAX(K$20,MIN($D6,K$22))*2%+3,2)</f>
        <v>114.14</v>
      </c>
      <c r="L6" s="70">
        <f>ROUND(MAX(L$20,MIN($D6,L$22))*L$4,2)</f>
        <v>7.23</v>
      </c>
      <c r="M6" s="70">
        <f>SUM(E6:L6)</f>
        <v>710.49000000000012</v>
      </c>
      <c r="N6" s="26"/>
      <c r="O6" s="13"/>
      <c r="P6" s="13"/>
      <c r="R6" s="27"/>
    </row>
    <row r="7" spans="1:18" s="15" customFormat="1" ht="20.100000000000001" customHeight="1">
      <c r="A7" s="13"/>
      <c r="B7" s="14">
        <v>2</v>
      </c>
      <c r="C7" s="34" t="s">
        <v>75</v>
      </c>
      <c r="D7" s="70">
        <v>2200</v>
      </c>
      <c r="E7" s="70"/>
      <c r="F7" s="70">
        <f>ROUND(MAX(F$20,MIN($D7,F$22))*F$4,2)/2</f>
        <v>277.85000000000002</v>
      </c>
      <c r="G7" s="70"/>
      <c r="H7" s="70"/>
      <c r="I7" s="70">
        <f>ROUND(MAX(I$20,MIN($D7,I$22))*I$4,2)/2</f>
        <v>22.23</v>
      </c>
      <c r="J7" s="70">
        <f t="shared" si="0"/>
        <v>289.04000000000002</v>
      </c>
      <c r="K7" s="70">
        <f>ROUND(MAX(K$20,MIN($D7,K$22))*2%+3,2)</f>
        <v>114.14</v>
      </c>
      <c r="L7" s="70">
        <f>ROUND(MAX(L$20,MIN($D7,L$22))*L$4,2)</f>
        <v>7.23</v>
      </c>
      <c r="M7" s="70">
        <f t="shared" ref="M7:M8" si="1">SUM(E7:L7)</f>
        <v>710.49000000000012</v>
      </c>
      <c r="N7" s="26"/>
      <c r="O7" s="13"/>
      <c r="P7" s="13"/>
      <c r="R7" s="27"/>
    </row>
    <row r="8" spans="1:18" s="15" customFormat="1" ht="20.100000000000001" customHeight="1">
      <c r="A8" s="13"/>
      <c r="B8" s="14">
        <v>3</v>
      </c>
      <c r="C8" s="34" t="s">
        <v>103</v>
      </c>
      <c r="D8" s="70">
        <v>2200</v>
      </c>
      <c r="E8" s="70"/>
      <c r="F8" s="70">
        <f>ROUND(MAX(F$20,MIN($D8,F$22))*F$4,2)/2</f>
        <v>277.85000000000002</v>
      </c>
      <c r="G8" s="70"/>
      <c r="H8" s="70"/>
      <c r="I8" s="70">
        <f>ROUND(MAX(I$20,MIN($D8,I$22))*I$4,2)/2</f>
        <v>22.23</v>
      </c>
      <c r="J8" s="70">
        <f t="shared" si="0"/>
        <v>289.04000000000002</v>
      </c>
      <c r="K8" s="70">
        <f>ROUND(MAX(K$20,MIN($D8,K$22))*2%+3,2)</f>
        <v>114.14</v>
      </c>
      <c r="L8" s="70">
        <f>ROUND(MAX(L$20,MIN($D8,L$22))*L$4,2)</f>
        <v>7.23</v>
      </c>
      <c r="M8" s="70">
        <f t="shared" si="1"/>
        <v>710.49000000000012</v>
      </c>
      <c r="N8" s="28"/>
      <c r="O8" s="13"/>
      <c r="P8" s="13"/>
      <c r="R8" s="27"/>
    </row>
    <row r="9" spans="1:18" s="15" customFormat="1" ht="20.100000000000001" customHeight="1">
      <c r="A9" s="13"/>
      <c r="B9" s="251" t="s">
        <v>39</v>
      </c>
      <c r="C9" s="252"/>
      <c r="D9" s="253"/>
      <c r="E9" s="254">
        <f>SUM(E6:I8)</f>
        <v>900.24000000000012</v>
      </c>
      <c r="F9" s="255"/>
      <c r="G9" s="255"/>
      <c r="H9" s="255"/>
      <c r="I9" s="256"/>
      <c r="J9" s="254">
        <f>SUM(J6:L8)</f>
        <v>1231.2300000000002</v>
      </c>
      <c r="K9" s="255"/>
      <c r="L9" s="256"/>
      <c r="M9" s="67">
        <f>SUM(M6:M8)</f>
        <v>2131.4700000000003</v>
      </c>
      <c r="N9" s="28"/>
      <c r="O9" s="13"/>
      <c r="P9" s="13"/>
      <c r="R9" s="27"/>
    </row>
    <row r="10" spans="1:18" s="15" customFormat="1" ht="20.100000000000001" customHeight="1">
      <c r="A10" s="13"/>
      <c r="B10" s="14">
        <v>4</v>
      </c>
      <c r="C10" s="70" t="s">
        <v>43</v>
      </c>
      <c r="D10" s="70">
        <v>2200</v>
      </c>
      <c r="E10" s="70"/>
      <c r="F10" s="70">
        <f>ROUND(MAX(F$20,MIN($D10,F$22))*F$4,2)/2</f>
        <v>277.85000000000002</v>
      </c>
      <c r="G10" s="70"/>
      <c r="H10" s="70"/>
      <c r="I10" s="70">
        <f>ROUND(MAX(I$20,MIN($D10,I$22))*I$4,2)/2</f>
        <v>22.23</v>
      </c>
      <c r="J10" s="70">
        <f t="shared" ref="J10:J12" si="2">ROUND(MAX(J$20,MIN($D10,J$22))*J$4,2)</f>
        <v>289.04000000000002</v>
      </c>
      <c r="K10" s="70">
        <f>ROUND(MAX(K$20,MIN($D10,K$22))*2%+3,2)</f>
        <v>114.14</v>
      </c>
      <c r="L10" s="70">
        <f>ROUND(MAX(L$20,MIN($D10,L$22))*L$4,2)</f>
        <v>7.23</v>
      </c>
      <c r="M10" s="70">
        <f t="shared" ref="M10:M12" si="3">SUM(E10:L10)</f>
        <v>710.49000000000012</v>
      </c>
      <c r="N10" s="83" t="s">
        <v>107</v>
      </c>
      <c r="O10" s="13"/>
      <c r="P10" s="13"/>
      <c r="R10" s="27"/>
    </row>
    <row r="11" spans="1:18" s="15" customFormat="1" ht="20.100000000000001" customHeight="1">
      <c r="A11" s="13"/>
      <c r="B11" s="14">
        <v>5</v>
      </c>
      <c r="C11" s="70" t="s">
        <v>40</v>
      </c>
      <c r="D11" s="70">
        <v>2200</v>
      </c>
      <c r="E11" s="70"/>
      <c r="F11" s="70">
        <f>ROUND(MAX(F$20,MIN($D11,F$22))*F$4,2)/2</f>
        <v>277.85000000000002</v>
      </c>
      <c r="G11" s="70"/>
      <c r="H11" s="70"/>
      <c r="I11" s="70">
        <f>ROUND(MAX(I$20,MIN($D11,I$22))*I$4,2)/2</f>
        <v>22.23</v>
      </c>
      <c r="J11" s="70">
        <f t="shared" si="2"/>
        <v>289.04000000000002</v>
      </c>
      <c r="K11" s="70">
        <f>ROUND(MAX(K$20,MIN($D11,K$22))*2%+3,2)</f>
        <v>114.14</v>
      </c>
      <c r="L11" s="70"/>
      <c r="M11" s="70">
        <f t="shared" si="3"/>
        <v>703.2600000000001</v>
      </c>
      <c r="N11" s="83" t="s">
        <v>107</v>
      </c>
      <c r="O11" s="13"/>
      <c r="P11" s="13"/>
      <c r="R11" s="27"/>
    </row>
    <row r="12" spans="1:18" s="15" customFormat="1" ht="20.100000000000001" customHeight="1">
      <c r="A12" s="13"/>
      <c r="B12" s="14">
        <v>6</v>
      </c>
      <c r="C12" s="70" t="s">
        <v>41</v>
      </c>
      <c r="D12" s="70">
        <v>2200</v>
      </c>
      <c r="E12" s="70"/>
      <c r="F12" s="70">
        <f>ROUND(MAX(F$20,MIN($D12,F$22))*F$4,2)/2</f>
        <v>277.85000000000002</v>
      </c>
      <c r="G12" s="70"/>
      <c r="H12" s="70"/>
      <c r="I12" s="70">
        <f>ROUND(MAX(I$20,MIN($D12,I$22))*I$4,2)/2</f>
        <v>22.23</v>
      </c>
      <c r="J12" s="70">
        <f t="shared" si="2"/>
        <v>289.04000000000002</v>
      </c>
      <c r="K12" s="70">
        <f>ROUND(MAX(K$20,MIN($D12,K$22))*2%+3,2)</f>
        <v>114.14</v>
      </c>
      <c r="L12" s="70">
        <f>ROUND(MAX(L$20,MIN($D12,L$22))*L$4,2)</f>
        <v>7.23</v>
      </c>
      <c r="M12" s="70">
        <f t="shared" si="3"/>
        <v>710.49000000000012</v>
      </c>
      <c r="N12" s="83" t="s">
        <v>107</v>
      </c>
      <c r="O12" s="13"/>
      <c r="P12" s="13"/>
      <c r="R12" s="27"/>
    </row>
    <row r="13" spans="1:18" s="15" customFormat="1" ht="15" customHeight="1">
      <c r="A13" s="13"/>
      <c r="B13" s="261" t="s">
        <v>39</v>
      </c>
      <c r="C13" s="262"/>
      <c r="D13" s="263"/>
      <c r="E13" s="254">
        <f>SUM(E10:I12)</f>
        <v>900.24000000000012</v>
      </c>
      <c r="F13" s="255"/>
      <c r="G13" s="255"/>
      <c r="H13" s="255"/>
      <c r="I13" s="256"/>
      <c r="J13" s="254">
        <f>SUM(J10:L12)</f>
        <v>1224.0000000000002</v>
      </c>
      <c r="K13" s="255"/>
      <c r="L13" s="256"/>
      <c r="M13" s="67">
        <f>SUM(M10:M12)</f>
        <v>2124.2400000000002</v>
      </c>
      <c r="N13" s="26"/>
      <c r="O13" s="30"/>
      <c r="P13" s="30"/>
      <c r="R13" s="31"/>
    </row>
    <row r="14" spans="1:18" s="15" customFormat="1" ht="15" customHeight="1">
      <c r="A14" s="13"/>
      <c r="B14" s="261" t="s">
        <v>44</v>
      </c>
      <c r="C14" s="262"/>
      <c r="D14" s="263"/>
      <c r="E14" s="257">
        <f>M9+M13</f>
        <v>4255.7100000000009</v>
      </c>
      <c r="F14" s="258"/>
      <c r="G14" s="258"/>
      <c r="H14" s="258"/>
      <c r="I14" s="258"/>
      <c r="J14" s="258"/>
      <c r="K14" s="258"/>
      <c r="L14" s="258"/>
      <c r="M14" s="259"/>
      <c r="N14" s="26"/>
      <c r="O14" s="30"/>
      <c r="P14" s="30"/>
      <c r="R14" s="31"/>
    </row>
    <row r="15" spans="1:18" s="15" customFormat="1" ht="20.100000000000001" customHeight="1">
      <c r="A15" s="13"/>
      <c r="B15" s="252"/>
      <c r="C15" s="252"/>
      <c r="D15" s="264"/>
      <c r="E15" s="264"/>
      <c r="F15" s="264"/>
      <c r="G15" s="264"/>
      <c r="H15" s="264"/>
      <c r="I15" s="264"/>
      <c r="J15" s="30"/>
      <c r="K15" s="30"/>
      <c r="L15" s="30"/>
      <c r="M15" s="30"/>
      <c r="N15" s="30"/>
      <c r="O15" s="30"/>
      <c r="P15" s="30"/>
      <c r="R15" s="31"/>
    </row>
    <row r="16" spans="1:18" s="15" customFormat="1" ht="20.100000000000001" customHeight="1">
      <c r="A16" s="13"/>
      <c r="B16" s="32" t="s">
        <v>35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R16" s="31"/>
    </row>
    <row r="17" spans="1:18" s="15" customFormat="1" ht="20.100000000000001" customHeight="1">
      <c r="A17" s="13"/>
      <c r="B17" s="21"/>
      <c r="R17" s="31"/>
    </row>
    <row r="18" spans="1:18" s="15" customFormat="1" ht="20.100000000000001" customHeight="1">
      <c r="A18" s="13"/>
      <c r="B18" s="21"/>
      <c r="E18" s="209" t="s">
        <v>34</v>
      </c>
      <c r="F18" s="210"/>
      <c r="G18" s="210"/>
      <c r="H18" s="210"/>
      <c r="I18" s="211"/>
      <c r="J18" s="209" t="s">
        <v>23</v>
      </c>
      <c r="K18" s="210"/>
      <c r="L18" s="211"/>
      <c r="M18" s="224" t="s">
        <v>30</v>
      </c>
      <c r="R18" s="31"/>
    </row>
    <row r="19" spans="1:18" s="15" customFormat="1" ht="20.100000000000001" customHeight="1">
      <c r="A19" s="13"/>
      <c r="B19" s="21"/>
      <c r="E19" s="69" t="s">
        <v>24</v>
      </c>
      <c r="F19" s="69" t="s">
        <v>25</v>
      </c>
      <c r="G19" s="69" t="s">
        <v>26</v>
      </c>
      <c r="H19" s="69" t="s">
        <v>27</v>
      </c>
      <c r="I19" s="69" t="s">
        <v>28</v>
      </c>
      <c r="J19" s="69" t="s">
        <v>24</v>
      </c>
      <c r="K19" s="65" t="s">
        <v>25</v>
      </c>
      <c r="L19" s="69" t="s">
        <v>26</v>
      </c>
      <c r="M19" s="226"/>
      <c r="R19" s="31"/>
    </row>
    <row r="20" spans="1:18" s="15" customFormat="1" ht="20.100000000000001" customHeight="1">
      <c r="A20" s="13"/>
      <c r="B20" s="21"/>
      <c r="D20" s="70" t="s">
        <v>38</v>
      </c>
      <c r="E20" s="70">
        <v>3613</v>
      </c>
      <c r="F20" s="70">
        <v>5557</v>
      </c>
      <c r="G20" s="70">
        <v>3613</v>
      </c>
      <c r="H20" s="70">
        <v>4713</v>
      </c>
      <c r="I20" s="70">
        <v>5557</v>
      </c>
      <c r="J20" s="70">
        <v>3613</v>
      </c>
      <c r="K20" s="70">
        <v>5557</v>
      </c>
      <c r="L20" s="70">
        <v>3613</v>
      </c>
      <c r="M20" s="70"/>
      <c r="R20" s="31"/>
    </row>
    <row r="21" spans="1:18" s="15" customFormat="1" ht="20.100000000000001" customHeight="1">
      <c r="A21" s="13"/>
      <c r="B21" s="21"/>
      <c r="D21" s="70" t="s">
        <v>36</v>
      </c>
      <c r="E21" s="70">
        <f>ROUND(E20*$E$4,2)</f>
        <v>578.08000000000004</v>
      </c>
      <c r="F21" s="70">
        <f>ROUND(F20*$F$4,2)</f>
        <v>555.70000000000005</v>
      </c>
      <c r="G21" s="70">
        <f>ROUND(G20*$G$4,2)</f>
        <v>28.9</v>
      </c>
      <c r="H21" s="70">
        <f>ROUND(H20*$H$4,2)</f>
        <v>18.850000000000001</v>
      </c>
      <c r="I21" s="70">
        <f>ROUND(I20*$I$4,2)</f>
        <v>44.46</v>
      </c>
      <c r="J21" s="70">
        <f>ROUND(J20*$J$4,2)</f>
        <v>289.04000000000002</v>
      </c>
      <c r="K21" s="70">
        <f>ROUND(K20*2%+3,2)</f>
        <v>114.14</v>
      </c>
      <c r="L21" s="70">
        <f>ROUND(L20*$L$4,2)</f>
        <v>7.23</v>
      </c>
      <c r="M21" s="70">
        <f>SUM(E21:L21)</f>
        <v>1636.4000000000003</v>
      </c>
      <c r="R21" s="31"/>
    </row>
    <row r="22" spans="1:18" s="15" customFormat="1" ht="20.100000000000001" customHeight="1">
      <c r="A22" s="13"/>
      <c r="B22" s="21"/>
      <c r="D22" s="70" t="s">
        <v>31</v>
      </c>
      <c r="E22" s="70">
        <v>23565</v>
      </c>
      <c r="F22" s="70">
        <v>27786</v>
      </c>
      <c r="G22" s="70">
        <v>23565</v>
      </c>
      <c r="H22" s="70">
        <v>23565</v>
      </c>
      <c r="I22" s="70">
        <v>27786</v>
      </c>
      <c r="J22" s="70">
        <v>23565</v>
      </c>
      <c r="K22" s="70">
        <v>27786</v>
      </c>
      <c r="L22" s="70">
        <v>23565</v>
      </c>
      <c r="M22" s="70"/>
      <c r="R22" s="31"/>
    </row>
    <row r="23" spans="1:18" s="15" customFormat="1" ht="20.100000000000001" customHeight="1">
      <c r="A23" s="13"/>
      <c r="B23" s="21"/>
      <c r="D23" s="70" t="s">
        <v>37</v>
      </c>
      <c r="E23" s="70">
        <f>ROUND(E22*$E$4,2)</f>
        <v>3770.4</v>
      </c>
      <c r="F23" s="70">
        <f>ROUND(F22*$F$4,2)</f>
        <v>2778.6</v>
      </c>
      <c r="G23" s="70">
        <f>ROUND(G22*$G$4,2)</f>
        <v>188.52</v>
      </c>
      <c r="H23" s="70">
        <f>ROUND(H22*$H$4,2)</f>
        <v>94.26</v>
      </c>
      <c r="I23" s="70">
        <f>ROUND(I22*$I$4,2)</f>
        <v>222.29</v>
      </c>
      <c r="J23" s="70">
        <f>ROUND(J22*$J$4,2)</f>
        <v>1885.2</v>
      </c>
      <c r="K23" s="70">
        <f>ROUND(K22*2%,2)+3</f>
        <v>558.72</v>
      </c>
      <c r="L23" s="70">
        <f>ROUND(L22*$L$4,2)</f>
        <v>47.13</v>
      </c>
      <c r="M23" s="70">
        <f t="shared" ref="M23" si="4">SUM(E23:L23)</f>
        <v>9545.119999999999</v>
      </c>
      <c r="R23" s="31"/>
    </row>
    <row r="24" spans="1:18" s="15" customFormat="1" ht="20.100000000000001" customHeight="1">
      <c r="A24" s="13"/>
      <c r="B24" s="21"/>
      <c r="R24" s="31"/>
    </row>
    <row r="25" spans="1:18" s="15" customFormat="1" ht="20.100000000000001" customHeight="1">
      <c r="A25" s="13"/>
      <c r="B25" s="21"/>
      <c r="R25" s="31"/>
    </row>
    <row r="26" spans="1:18" s="15" customFormat="1" ht="20.100000000000001" customHeight="1">
      <c r="A26" s="13"/>
      <c r="B26" s="21"/>
      <c r="R26" s="31"/>
    </row>
    <row r="27" spans="1:18" s="15" customFormat="1" ht="20.100000000000001" customHeight="1">
      <c r="A27" s="13"/>
      <c r="B27" s="21"/>
      <c r="R27" s="31"/>
    </row>
    <row r="28" spans="1:18" s="15" customFormat="1" ht="20.100000000000001" customHeight="1">
      <c r="A28" s="13"/>
      <c r="B28" s="21"/>
      <c r="R28" s="31"/>
    </row>
    <row r="29" spans="1:18" s="15" customFormat="1" ht="20.100000000000001" customHeight="1">
      <c r="A29" s="13"/>
      <c r="B29" s="21"/>
      <c r="R29" s="31"/>
    </row>
    <row r="30" spans="1:18" ht="20.100000000000001" customHeight="1">
      <c r="O30" s="15"/>
    </row>
  </sheetData>
  <mergeCells count="23">
    <mergeCell ref="E18:I18"/>
    <mergeCell ref="J18:L18"/>
    <mergeCell ref="M18:M19"/>
    <mergeCell ref="B13:D13"/>
    <mergeCell ref="E13:I13"/>
    <mergeCell ref="J13:L13"/>
    <mergeCell ref="B14:D14"/>
    <mergeCell ref="E14:M14"/>
    <mergeCell ref="B15:C15"/>
    <mergeCell ref="D15:I15"/>
    <mergeCell ref="N3:N5"/>
    <mergeCell ref="O3:O5"/>
    <mergeCell ref="P3:P5"/>
    <mergeCell ref="B9:D9"/>
    <mergeCell ref="E9:I9"/>
    <mergeCell ref="J9:L9"/>
    <mergeCell ref="B1:M1"/>
    <mergeCell ref="B3:B5"/>
    <mergeCell ref="C3:C5"/>
    <mergeCell ref="D3:D5"/>
    <mergeCell ref="E3:I3"/>
    <mergeCell ref="J3:L3"/>
    <mergeCell ref="M3:M5"/>
  </mergeCells>
  <phoneticPr fontId="1" type="noConversion"/>
  <pageMargins left="0.34" right="0.17" top="0.2" bottom="0.75" header="0.17" footer="0.3"/>
  <pageSetup paperSize="9" scale="97" orientation="portrait" r:id="rId1"/>
  <ignoredErrors>
    <ignoredError sqref="M9 K6:K8 K10 K1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8"/>
  <sheetViews>
    <sheetView workbookViewId="0">
      <selection activeCell="X29" sqref="X29"/>
    </sheetView>
  </sheetViews>
  <sheetFormatPr defaultColWidth="9.109375" defaultRowHeight="20.100000000000001" customHeight="1"/>
  <cols>
    <col min="1" max="1" width="1.33203125" style="62" customWidth="1"/>
    <col min="2" max="2" width="5.21875" style="21" bestFit="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customWidth="1"/>
    <col min="13" max="17" width="8.77734375" style="22" customWidth="1"/>
    <col min="18" max="18" width="8.77734375" style="22" bestFit="1" customWidth="1"/>
    <col min="19" max="19" width="8.77734375" style="12" bestFit="1" customWidth="1"/>
    <col min="20" max="20" width="8.77734375" style="22" bestFit="1" customWidth="1"/>
    <col min="21" max="21" width="9" style="15" customWidth="1"/>
    <col min="22" max="22" width="9" style="22" customWidth="1"/>
    <col min="23" max="23" width="5.21875" style="12" customWidth="1"/>
    <col min="24" max="24" width="10.77734375" style="12" customWidth="1"/>
    <col min="25" max="25" width="52.109375" style="12" bestFit="1" customWidth="1"/>
    <col min="26" max="16384" width="9.109375" style="12"/>
  </cols>
  <sheetData>
    <row r="1" spans="1:25" ht="21">
      <c r="B1" s="240" t="s">
        <v>79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</row>
    <row r="2" spans="1:25" ht="14.4">
      <c r="B2" s="241" t="s">
        <v>80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</row>
    <row r="3" spans="1:25" ht="14.4">
      <c r="B3" s="242" t="s">
        <v>57</v>
      </c>
      <c r="C3" s="227" t="s">
        <v>81</v>
      </c>
      <c r="D3" s="227" t="s">
        <v>82</v>
      </c>
      <c r="E3" s="245" t="s">
        <v>83</v>
      </c>
      <c r="F3" s="246"/>
      <c r="G3" s="246"/>
      <c r="H3" s="246"/>
      <c r="I3" s="227" t="s">
        <v>84</v>
      </c>
      <c r="J3" s="247" t="s">
        <v>77</v>
      </c>
      <c r="K3" s="227" t="s">
        <v>85</v>
      </c>
      <c r="L3" s="227" t="s">
        <v>86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24" t="s">
        <v>62</v>
      </c>
      <c r="V3" s="233" t="s">
        <v>87</v>
      </c>
      <c r="W3" s="227" t="s">
        <v>88</v>
      </c>
      <c r="X3" s="227" t="s">
        <v>63</v>
      </c>
    </row>
    <row r="4" spans="1:25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57">
        <v>0.16</v>
      </c>
      <c r="N4" s="57">
        <v>0.1</v>
      </c>
      <c r="O4" s="57">
        <v>8.0000000000000002E-3</v>
      </c>
      <c r="P4" s="57">
        <v>4.0000000000000001E-3</v>
      </c>
      <c r="Q4" s="57">
        <v>8.0000000000000002E-3</v>
      </c>
      <c r="R4" s="57">
        <v>0.08</v>
      </c>
      <c r="S4" s="60" t="s">
        <v>0</v>
      </c>
      <c r="T4" s="57">
        <v>2E-3</v>
      </c>
      <c r="U4" s="225"/>
      <c r="V4" s="234"/>
      <c r="W4" s="201"/>
      <c r="X4" s="201"/>
    </row>
    <row r="5" spans="1:25" ht="14.4">
      <c r="B5" s="244"/>
      <c r="C5" s="202"/>
      <c r="D5" s="202"/>
      <c r="E5" s="59" t="s">
        <v>45</v>
      </c>
      <c r="F5" s="33" t="s">
        <v>71</v>
      </c>
      <c r="G5" s="33" t="s">
        <v>89</v>
      </c>
      <c r="H5" s="33" t="s">
        <v>73</v>
      </c>
      <c r="I5" s="202"/>
      <c r="J5" s="202"/>
      <c r="K5" s="202"/>
      <c r="L5" s="202"/>
      <c r="M5" s="57" t="s">
        <v>90</v>
      </c>
      <c r="N5" s="57" t="s">
        <v>46</v>
      </c>
      <c r="O5" s="57" t="s">
        <v>51</v>
      </c>
      <c r="P5" s="57" t="s">
        <v>52</v>
      </c>
      <c r="Q5" s="57" t="s">
        <v>91</v>
      </c>
      <c r="R5" s="57" t="s">
        <v>92</v>
      </c>
      <c r="S5" s="60" t="s">
        <v>93</v>
      </c>
      <c r="T5" s="57" t="s">
        <v>51</v>
      </c>
      <c r="U5" s="226"/>
      <c r="V5" s="207"/>
      <c r="W5" s="202"/>
      <c r="X5" s="202"/>
    </row>
    <row r="6" spans="1:25" s="15" customFormat="1" ht="14.4">
      <c r="A6" s="13"/>
      <c r="B6" s="14">
        <v>1</v>
      </c>
      <c r="C6" s="56" t="s">
        <v>54</v>
      </c>
      <c r="D6" s="56">
        <v>5000</v>
      </c>
      <c r="E6" s="56">
        <v>22</v>
      </c>
      <c r="F6" s="56">
        <v>22</v>
      </c>
      <c r="G6" s="56">
        <f>E6-F6</f>
        <v>0</v>
      </c>
      <c r="H6" s="56">
        <f>D6/21.75*G6</f>
        <v>0</v>
      </c>
      <c r="I6" s="56"/>
      <c r="J6" s="56"/>
      <c r="K6" s="56">
        <f>D6-H6+I6+J6</f>
        <v>5000</v>
      </c>
      <c r="L6" s="56">
        <v>2200</v>
      </c>
      <c r="M6" s="56">
        <f t="shared" ref="M6:R7" si="0">ROUND(MAX(M$18,MIN($L6,M$20))*M$4,2)</f>
        <v>578.08000000000004</v>
      </c>
      <c r="N6" s="56">
        <f t="shared" si="0"/>
        <v>555.70000000000005</v>
      </c>
      <c r="O6" s="56">
        <f t="shared" si="0"/>
        <v>28.9</v>
      </c>
      <c r="P6" s="56">
        <f t="shared" si="0"/>
        <v>18.850000000000001</v>
      </c>
      <c r="Q6" s="56">
        <f t="shared" si="0"/>
        <v>44.46</v>
      </c>
      <c r="R6" s="56">
        <f t="shared" si="0"/>
        <v>289.04000000000002</v>
      </c>
      <c r="S6" s="56">
        <f>ROUND(MAX(S$18,MIN($L6,S$20))*2%+3,2)</f>
        <v>114.14</v>
      </c>
      <c r="T6" s="56">
        <f>ROUND(MAX(T$18,MIN($L6,T$20))*T$4,2)</f>
        <v>7.23</v>
      </c>
      <c r="U6" s="56">
        <f>5000</f>
        <v>5000</v>
      </c>
      <c r="V6" s="56">
        <f>K6-R6-S6-T6-U6</f>
        <v>-410.40999999999985</v>
      </c>
      <c r="W6" s="56">
        <f>ROUND(MAX(V6*{3;10;20;25;30;35;45}%-{0;21;141;266;441;716;1516}*10,),2)</f>
        <v>0</v>
      </c>
      <c r="X6" s="56">
        <f>K6-R6-S6-T6-W6</f>
        <v>4589.59</v>
      </c>
      <c r="Y6" s="16"/>
    </row>
    <row r="7" spans="1:25" s="15" customFormat="1" ht="14.4">
      <c r="A7" s="13"/>
      <c r="B7" s="14">
        <v>2</v>
      </c>
      <c r="C7" s="35" t="s">
        <v>94</v>
      </c>
      <c r="D7" s="56">
        <f>4000</f>
        <v>4000</v>
      </c>
      <c r="E7" s="56">
        <v>22</v>
      </c>
      <c r="F7" s="56">
        <v>22</v>
      </c>
      <c r="G7" s="56">
        <f t="shared" ref="G7" si="1">E7-F7</f>
        <v>0</v>
      </c>
      <c r="H7" s="56">
        <f>4000/21.75*G7</f>
        <v>0</v>
      </c>
      <c r="I7" s="56"/>
      <c r="J7" s="56"/>
      <c r="K7" s="56">
        <f t="shared" ref="K7:K8" si="2">D7-H7+I7+J7</f>
        <v>4000</v>
      </c>
      <c r="L7" s="56">
        <v>2200</v>
      </c>
      <c r="M7" s="56">
        <f t="shared" si="0"/>
        <v>578.08000000000004</v>
      </c>
      <c r="N7" s="56">
        <f t="shared" si="0"/>
        <v>555.70000000000005</v>
      </c>
      <c r="O7" s="56">
        <f t="shared" si="0"/>
        <v>28.9</v>
      </c>
      <c r="P7" s="56">
        <f t="shared" si="0"/>
        <v>18.850000000000001</v>
      </c>
      <c r="Q7" s="56">
        <f t="shared" si="0"/>
        <v>44.46</v>
      </c>
      <c r="R7" s="56">
        <f t="shared" si="0"/>
        <v>289.04000000000002</v>
      </c>
      <c r="S7" s="56">
        <f>ROUND(MAX(S$18,MIN($L7,S$20))*2%+3,2)</f>
        <v>114.14</v>
      </c>
      <c r="T7" s="56">
        <f>ROUND(MAX(T$18,MIN($L7,T$20))*T$4,2)</f>
        <v>7.23</v>
      </c>
      <c r="U7" s="56">
        <v>5000</v>
      </c>
      <c r="V7" s="56">
        <f t="shared" ref="V7" si="3">K7-R7-S7-T7-U7</f>
        <v>-1410.4099999999999</v>
      </c>
      <c r="W7" s="56">
        <f>ROUND(MAX(V7*{3;10;20;25;30;35;45}%-{0;21;141;266;441;716;1516}*10,),2)</f>
        <v>0</v>
      </c>
      <c r="X7" s="56">
        <f>K7-R7-S7-T7-W7</f>
        <v>3589.59</v>
      </c>
    </row>
    <row r="8" spans="1:25" s="15" customFormat="1" ht="14.4">
      <c r="A8" s="13"/>
      <c r="B8" s="14">
        <v>3</v>
      </c>
      <c r="C8" s="35" t="s">
        <v>95</v>
      </c>
      <c r="D8" s="56">
        <v>4000</v>
      </c>
      <c r="E8" s="56">
        <v>22</v>
      </c>
      <c r="F8" s="56">
        <v>22</v>
      </c>
      <c r="G8" s="56">
        <f>E8-F8</f>
        <v>0</v>
      </c>
      <c r="H8" s="56">
        <f>4000/21.75*G8</f>
        <v>0</v>
      </c>
      <c r="I8" s="56"/>
      <c r="J8" s="56"/>
      <c r="K8" s="56">
        <f t="shared" si="2"/>
        <v>4000</v>
      </c>
      <c r="L8" s="56"/>
      <c r="M8" s="56"/>
      <c r="N8" s="56"/>
      <c r="O8" s="56"/>
      <c r="P8" s="56"/>
      <c r="Q8" s="56"/>
      <c r="R8" s="56"/>
      <c r="S8" s="56"/>
      <c r="T8" s="56"/>
      <c r="U8" s="56">
        <v>5000</v>
      </c>
      <c r="V8" s="56">
        <f>K8-R8-S8-T8-U8</f>
        <v>-1000</v>
      </c>
      <c r="W8" s="56">
        <f>ROUND(MAX(V8*{3;10;20;25;30;35;45}%-{0;21;141;266;441;716;1516}*10,),2)</f>
        <v>0</v>
      </c>
      <c r="X8" s="56">
        <f>K8-R8-S8-T8-W8</f>
        <v>4000</v>
      </c>
    </row>
    <row r="9" spans="1:25" s="15" customFormat="1" ht="14.4">
      <c r="A9" s="13"/>
      <c r="B9" s="14"/>
      <c r="C9" s="3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</row>
    <row r="10" spans="1:25" s="15" customFormat="1" ht="13.8">
      <c r="A10" s="13"/>
      <c r="B10" s="228" t="s">
        <v>65</v>
      </c>
      <c r="C10" s="228"/>
      <c r="D10" s="215">
        <f>SUM(D6:D9)</f>
        <v>13000</v>
      </c>
      <c r="E10" s="29"/>
      <c r="F10" s="29"/>
      <c r="G10" s="29"/>
      <c r="H10" s="215">
        <f>SUM(H6:H9)</f>
        <v>0</v>
      </c>
      <c r="I10" s="215">
        <f>SUM(I6:I9)</f>
        <v>0</v>
      </c>
      <c r="J10" s="215">
        <f>SUM(J6:J9)</f>
        <v>0</v>
      </c>
      <c r="K10" s="215">
        <f>SUM(K6:K9)</f>
        <v>13000</v>
      </c>
      <c r="L10" s="215"/>
      <c r="M10" s="63">
        <f>SUM(M6:M9)</f>
        <v>1156.1600000000001</v>
      </c>
      <c r="N10" s="63">
        <f t="shared" ref="N10:T10" si="4">SUM(N6:N9)</f>
        <v>1111.4000000000001</v>
      </c>
      <c r="O10" s="63">
        <f t="shared" si="4"/>
        <v>57.8</v>
      </c>
      <c r="P10" s="63">
        <f t="shared" si="4"/>
        <v>37.700000000000003</v>
      </c>
      <c r="Q10" s="63">
        <f t="shared" si="4"/>
        <v>88.92</v>
      </c>
      <c r="R10" s="63">
        <f t="shared" si="4"/>
        <v>578.08000000000004</v>
      </c>
      <c r="S10" s="63">
        <f t="shared" si="4"/>
        <v>228.28</v>
      </c>
      <c r="T10" s="63">
        <f t="shared" si="4"/>
        <v>14.46</v>
      </c>
      <c r="U10" s="208"/>
      <c r="V10" s="208"/>
      <c r="W10" s="215">
        <f>SUM(W6:W9)</f>
        <v>0</v>
      </c>
      <c r="X10" s="215">
        <f>SUM(X6:X9)</f>
        <v>12179.18</v>
      </c>
    </row>
    <row r="11" spans="1:25" s="15" customFormat="1" ht="13.8">
      <c r="A11" s="13"/>
      <c r="B11" s="228"/>
      <c r="C11" s="228"/>
      <c r="D11" s="215"/>
      <c r="E11" s="29"/>
      <c r="F11" s="29"/>
      <c r="G11" s="29"/>
      <c r="H11" s="215"/>
      <c r="I11" s="215"/>
      <c r="J11" s="215"/>
      <c r="K11" s="215"/>
      <c r="L11" s="215"/>
      <c r="M11" s="215">
        <f>SUM(M10:Q10)</f>
        <v>2451.9800000000005</v>
      </c>
      <c r="N11" s="215"/>
      <c r="O11" s="215"/>
      <c r="P11" s="215"/>
      <c r="Q11" s="215"/>
      <c r="R11" s="215">
        <f>SUM(R10:T10)</f>
        <v>820.82</v>
      </c>
      <c r="S11" s="215"/>
      <c r="T11" s="215"/>
      <c r="U11" s="208"/>
      <c r="V11" s="208"/>
      <c r="W11" s="215"/>
      <c r="X11" s="215"/>
    </row>
    <row r="12" spans="1:25" s="15" customFormat="1" ht="13.8">
      <c r="A12" s="13"/>
      <c r="B12" s="228"/>
      <c r="C12" s="228"/>
      <c r="D12" s="215"/>
      <c r="E12" s="29"/>
      <c r="F12" s="29"/>
      <c r="G12" s="29"/>
      <c r="H12" s="215"/>
      <c r="I12" s="215"/>
      <c r="J12" s="215"/>
      <c r="K12" s="215"/>
      <c r="L12" s="215"/>
      <c r="M12" s="215">
        <f>M11+R11</f>
        <v>3272.8000000000006</v>
      </c>
      <c r="N12" s="215"/>
      <c r="O12" s="215"/>
      <c r="P12" s="215"/>
      <c r="Q12" s="215"/>
      <c r="R12" s="215"/>
      <c r="S12" s="215"/>
      <c r="T12" s="215"/>
      <c r="U12" s="208"/>
      <c r="V12" s="208"/>
      <c r="W12" s="215"/>
      <c r="X12" s="215"/>
    </row>
    <row r="13" spans="1:25" s="20" customFormat="1" ht="13.8">
      <c r="A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9"/>
      <c r="T13" s="19"/>
      <c r="U13" s="19"/>
      <c r="V13" s="19"/>
      <c r="W13" s="19"/>
      <c r="X13" s="19"/>
    </row>
    <row r="14" spans="1:25" s="15" customFormat="1" ht="14.4">
      <c r="A14" s="13"/>
      <c r="B14" s="212" t="s">
        <v>55</v>
      </c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</row>
    <row r="15" spans="1:25" s="15" customFormat="1" ht="13.8">
      <c r="A15" s="13"/>
      <c r="B15" s="21"/>
    </row>
    <row r="16" spans="1:25" s="15" customFormat="1" ht="14.4">
      <c r="A16" s="13"/>
      <c r="B16" s="213" t="s">
        <v>66</v>
      </c>
      <c r="C16" s="213"/>
      <c r="D16" s="18">
        <f>K10+M11</f>
        <v>15451.98</v>
      </c>
      <c r="M16" s="209" t="s">
        <v>96</v>
      </c>
      <c r="N16" s="210"/>
      <c r="O16" s="210"/>
      <c r="P16" s="210"/>
      <c r="Q16" s="211"/>
      <c r="R16" s="209" t="s">
        <v>48</v>
      </c>
      <c r="S16" s="210"/>
      <c r="T16" s="211"/>
      <c r="U16" s="208" t="s">
        <v>97</v>
      </c>
      <c r="Y16" s="16"/>
    </row>
    <row r="17" spans="1:23" s="15" customFormat="1" ht="14.4">
      <c r="A17" s="13"/>
      <c r="B17" s="21"/>
      <c r="M17" s="61" t="s">
        <v>90</v>
      </c>
      <c r="N17" s="61" t="s">
        <v>98</v>
      </c>
      <c r="O17" s="61" t="s">
        <v>51</v>
      </c>
      <c r="P17" s="61" t="s">
        <v>52</v>
      </c>
      <c r="Q17" s="61" t="s">
        <v>91</v>
      </c>
      <c r="R17" s="61" t="s">
        <v>53</v>
      </c>
      <c r="S17" s="58" t="s">
        <v>93</v>
      </c>
      <c r="T17" s="61" t="s">
        <v>51</v>
      </c>
      <c r="U17" s="208"/>
    </row>
    <row r="18" spans="1:23" s="15" customFormat="1" ht="14.4">
      <c r="A18" s="13"/>
      <c r="B18" s="21"/>
      <c r="L18" s="56" t="s">
        <v>67</v>
      </c>
      <c r="M18" s="56">
        <v>3613</v>
      </c>
      <c r="N18" s="56">
        <v>5557</v>
      </c>
      <c r="O18" s="56">
        <v>3613</v>
      </c>
      <c r="P18" s="56">
        <v>4713</v>
      </c>
      <c r="Q18" s="56">
        <v>5557</v>
      </c>
      <c r="R18" s="56">
        <v>3613</v>
      </c>
      <c r="S18" s="56">
        <v>5557</v>
      </c>
      <c r="T18" s="56">
        <v>3613</v>
      </c>
      <c r="U18" s="56"/>
    </row>
    <row r="19" spans="1:23" s="15" customFormat="1" ht="14.4">
      <c r="A19" s="13"/>
      <c r="B19" s="21"/>
      <c r="L19" s="56" t="s">
        <v>99</v>
      </c>
      <c r="M19" s="56">
        <f>ROUND(M18*$M$4,2)</f>
        <v>578.08000000000004</v>
      </c>
      <c r="N19" s="56">
        <f>ROUND(N18*$N$4,2)</f>
        <v>555.70000000000005</v>
      </c>
      <c r="O19" s="56">
        <f>ROUND(O18*$O$4,2)</f>
        <v>28.9</v>
      </c>
      <c r="P19" s="56">
        <f>ROUND(P18*$P$4,2)</f>
        <v>18.850000000000001</v>
      </c>
      <c r="Q19" s="56">
        <f>ROUND(Q18*$Q$4,2)</f>
        <v>44.46</v>
      </c>
      <c r="R19" s="56">
        <f>ROUND(R18*$R$4,2)</f>
        <v>289.04000000000002</v>
      </c>
      <c r="S19" s="56">
        <f>ROUND(S18*2%+3,2)</f>
        <v>114.14</v>
      </c>
      <c r="T19" s="56">
        <f>ROUND(T18*$T$4,2)</f>
        <v>7.23</v>
      </c>
      <c r="U19" s="56">
        <f>SUM(M19:T19)</f>
        <v>1636.4000000000003</v>
      </c>
    </row>
    <row r="20" spans="1:23" s="15" customFormat="1" ht="14.4">
      <c r="A20" s="13"/>
      <c r="B20" s="21"/>
      <c r="L20" s="56" t="s">
        <v>69</v>
      </c>
      <c r="M20" s="56">
        <v>23565</v>
      </c>
      <c r="N20" s="56">
        <v>27786</v>
      </c>
      <c r="O20" s="56">
        <v>23565</v>
      </c>
      <c r="P20" s="56">
        <v>23565</v>
      </c>
      <c r="Q20" s="56">
        <v>27786</v>
      </c>
      <c r="R20" s="56">
        <v>23565</v>
      </c>
      <c r="S20" s="56">
        <v>27786</v>
      </c>
      <c r="T20" s="56">
        <v>23565</v>
      </c>
      <c r="U20" s="56"/>
    </row>
    <row r="21" spans="1:23" s="15" customFormat="1" ht="14.4">
      <c r="A21" s="13"/>
      <c r="B21" s="21"/>
      <c r="L21" s="56" t="s">
        <v>70</v>
      </c>
      <c r="M21" s="56">
        <f>ROUND(M20*$M$4,2)</f>
        <v>3770.4</v>
      </c>
      <c r="N21" s="56">
        <f>ROUND(N20*$N$4,2)</f>
        <v>2778.6</v>
      </c>
      <c r="O21" s="56">
        <f>ROUND(O20*$O$4,2)</f>
        <v>188.52</v>
      </c>
      <c r="P21" s="56">
        <f>ROUND(P20*$P$4,2)</f>
        <v>94.26</v>
      </c>
      <c r="Q21" s="56">
        <f>ROUND(Q20*$Q$4,2)</f>
        <v>222.29</v>
      </c>
      <c r="R21" s="56">
        <f>ROUND(R20*$R$4,2)</f>
        <v>1885.2</v>
      </c>
      <c r="S21" s="56">
        <f>ROUND(S20*2%,2)+3</f>
        <v>558.72</v>
      </c>
      <c r="T21" s="56">
        <f>ROUND(T20*$T$4,2)</f>
        <v>47.13</v>
      </c>
      <c r="U21" s="56">
        <f>SUM(M21:T21)</f>
        <v>9545.119999999999</v>
      </c>
    </row>
    <row r="22" spans="1:23" s="15" customFormat="1" ht="13.8">
      <c r="A22" s="13"/>
      <c r="B22" s="21"/>
    </row>
    <row r="23" spans="1:23" s="15" customFormat="1" ht="13.8">
      <c r="A23" s="13"/>
      <c r="B23" s="21"/>
    </row>
    <row r="24" spans="1:23" s="15" customFormat="1" ht="13.8">
      <c r="A24" s="13"/>
      <c r="B24" s="21"/>
    </row>
    <row r="25" spans="1:23" s="15" customFormat="1" ht="13.8">
      <c r="A25" s="13"/>
      <c r="B25" s="21"/>
    </row>
    <row r="26" spans="1:23" s="15" customFormat="1" ht="13.8">
      <c r="A26" s="13"/>
      <c r="B26" s="21"/>
    </row>
    <row r="27" spans="1:23" s="15" customFormat="1" ht="13.8">
      <c r="A27" s="13"/>
      <c r="B27" s="21"/>
    </row>
    <row r="28" spans="1:23" ht="13.8">
      <c r="W28" s="15"/>
    </row>
  </sheetData>
  <mergeCells count="35">
    <mergeCell ref="W3:W5"/>
    <mergeCell ref="X3:X5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  <mergeCell ref="K10:K12"/>
    <mergeCell ref="M3:Q3"/>
    <mergeCell ref="R3:T3"/>
    <mergeCell ref="U3:U5"/>
    <mergeCell ref="V3:V5"/>
    <mergeCell ref="L10:L12"/>
    <mergeCell ref="U10:U12"/>
    <mergeCell ref="V10:V12"/>
    <mergeCell ref="B10:C12"/>
    <mergeCell ref="D10:D12"/>
    <mergeCell ref="H10:H12"/>
    <mergeCell ref="I10:I12"/>
    <mergeCell ref="J10:J12"/>
    <mergeCell ref="W10:W12"/>
    <mergeCell ref="X10:X12"/>
    <mergeCell ref="M11:Q11"/>
    <mergeCell ref="R11:T11"/>
    <mergeCell ref="M12:T12"/>
    <mergeCell ref="B16:C16"/>
    <mergeCell ref="B14:X14"/>
    <mergeCell ref="M16:Q16"/>
    <mergeCell ref="R16:T16"/>
    <mergeCell ref="U16:U17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Z28"/>
  <sheetViews>
    <sheetView workbookViewId="0">
      <selection activeCell="Z21" sqref="Z21"/>
    </sheetView>
  </sheetViews>
  <sheetFormatPr defaultColWidth="9.109375" defaultRowHeight="20.100000000000001" customHeight="1"/>
  <cols>
    <col min="1" max="1" width="1.33203125" style="51" customWidth="1"/>
    <col min="2" max="2" width="5.21875" style="21" bestFit="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7.88671875" style="12" customWidth="1"/>
    <col min="10" max="10" width="8.77734375" style="12" customWidth="1"/>
    <col min="11" max="11" width="10.109375" style="12" customWidth="1"/>
    <col min="12" max="12" width="9" style="12" customWidth="1"/>
    <col min="13" max="18" width="8.77734375" style="22" customWidth="1"/>
    <col min="19" max="19" width="8.77734375" style="12" customWidth="1"/>
    <col min="20" max="20" width="8.77734375" style="22" customWidth="1"/>
    <col min="21" max="22" width="9" style="15" customWidth="1"/>
    <col min="23" max="26" width="8.109375" style="22" customWidth="1"/>
    <col min="27" max="16384" width="9.109375" style="12"/>
  </cols>
  <sheetData>
    <row r="1" spans="1:26" ht="30" customHeight="1">
      <c r="B1" s="240" t="s">
        <v>79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12"/>
      <c r="Z1" s="12"/>
    </row>
    <row r="2" spans="1:26" ht="20.100000000000001" customHeight="1">
      <c r="B2" s="241" t="s">
        <v>49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12"/>
      <c r="Z2" s="12"/>
    </row>
    <row r="3" spans="1:26" ht="20.100000000000001" customHeight="1">
      <c r="B3" s="242" t="s">
        <v>57</v>
      </c>
      <c r="C3" s="227" t="s">
        <v>58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72" t="s">
        <v>78</v>
      </c>
      <c r="V3" s="272" t="s">
        <v>1</v>
      </c>
      <c r="W3" s="272" t="s">
        <v>109</v>
      </c>
      <c r="X3" s="272" t="s">
        <v>2</v>
      </c>
      <c r="Y3" s="272" t="s">
        <v>101</v>
      </c>
      <c r="Z3" s="272" t="s">
        <v>102</v>
      </c>
    </row>
    <row r="4" spans="1:26" ht="20.100000000000001" customHeight="1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45">
        <v>0.16</v>
      </c>
      <c r="N4" s="45">
        <v>0.1</v>
      </c>
      <c r="O4" s="45">
        <v>8.0000000000000002E-3</v>
      </c>
      <c r="P4" s="45">
        <v>4.0000000000000001E-3</v>
      </c>
      <c r="Q4" s="45">
        <v>8.0000000000000002E-3</v>
      </c>
      <c r="R4" s="45">
        <v>0.08</v>
      </c>
      <c r="S4" s="44" t="s">
        <v>0</v>
      </c>
      <c r="T4" s="45">
        <v>2E-3</v>
      </c>
      <c r="U4" s="273"/>
      <c r="V4" s="273"/>
      <c r="W4" s="273"/>
      <c r="X4" s="273"/>
      <c r="Y4" s="273"/>
      <c r="Z4" s="273"/>
    </row>
    <row r="5" spans="1:26" ht="20.100000000000001" customHeight="1">
      <c r="B5" s="244"/>
      <c r="C5" s="202"/>
      <c r="D5" s="202"/>
      <c r="E5" s="43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45" t="s">
        <v>53</v>
      </c>
      <c r="N5" s="45" t="s">
        <v>46</v>
      </c>
      <c r="O5" s="45" t="s">
        <v>51</v>
      </c>
      <c r="P5" s="45" t="s">
        <v>52</v>
      </c>
      <c r="Q5" s="45" t="s">
        <v>64</v>
      </c>
      <c r="R5" s="45" t="s">
        <v>53</v>
      </c>
      <c r="S5" s="44" t="s">
        <v>46</v>
      </c>
      <c r="T5" s="45" t="s">
        <v>51</v>
      </c>
      <c r="U5" s="274"/>
      <c r="V5" s="274"/>
      <c r="W5" s="274"/>
      <c r="X5" s="274"/>
      <c r="Y5" s="274"/>
      <c r="Z5" s="274"/>
    </row>
    <row r="6" spans="1:26" s="15" customFormat="1" ht="20.100000000000001" customHeight="1">
      <c r="A6" s="13"/>
      <c r="B6" s="14">
        <v>1</v>
      </c>
      <c r="C6" s="50" t="s">
        <v>54</v>
      </c>
      <c r="D6" s="50">
        <v>7000</v>
      </c>
      <c r="E6" s="50">
        <v>22</v>
      </c>
      <c r="F6" s="50">
        <v>22</v>
      </c>
      <c r="G6" s="50">
        <f>E6-F6</f>
        <v>0</v>
      </c>
      <c r="H6" s="50">
        <f>D6/21.75*G6</f>
        <v>0</v>
      </c>
      <c r="I6" s="50"/>
      <c r="J6" s="50"/>
      <c r="K6" s="50">
        <f>D6-H6+I6+J6</f>
        <v>7000</v>
      </c>
      <c r="L6" s="50">
        <v>2200</v>
      </c>
      <c r="M6" s="50">
        <f t="shared" ref="M6:R7" si="0">ROUND(MAX(M$19,MIN($L6,M$21))*M$4,2)</f>
        <v>578.08000000000004</v>
      </c>
      <c r="N6" s="50">
        <f t="shared" si="0"/>
        <v>555.70000000000005</v>
      </c>
      <c r="O6" s="50">
        <f t="shared" si="0"/>
        <v>28.9</v>
      </c>
      <c r="P6" s="50">
        <f t="shared" si="0"/>
        <v>18.850000000000001</v>
      </c>
      <c r="Q6" s="50">
        <f t="shared" si="0"/>
        <v>44.46</v>
      </c>
      <c r="R6" s="50">
        <f t="shared" si="0"/>
        <v>289.04000000000002</v>
      </c>
      <c r="S6" s="50">
        <f>ROUND(MAX(S$19,MIN($L6,S$21))*2%+3,2)</f>
        <v>114.14</v>
      </c>
      <c r="T6" s="50">
        <f>ROUND(MAX(T$19,MIN($L6,T$21))*T$4,2)</f>
        <v>7.23</v>
      </c>
      <c r="U6" s="50">
        <f>R6+S6+T6</f>
        <v>410.41</v>
      </c>
      <c r="V6" s="52">
        <f>5000-5000-U6</f>
        <v>-410.41</v>
      </c>
      <c r="W6" s="72">
        <f>ROUND(MAX(V6*{3;10;20;25;30;35;45}%-{0;21;141;266;441;716;1516}*10,),2)</f>
        <v>0</v>
      </c>
      <c r="X6" s="50">
        <f>K6-U6</f>
        <v>6589.59</v>
      </c>
      <c r="Y6" s="64">
        <v>4589.59</v>
      </c>
      <c r="Z6" s="64">
        <v>2000</v>
      </c>
    </row>
    <row r="7" spans="1:26" s="15" customFormat="1" ht="20.100000000000001" customHeight="1">
      <c r="A7" s="13"/>
      <c r="B7" s="14">
        <v>2</v>
      </c>
      <c r="C7" s="35" t="s">
        <v>75</v>
      </c>
      <c r="D7" s="50">
        <f>4000</f>
        <v>4000</v>
      </c>
      <c r="E7" s="50">
        <v>22</v>
      </c>
      <c r="F7" s="50">
        <v>22</v>
      </c>
      <c r="G7" s="50">
        <f t="shared" ref="G7" si="1">E7-F7</f>
        <v>0</v>
      </c>
      <c r="H7" s="50">
        <f>4000/21.75*G7</f>
        <v>0</v>
      </c>
      <c r="I7" s="52"/>
      <c r="J7" s="50"/>
      <c r="K7" s="50">
        <f t="shared" ref="K7:K8" si="2">D7-H7+I7+J7</f>
        <v>4000</v>
      </c>
      <c r="L7" s="50">
        <v>2200</v>
      </c>
      <c r="M7" s="50">
        <f t="shared" si="0"/>
        <v>578.08000000000004</v>
      </c>
      <c r="N7" s="50">
        <f t="shared" si="0"/>
        <v>555.70000000000005</v>
      </c>
      <c r="O7" s="50">
        <f t="shared" si="0"/>
        <v>28.9</v>
      </c>
      <c r="P7" s="50">
        <f t="shared" si="0"/>
        <v>18.850000000000001</v>
      </c>
      <c r="Q7" s="50">
        <f t="shared" si="0"/>
        <v>44.46</v>
      </c>
      <c r="R7" s="50">
        <f t="shared" si="0"/>
        <v>289.04000000000002</v>
      </c>
      <c r="S7" s="50">
        <f>ROUND(MAX(S$19,MIN($L7,S$21))*2%+3,2)</f>
        <v>114.14</v>
      </c>
      <c r="T7" s="50">
        <f>ROUND(MAX(T$19,MIN($L7,T$21))*T$4,2)</f>
        <v>7.23</v>
      </c>
      <c r="U7" s="50">
        <f>R7+S7+T7</f>
        <v>410.41</v>
      </c>
      <c r="V7" s="52">
        <f t="shared" ref="V7:V8" si="3">K7-5000-U7</f>
        <v>-1410.41</v>
      </c>
      <c r="W7" s="72">
        <f>ROUND(MAX(V7*{3;10;20;25;30;35;45}%-{0;21;141;266;441;716;1516}*10,),2)</f>
        <v>0</v>
      </c>
      <c r="X7" s="52">
        <f>K7-U7</f>
        <v>3589.59</v>
      </c>
      <c r="Y7" s="64">
        <v>3589.59</v>
      </c>
      <c r="Z7" s="64"/>
    </row>
    <row r="8" spans="1:26" s="15" customFormat="1" ht="20.100000000000001" customHeight="1">
      <c r="A8" s="13"/>
      <c r="B8" s="14">
        <v>3</v>
      </c>
      <c r="C8" s="35" t="s">
        <v>76</v>
      </c>
      <c r="D8" s="50">
        <v>4000</v>
      </c>
      <c r="E8" s="50">
        <v>22</v>
      </c>
      <c r="F8" s="50">
        <v>22</v>
      </c>
      <c r="G8" s="50">
        <f>E8-F8</f>
        <v>0</v>
      </c>
      <c r="H8" s="50">
        <f>4000/21.75*G8</f>
        <v>0</v>
      </c>
      <c r="I8" s="52"/>
      <c r="J8" s="50"/>
      <c r="K8" s="50">
        <f t="shared" si="2"/>
        <v>4000</v>
      </c>
      <c r="L8" s="50"/>
      <c r="M8" s="50"/>
      <c r="N8" s="50"/>
      <c r="O8" s="50"/>
      <c r="P8" s="50"/>
      <c r="Q8" s="50"/>
      <c r="R8" s="50"/>
      <c r="S8" s="50"/>
      <c r="T8" s="50"/>
      <c r="U8" s="50">
        <f>R8+S8+T8</f>
        <v>0</v>
      </c>
      <c r="V8" s="52">
        <f t="shared" si="3"/>
        <v>-1000</v>
      </c>
      <c r="W8" s="72">
        <f>ROUND(MAX(V8*{3;10;20;25;30;35;45}%-{0;21;141;266;441;716;1516}*10,),2)</f>
        <v>0</v>
      </c>
      <c r="X8" s="52">
        <f>K8-U8</f>
        <v>4000</v>
      </c>
      <c r="Y8" s="64">
        <v>4000</v>
      </c>
      <c r="Z8" s="64"/>
    </row>
    <row r="9" spans="1:26" s="15" customFormat="1" ht="20.100000000000001" hidden="1" customHeight="1">
      <c r="A9" s="13"/>
      <c r="B9" s="14"/>
      <c r="C9" s="35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72"/>
      <c r="X9" s="52"/>
      <c r="Y9" s="64"/>
      <c r="Z9" s="64"/>
    </row>
    <row r="10" spans="1:26" s="15" customFormat="1" ht="20.100000000000001" hidden="1" customHeight="1">
      <c r="A10" s="13"/>
      <c r="B10" s="14"/>
      <c r="C10" s="35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2"/>
      <c r="W10" s="72"/>
      <c r="X10" s="50"/>
      <c r="Y10" s="64"/>
      <c r="Z10" s="64"/>
    </row>
    <row r="11" spans="1:26" s="15" customFormat="1" ht="20.100000000000001" customHeight="1">
      <c r="A11" s="13"/>
      <c r="B11" s="251" t="s">
        <v>65</v>
      </c>
      <c r="C11" s="253"/>
      <c r="D11" s="275">
        <f>SUM(D6:D10)</f>
        <v>15000</v>
      </c>
      <c r="E11" s="46"/>
      <c r="F11" s="46"/>
      <c r="G11" s="46"/>
      <c r="H11" s="275">
        <f>SUM(H6:H10)</f>
        <v>0</v>
      </c>
      <c r="I11" s="275">
        <f>SUM(I6:I10)</f>
        <v>0</v>
      </c>
      <c r="J11" s="46"/>
      <c r="K11" s="275">
        <f>SUM(K6:K10)</f>
        <v>15000</v>
      </c>
      <c r="L11" s="275"/>
      <c r="M11" s="50">
        <f t="shared" ref="M11:U11" si="4">SUM(M6:M10)</f>
        <v>1156.1600000000001</v>
      </c>
      <c r="N11" s="50">
        <f t="shared" si="4"/>
        <v>1111.4000000000001</v>
      </c>
      <c r="O11" s="50">
        <f t="shared" si="4"/>
        <v>57.8</v>
      </c>
      <c r="P11" s="50">
        <f t="shared" si="4"/>
        <v>37.700000000000003</v>
      </c>
      <c r="Q11" s="50">
        <f t="shared" si="4"/>
        <v>88.92</v>
      </c>
      <c r="R11" s="50">
        <f t="shared" si="4"/>
        <v>578.08000000000004</v>
      </c>
      <c r="S11" s="50">
        <f t="shared" si="4"/>
        <v>228.28</v>
      </c>
      <c r="T11" s="50">
        <f t="shared" si="4"/>
        <v>14.46</v>
      </c>
      <c r="U11" s="275">
        <f t="shared" si="4"/>
        <v>820.82</v>
      </c>
      <c r="V11" s="53"/>
      <c r="W11" s="79"/>
      <c r="X11" s="275">
        <f>SUM(X6:X10)</f>
        <v>14179.18</v>
      </c>
      <c r="Y11" s="275">
        <f t="shared" ref="Y11:Z11" si="5">SUM(Y6:Y10)</f>
        <v>12179.18</v>
      </c>
      <c r="Z11" s="275">
        <f t="shared" si="5"/>
        <v>2000</v>
      </c>
    </row>
    <row r="12" spans="1:26" s="15" customFormat="1" ht="15" customHeight="1">
      <c r="A12" s="13"/>
      <c r="B12" s="278"/>
      <c r="C12" s="279"/>
      <c r="D12" s="276"/>
      <c r="E12" s="47"/>
      <c r="F12" s="47"/>
      <c r="G12" s="47"/>
      <c r="H12" s="276"/>
      <c r="I12" s="276"/>
      <c r="J12" s="47"/>
      <c r="K12" s="276"/>
      <c r="L12" s="276"/>
      <c r="M12" s="257">
        <f>SUM(M11:Q11)</f>
        <v>2451.9800000000005</v>
      </c>
      <c r="N12" s="258"/>
      <c r="O12" s="258"/>
      <c r="P12" s="258"/>
      <c r="Q12" s="259"/>
      <c r="R12" s="257">
        <f>SUM(R11:T11)</f>
        <v>820.82</v>
      </c>
      <c r="S12" s="258"/>
      <c r="T12" s="259"/>
      <c r="U12" s="276"/>
      <c r="V12" s="54"/>
      <c r="W12" s="80"/>
      <c r="X12" s="276"/>
      <c r="Y12" s="276"/>
      <c r="Z12" s="276"/>
    </row>
    <row r="13" spans="1:26" s="15" customFormat="1" ht="15" customHeight="1">
      <c r="A13" s="13"/>
      <c r="B13" s="280"/>
      <c r="C13" s="281"/>
      <c r="D13" s="277"/>
      <c r="E13" s="48"/>
      <c r="F13" s="48"/>
      <c r="G13" s="48"/>
      <c r="H13" s="277"/>
      <c r="I13" s="277"/>
      <c r="J13" s="48"/>
      <c r="K13" s="277"/>
      <c r="L13" s="277"/>
      <c r="M13" s="257">
        <f>M12+R12</f>
        <v>3272.8000000000006</v>
      </c>
      <c r="N13" s="258"/>
      <c r="O13" s="258"/>
      <c r="P13" s="258"/>
      <c r="Q13" s="258"/>
      <c r="R13" s="258"/>
      <c r="S13" s="258"/>
      <c r="T13" s="259"/>
      <c r="U13" s="277"/>
      <c r="V13" s="55"/>
      <c r="W13" s="81"/>
      <c r="X13" s="277"/>
      <c r="Y13" s="277"/>
      <c r="Z13" s="277"/>
    </row>
    <row r="14" spans="1:26" s="20" customFormat="1" ht="20.100000000000001" customHeight="1">
      <c r="A14" s="17"/>
      <c r="B14" s="213" t="s">
        <v>66</v>
      </c>
      <c r="C14" s="213"/>
      <c r="D14" s="18">
        <f>K11+M12</f>
        <v>17451.98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</row>
    <row r="15" spans="1:26" s="15" customFormat="1" ht="20.100000000000001" customHeight="1">
      <c r="A15" s="13"/>
      <c r="B15" s="212" t="s">
        <v>55</v>
      </c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</row>
    <row r="16" spans="1:26" s="15" customFormat="1" ht="20.100000000000001" customHeight="1">
      <c r="A16" s="13"/>
      <c r="B16" s="21"/>
    </row>
    <row r="17" spans="1:22" s="15" customFormat="1" ht="20.100000000000001" customHeight="1">
      <c r="A17" s="13"/>
      <c r="B17" s="21"/>
      <c r="M17" s="209" t="s">
        <v>47</v>
      </c>
      <c r="N17" s="210"/>
      <c r="O17" s="210"/>
      <c r="P17" s="210"/>
      <c r="Q17" s="211"/>
      <c r="R17" s="209" t="s">
        <v>48</v>
      </c>
      <c r="S17" s="210"/>
      <c r="T17" s="211"/>
      <c r="U17" s="208" t="s">
        <v>56</v>
      </c>
      <c r="V17" s="13"/>
    </row>
    <row r="18" spans="1:22" s="15" customFormat="1" ht="20.100000000000001" customHeight="1">
      <c r="A18" s="13"/>
      <c r="B18" s="21"/>
      <c r="M18" s="49" t="s">
        <v>53</v>
      </c>
      <c r="N18" s="49" t="s">
        <v>46</v>
      </c>
      <c r="O18" s="49" t="s">
        <v>51</v>
      </c>
      <c r="P18" s="49" t="s">
        <v>52</v>
      </c>
      <c r="Q18" s="49" t="s">
        <v>64</v>
      </c>
      <c r="R18" s="49" t="s">
        <v>53</v>
      </c>
      <c r="S18" s="42" t="s">
        <v>46</v>
      </c>
      <c r="T18" s="49" t="s">
        <v>51</v>
      </c>
      <c r="U18" s="208"/>
      <c r="V18" s="13"/>
    </row>
    <row r="19" spans="1:22" s="15" customFormat="1" ht="20.100000000000001" customHeight="1">
      <c r="A19" s="13"/>
      <c r="B19" s="21"/>
      <c r="L19" s="50" t="s">
        <v>67</v>
      </c>
      <c r="M19" s="50">
        <v>3613</v>
      </c>
      <c r="N19" s="50">
        <v>5557</v>
      </c>
      <c r="O19" s="50">
        <v>3613</v>
      </c>
      <c r="P19" s="50">
        <v>4713</v>
      </c>
      <c r="Q19" s="50">
        <v>5557</v>
      </c>
      <c r="R19" s="50">
        <v>3613</v>
      </c>
      <c r="S19" s="50">
        <v>5557</v>
      </c>
      <c r="T19" s="50">
        <v>3613</v>
      </c>
      <c r="U19" s="50"/>
      <c r="V19" s="13"/>
    </row>
    <row r="20" spans="1:22" s="15" customFormat="1" ht="20.100000000000001" customHeight="1">
      <c r="A20" s="13"/>
      <c r="B20" s="21"/>
      <c r="L20" s="50" t="s">
        <v>68</v>
      </c>
      <c r="M20" s="50">
        <f>ROUND(M19*$M$4,2)</f>
        <v>578.08000000000004</v>
      </c>
      <c r="N20" s="50">
        <f>ROUND(N19*$N$4,2)</f>
        <v>555.70000000000005</v>
      </c>
      <c r="O20" s="50">
        <f>ROUND(O19*$O$4,2)</f>
        <v>28.9</v>
      </c>
      <c r="P20" s="50">
        <f>ROUND(P19*$P$4,2)</f>
        <v>18.850000000000001</v>
      </c>
      <c r="Q20" s="50">
        <f>ROUND(Q19*$Q$4,2)</f>
        <v>44.46</v>
      </c>
      <c r="R20" s="50">
        <f>ROUND(R19*$R$4,2)</f>
        <v>289.04000000000002</v>
      </c>
      <c r="S20" s="50">
        <f>ROUND(S19*2%+3,2)</f>
        <v>114.14</v>
      </c>
      <c r="T20" s="50">
        <f>ROUND(T19*$T$4,2)</f>
        <v>7.23</v>
      </c>
      <c r="U20" s="50">
        <f>SUM(M20:T20)</f>
        <v>1636.4000000000003</v>
      </c>
      <c r="V20" s="13"/>
    </row>
    <row r="21" spans="1:22" s="15" customFormat="1" ht="20.100000000000001" customHeight="1">
      <c r="A21" s="13"/>
      <c r="B21" s="21"/>
      <c r="L21" s="50" t="s">
        <v>69</v>
      </c>
      <c r="M21" s="50">
        <v>23565</v>
      </c>
      <c r="N21" s="50">
        <v>27786</v>
      </c>
      <c r="O21" s="50">
        <v>23565</v>
      </c>
      <c r="P21" s="50">
        <v>23565</v>
      </c>
      <c r="Q21" s="50">
        <v>27786</v>
      </c>
      <c r="R21" s="50">
        <v>23565</v>
      </c>
      <c r="S21" s="50">
        <v>27786</v>
      </c>
      <c r="T21" s="50">
        <v>23565</v>
      </c>
      <c r="U21" s="50"/>
      <c r="V21" s="13"/>
    </row>
    <row r="22" spans="1:22" s="15" customFormat="1" ht="20.100000000000001" customHeight="1">
      <c r="A22" s="13"/>
      <c r="B22" s="21"/>
      <c r="L22" s="50" t="s">
        <v>70</v>
      </c>
      <c r="M22" s="50">
        <f>ROUND(M21*$M$4,2)</f>
        <v>3770.4</v>
      </c>
      <c r="N22" s="50">
        <f>ROUND(N21*$N$4,2)</f>
        <v>2778.6</v>
      </c>
      <c r="O22" s="50">
        <f>ROUND(O21*$O$4,2)</f>
        <v>188.52</v>
      </c>
      <c r="P22" s="50">
        <f>ROUND(P21*$P$4,2)</f>
        <v>94.26</v>
      </c>
      <c r="Q22" s="50">
        <f>ROUND(Q21*$Q$4,2)</f>
        <v>222.29</v>
      </c>
      <c r="R22" s="50">
        <f>ROUND(R21*$R$4,2)</f>
        <v>1885.2</v>
      </c>
      <c r="S22" s="50">
        <f>ROUND(S21*2%,2)+3</f>
        <v>558.72</v>
      </c>
      <c r="T22" s="50">
        <f>ROUND(T21*$T$4,2)</f>
        <v>47.13</v>
      </c>
      <c r="U22" s="50">
        <f>SUM(M22:T22)</f>
        <v>9545.119999999999</v>
      </c>
      <c r="V22" s="13"/>
    </row>
    <row r="23" spans="1:22" s="15" customFormat="1" ht="20.100000000000001" customHeight="1">
      <c r="A23" s="13"/>
      <c r="B23" s="21"/>
    </row>
    <row r="24" spans="1:22" s="15" customFormat="1" ht="20.100000000000001" customHeight="1">
      <c r="A24" s="13"/>
      <c r="B24" s="21"/>
    </row>
    <row r="25" spans="1:22" s="15" customFormat="1" ht="20.100000000000001" customHeight="1">
      <c r="A25" s="13"/>
      <c r="B25" s="21"/>
    </row>
    <row r="26" spans="1:22" s="15" customFormat="1" ht="20.100000000000001" customHeight="1">
      <c r="A26" s="13"/>
      <c r="B26" s="21"/>
    </row>
    <row r="27" spans="1:22" s="15" customFormat="1" ht="20.100000000000001" customHeight="1">
      <c r="A27" s="13"/>
      <c r="B27" s="21"/>
    </row>
    <row r="28" spans="1:22" s="15" customFormat="1" ht="20.100000000000001" customHeight="1">
      <c r="A28" s="13"/>
      <c r="B28" s="21"/>
    </row>
  </sheetData>
  <mergeCells count="36">
    <mergeCell ref="B1:X1"/>
    <mergeCell ref="B2:X2"/>
    <mergeCell ref="B3:B5"/>
    <mergeCell ref="C3:C5"/>
    <mergeCell ref="D3:D5"/>
    <mergeCell ref="E3:H4"/>
    <mergeCell ref="I3:I5"/>
    <mergeCell ref="K3:K5"/>
    <mergeCell ref="L3:L5"/>
    <mergeCell ref="M3:Q3"/>
    <mergeCell ref="V3:V5"/>
    <mergeCell ref="J3:J5"/>
    <mergeCell ref="X3:X5"/>
    <mergeCell ref="B15:X15"/>
    <mergeCell ref="M17:Q17"/>
    <mergeCell ref="R17:T17"/>
    <mergeCell ref="U17:U18"/>
    <mergeCell ref="L11:L13"/>
    <mergeCell ref="U11:U13"/>
    <mergeCell ref="X11:X13"/>
    <mergeCell ref="M12:Q12"/>
    <mergeCell ref="R12:T12"/>
    <mergeCell ref="M13:T13"/>
    <mergeCell ref="B11:C13"/>
    <mergeCell ref="D11:D13"/>
    <mergeCell ref="H11:H13"/>
    <mergeCell ref="I11:I13"/>
    <mergeCell ref="K11:K13"/>
    <mergeCell ref="Y3:Y5"/>
    <mergeCell ref="Z3:Z5"/>
    <mergeCell ref="Y11:Y13"/>
    <mergeCell ref="Z11:Z13"/>
    <mergeCell ref="B14:C14"/>
    <mergeCell ref="R3:T3"/>
    <mergeCell ref="U3:U5"/>
    <mergeCell ref="W3:W5"/>
  </mergeCells>
  <phoneticPr fontId="1" type="noConversion"/>
  <pageMargins left="0.42" right="0.17" top="0.45" bottom="0.75" header="0.3" footer="0.3"/>
  <pageSetup paperSize="9" scale="62" orientation="portrait" r:id="rId1"/>
  <ignoredErrors>
    <ignoredError sqref="S6 S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6"/>
  <sheetViews>
    <sheetView tabSelected="1" workbookViewId="0">
      <pane xSplit="3" ySplit="5" topLeftCell="D11" activePane="bottomRight" state="frozen"/>
      <selection pane="topRight" activeCell="D1" sqref="D1"/>
      <selection pane="bottomLeft" activeCell="A6" sqref="A6"/>
      <selection pane="bottomRight" activeCell="V7" sqref="V7"/>
    </sheetView>
  </sheetViews>
  <sheetFormatPr defaultColWidth="9.109375" defaultRowHeight="20.100000000000001" customHeight="1"/>
  <cols>
    <col min="1" max="1" width="1.33203125" style="173" customWidth="1"/>
    <col min="2" max="2" width="4.88671875" style="21" bestFit="1" customWidth="1"/>
    <col min="3" max="4" width="7" style="12" customWidth="1"/>
    <col min="5" max="6" width="9" style="12" customWidth="1"/>
    <col min="7" max="7" width="10.88671875" style="22" customWidth="1"/>
    <col min="8" max="8" width="9.77734375" style="22" customWidth="1"/>
    <col min="9" max="9" width="9.77734375" style="22" bestFit="1" customWidth="1"/>
    <col min="10" max="13" width="9.77734375" style="22" customWidth="1"/>
    <col min="14" max="14" width="9.77734375" style="22" bestFit="1" customWidth="1"/>
    <col min="15" max="15" width="9.77734375" style="12" bestFit="1" customWidth="1"/>
    <col min="16" max="16" width="9.77734375" style="22" customWidth="1"/>
    <col min="17" max="17" width="9.77734375" style="15" customWidth="1"/>
    <col min="18" max="18" width="9.77734375" style="22" bestFit="1" customWidth="1"/>
    <col min="19" max="19" width="9.77734375" style="12" bestFit="1" customWidth="1"/>
    <col min="20" max="20" width="9.77734375" style="22" customWidth="1"/>
    <col min="21" max="21" width="9.33203125" style="22" customWidth="1"/>
    <col min="22" max="22" width="8.44140625" style="12" customWidth="1"/>
    <col min="23" max="23" width="10" style="12" customWidth="1"/>
    <col min="24" max="24" width="7.88671875" style="12" bestFit="1" customWidth="1"/>
    <col min="25" max="25" width="5.44140625" style="24" customWidth="1"/>
    <col min="26" max="26" width="5.44140625" style="12" customWidth="1"/>
    <col min="27" max="28" width="5.21875" style="12" customWidth="1"/>
    <col min="29" max="30" width="6.44140625" style="12" customWidth="1"/>
    <col min="31" max="31" width="6.6640625" style="12" customWidth="1"/>
    <col min="32" max="32" width="5.44140625" style="12" customWidth="1"/>
    <col min="33" max="16384" width="9.109375" style="12"/>
  </cols>
  <sheetData>
    <row r="1" spans="1:25" ht="30" customHeight="1">
      <c r="B1" s="240" t="s">
        <v>152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169"/>
      <c r="S1" s="169"/>
      <c r="T1" s="169"/>
      <c r="U1" s="23"/>
      <c r="V1" s="23"/>
      <c r="W1" s="23"/>
    </row>
    <row r="2" spans="1:25" ht="20.100000000000001" customHeight="1">
      <c r="B2" s="25" t="s">
        <v>145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5" ht="20.100000000000001" customHeight="1">
      <c r="B3" s="242" t="s">
        <v>32</v>
      </c>
      <c r="C3" s="227" t="s">
        <v>22</v>
      </c>
      <c r="D3" s="285" t="s">
        <v>170</v>
      </c>
      <c r="E3" s="227" t="s">
        <v>33</v>
      </c>
      <c r="F3" s="229" t="s">
        <v>34</v>
      </c>
      <c r="G3" s="229"/>
      <c r="H3" s="229"/>
      <c r="I3" s="229"/>
      <c r="J3" s="229"/>
      <c r="K3" s="229"/>
      <c r="L3" s="229"/>
      <c r="M3" s="229"/>
      <c r="N3" s="229" t="s">
        <v>23</v>
      </c>
      <c r="O3" s="229"/>
      <c r="P3" s="229"/>
      <c r="Q3" s="224" t="s">
        <v>30</v>
      </c>
      <c r="R3" s="248" t="s">
        <v>120</v>
      </c>
      <c r="S3" s="229"/>
      <c r="T3" s="229"/>
      <c r="U3" s="249"/>
      <c r="V3" s="250"/>
      <c r="W3" s="250"/>
    </row>
    <row r="4" spans="1:25" ht="20.100000000000001" customHeight="1">
      <c r="B4" s="243"/>
      <c r="C4" s="201"/>
      <c r="D4" s="286"/>
      <c r="E4" s="201"/>
      <c r="F4" s="246" t="s">
        <v>165</v>
      </c>
      <c r="G4" s="190">
        <v>0.16</v>
      </c>
      <c r="H4" s="283" t="s">
        <v>166</v>
      </c>
      <c r="I4" s="190">
        <v>0.108</v>
      </c>
      <c r="J4" s="229" t="s">
        <v>168</v>
      </c>
      <c r="K4" s="190">
        <v>8.0000000000000002E-3</v>
      </c>
      <c r="L4" s="229" t="s">
        <v>169</v>
      </c>
      <c r="M4" s="190">
        <v>4.0000000000000001E-3</v>
      </c>
      <c r="N4" s="168">
        <v>0.08</v>
      </c>
      <c r="O4" s="170" t="s">
        <v>0</v>
      </c>
      <c r="P4" s="168">
        <v>2E-3</v>
      </c>
      <c r="Q4" s="225"/>
      <c r="R4" s="114">
        <v>0.05</v>
      </c>
      <c r="S4" s="114">
        <v>0.05</v>
      </c>
      <c r="T4" s="114">
        <v>0.1</v>
      </c>
      <c r="U4" s="249"/>
      <c r="V4" s="250"/>
      <c r="W4" s="250"/>
    </row>
    <row r="5" spans="1:25" ht="20.100000000000001" customHeight="1">
      <c r="B5" s="244"/>
      <c r="C5" s="202"/>
      <c r="D5" s="287"/>
      <c r="E5" s="202"/>
      <c r="F5" s="246"/>
      <c r="G5" s="190" t="s">
        <v>24</v>
      </c>
      <c r="H5" s="283"/>
      <c r="I5" s="190" t="s">
        <v>167</v>
      </c>
      <c r="J5" s="229"/>
      <c r="K5" s="190" t="s">
        <v>26</v>
      </c>
      <c r="L5" s="229"/>
      <c r="M5" s="190" t="s">
        <v>27</v>
      </c>
      <c r="N5" s="168" t="s">
        <v>24</v>
      </c>
      <c r="O5" s="170" t="s">
        <v>25</v>
      </c>
      <c r="P5" s="168" t="s">
        <v>26</v>
      </c>
      <c r="Q5" s="226"/>
      <c r="R5" s="172" t="s">
        <v>117</v>
      </c>
      <c r="S5" s="113" t="s">
        <v>118</v>
      </c>
      <c r="T5" s="172" t="s">
        <v>119</v>
      </c>
      <c r="U5" s="249"/>
      <c r="V5" s="250"/>
      <c r="W5" s="250"/>
    </row>
    <row r="6" spans="1:25" s="15" customFormat="1" ht="20.100000000000001" customHeight="1">
      <c r="A6" s="13"/>
      <c r="B6" s="14">
        <v>1</v>
      </c>
      <c r="C6" s="167" t="s">
        <v>29</v>
      </c>
      <c r="D6" s="193" t="s">
        <v>171</v>
      </c>
      <c r="E6" s="167">
        <v>2200</v>
      </c>
      <c r="F6" s="193">
        <f>MAX(3613,MIN(E6,23565))</f>
        <v>3613</v>
      </c>
      <c r="G6" s="167">
        <f>ROUND(F6*16%*0,2)</f>
        <v>0</v>
      </c>
      <c r="H6" s="193">
        <f>MAX(5360,MIN(E6,27786))</f>
        <v>5360</v>
      </c>
      <c r="I6" s="167">
        <f>ROUND(H6*10.8%,2)</f>
        <v>578.88</v>
      </c>
      <c r="J6" s="193">
        <f>MAX(3613,MIN(E6,23565))</f>
        <v>3613</v>
      </c>
      <c r="K6" s="167">
        <f>ROUND(J6*0.8%*0,2)</f>
        <v>0</v>
      </c>
      <c r="L6" s="193">
        <f>MAX(4713,MIN(E6,23565))</f>
        <v>4713</v>
      </c>
      <c r="M6" s="167">
        <f>ROUND(L6*0.4%*0,2)</f>
        <v>0</v>
      </c>
      <c r="N6" s="167">
        <f>ROUND(F6*8%,2)</f>
        <v>289.04000000000002</v>
      </c>
      <c r="O6" s="167">
        <f>ROUND(H6*2%+3,2)</f>
        <v>110.2</v>
      </c>
      <c r="P6" s="167">
        <f>IF(COUNTIF(D6,"*城镇*")&gt;0,ROUND(J6*0.2%,2),0)</f>
        <v>7.23</v>
      </c>
      <c r="Q6" s="167">
        <f>SUM(G6,I6,K6,M6,N6,O6,P6)</f>
        <v>985.35000000000014</v>
      </c>
      <c r="R6" s="167"/>
      <c r="S6" s="167"/>
      <c r="T6" s="167">
        <f>R6+S6</f>
        <v>0</v>
      </c>
      <c r="U6" s="171"/>
      <c r="V6" s="13"/>
      <c r="W6" s="13"/>
      <c r="Y6" s="27"/>
    </row>
    <row r="7" spans="1:25" s="15" customFormat="1" ht="20.100000000000001" customHeight="1">
      <c r="A7" s="13"/>
      <c r="B7" s="14">
        <v>2</v>
      </c>
      <c r="C7" s="34" t="s">
        <v>104</v>
      </c>
      <c r="D7" s="193" t="s">
        <v>171</v>
      </c>
      <c r="E7" s="167">
        <v>2200</v>
      </c>
      <c r="F7" s="193">
        <f t="shared" ref="F7:F14" si="0">MAX(3613,MIN(E7,23565))</f>
        <v>3613</v>
      </c>
      <c r="G7" s="193">
        <f t="shared" ref="G7:G14" si="1">ROUND(F7*16%*0,2)</f>
        <v>0</v>
      </c>
      <c r="H7" s="193">
        <f t="shared" ref="H7:H14" si="2">MAX(5360,MIN(E7,27786))</f>
        <v>5360</v>
      </c>
      <c r="I7" s="193">
        <f t="shared" ref="I7:I14" si="3">ROUND(H7*10.8%,2)</f>
        <v>578.88</v>
      </c>
      <c r="J7" s="193">
        <f t="shared" ref="J7:J14" si="4">MAX(3613,MIN(E7,23565))</f>
        <v>3613</v>
      </c>
      <c r="K7" s="193">
        <f t="shared" ref="K7:K14" si="5">ROUND(J7*0.8%*0,2)</f>
        <v>0</v>
      </c>
      <c r="L7" s="193">
        <f t="shared" ref="L7:L14" si="6">MAX(4713,MIN(E7,23565))</f>
        <v>4713</v>
      </c>
      <c r="M7" s="193">
        <f t="shared" ref="M7:M14" si="7">ROUND(L7*0.4%*0,2)</f>
        <v>0</v>
      </c>
      <c r="N7" s="193">
        <f t="shared" ref="N7:N14" si="8">ROUND(F7*8%,2)</f>
        <v>289.04000000000002</v>
      </c>
      <c r="O7" s="193">
        <f t="shared" ref="O7:O14" si="9">ROUND(H7*2%+3,2)</f>
        <v>110.2</v>
      </c>
      <c r="P7" s="193">
        <f t="shared" ref="P7:P14" si="10">IF(COUNTIF(D7,"*城镇*")&gt;0,ROUND(J7*0.2%,2),0)</f>
        <v>7.23</v>
      </c>
      <c r="Q7" s="193">
        <f t="shared" ref="Q7:Q14" si="11">SUM(G7,I7,K7,M7,N7,O7,P7)</f>
        <v>985.35000000000014</v>
      </c>
      <c r="R7" s="167">
        <f>E7*$R$4</f>
        <v>110</v>
      </c>
      <c r="S7" s="167"/>
      <c r="T7" s="167">
        <f t="shared" ref="T7:T14" si="12">R7+S7</f>
        <v>110</v>
      </c>
      <c r="U7" s="171"/>
      <c r="V7" s="13"/>
      <c r="W7" s="13"/>
      <c r="Y7" s="27"/>
    </row>
    <row r="8" spans="1:25" s="15" customFormat="1" ht="20.100000000000001" customHeight="1">
      <c r="A8" s="13"/>
      <c r="B8" s="14">
        <v>3</v>
      </c>
      <c r="C8" s="34" t="s">
        <v>103</v>
      </c>
      <c r="D8" s="193" t="s">
        <v>171</v>
      </c>
      <c r="E8" s="167">
        <v>2200</v>
      </c>
      <c r="F8" s="193">
        <f t="shared" si="0"/>
        <v>3613</v>
      </c>
      <c r="G8" s="193">
        <f t="shared" si="1"/>
        <v>0</v>
      </c>
      <c r="H8" s="193">
        <f t="shared" si="2"/>
        <v>5360</v>
      </c>
      <c r="I8" s="193">
        <f t="shared" si="3"/>
        <v>578.88</v>
      </c>
      <c r="J8" s="193">
        <f t="shared" si="4"/>
        <v>3613</v>
      </c>
      <c r="K8" s="193">
        <f t="shared" si="5"/>
        <v>0</v>
      </c>
      <c r="L8" s="193">
        <f t="shared" si="6"/>
        <v>4713</v>
      </c>
      <c r="M8" s="193">
        <f t="shared" si="7"/>
        <v>0</v>
      </c>
      <c r="N8" s="193">
        <f t="shared" si="8"/>
        <v>289.04000000000002</v>
      </c>
      <c r="O8" s="193">
        <f t="shared" si="9"/>
        <v>110.2</v>
      </c>
      <c r="P8" s="193">
        <f t="shared" si="10"/>
        <v>7.23</v>
      </c>
      <c r="Q8" s="193">
        <f t="shared" si="11"/>
        <v>985.35000000000014</v>
      </c>
      <c r="R8" s="167"/>
      <c r="S8" s="167"/>
      <c r="T8" s="167">
        <f t="shared" si="12"/>
        <v>0</v>
      </c>
      <c r="U8" s="171"/>
      <c r="V8" s="13"/>
      <c r="W8" s="13"/>
      <c r="Y8" s="27"/>
    </row>
    <row r="9" spans="1:25" s="15" customFormat="1" ht="20.100000000000001" customHeight="1">
      <c r="A9" s="13"/>
      <c r="B9" s="14">
        <v>4</v>
      </c>
      <c r="C9" s="34" t="s">
        <v>112</v>
      </c>
      <c r="D9" s="34" t="s">
        <v>172</v>
      </c>
      <c r="E9" s="167">
        <v>2200</v>
      </c>
      <c r="F9" s="193">
        <f t="shared" si="0"/>
        <v>3613</v>
      </c>
      <c r="G9" s="193">
        <f t="shared" si="1"/>
        <v>0</v>
      </c>
      <c r="H9" s="193">
        <f t="shared" si="2"/>
        <v>5360</v>
      </c>
      <c r="I9" s="193">
        <f t="shared" si="3"/>
        <v>578.88</v>
      </c>
      <c r="J9" s="193">
        <f t="shared" si="4"/>
        <v>3613</v>
      </c>
      <c r="K9" s="193">
        <f t="shared" si="5"/>
        <v>0</v>
      </c>
      <c r="L9" s="193">
        <f t="shared" si="6"/>
        <v>4713</v>
      </c>
      <c r="M9" s="193">
        <f t="shared" si="7"/>
        <v>0</v>
      </c>
      <c r="N9" s="193">
        <f t="shared" si="8"/>
        <v>289.04000000000002</v>
      </c>
      <c r="O9" s="193">
        <f t="shared" si="9"/>
        <v>110.2</v>
      </c>
      <c r="P9" s="193">
        <f t="shared" si="10"/>
        <v>0</v>
      </c>
      <c r="Q9" s="193">
        <f t="shared" si="11"/>
        <v>978.12000000000012</v>
      </c>
      <c r="R9" s="167"/>
      <c r="S9" s="167"/>
      <c r="T9" s="167">
        <f t="shared" si="12"/>
        <v>0</v>
      </c>
      <c r="U9" s="28"/>
      <c r="V9" s="13"/>
      <c r="W9" s="13"/>
      <c r="Y9" s="27"/>
    </row>
    <row r="10" spans="1:25" s="15" customFormat="1" ht="20.100000000000001" customHeight="1">
      <c r="A10" s="13"/>
      <c r="B10" s="14">
        <v>5</v>
      </c>
      <c r="C10" s="115" t="s">
        <v>121</v>
      </c>
      <c r="D10" s="34" t="s">
        <v>172</v>
      </c>
      <c r="E10" s="167">
        <v>5500</v>
      </c>
      <c r="F10" s="193">
        <f t="shared" si="0"/>
        <v>5500</v>
      </c>
      <c r="G10" s="193">
        <f t="shared" si="1"/>
        <v>0</v>
      </c>
      <c r="H10" s="193">
        <f t="shared" si="2"/>
        <v>5500</v>
      </c>
      <c r="I10" s="193">
        <f t="shared" si="3"/>
        <v>594</v>
      </c>
      <c r="J10" s="193">
        <f t="shared" si="4"/>
        <v>5500</v>
      </c>
      <c r="K10" s="193">
        <f t="shared" si="5"/>
        <v>0</v>
      </c>
      <c r="L10" s="193">
        <f t="shared" si="6"/>
        <v>5500</v>
      </c>
      <c r="M10" s="193">
        <f t="shared" si="7"/>
        <v>0</v>
      </c>
      <c r="N10" s="193">
        <f t="shared" si="8"/>
        <v>440</v>
      </c>
      <c r="O10" s="193">
        <f t="shared" si="9"/>
        <v>113</v>
      </c>
      <c r="P10" s="193">
        <f t="shared" si="10"/>
        <v>0</v>
      </c>
      <c r="Q10" s="193">
        <f t="shared" si="11"/>
        <v>1147</v>
      </c>
      <c r="R10" s="167">
        <f>E10*$R$4</f>
        <v>275</v>
      </c>
      <c r="S10" s="167">
        <f>E10*$S$4</f>
        <v>275</v>
      </c>
      <c r="T10" s="167">
        <f t="shared" si="12"/>
        <v>550</v>
      </c>
      <c r="U10" s="83"/>
      <c r="V10" s="13"/>
      <c r="W10" s="13"/>
      <c r="Y10" s="27"/>
    </row>
    <row r="11" spans="1:25" s="15" customFormat="1" ht="20.100000000000001" customHeight="1">
      <c r="A11" s="13"/>
      <c r="B11" s="14">
        <v>6</v>
      </c>
      <c r="C11" s="115" t="s">
        <v>122</v>
      </c>
      <c r="D11" s="115" t="s">
        <v>171</v>
      </c>
      <c r="E11" s="167">
        <v>5500</v>
      </c>
      <c r="F11" s="193">
        <f t="shared" si="0"/>
        <v>5500</v>
      </c>
      <c r="G11" s="193">
        <f t="shared" si="1"/>
        <v>0</v>
      </c>
      <c r="H11" s="193">
        <f t="shared" si="2"/>
        <v>5500</v>
      </c>
      <c r="I11" s="193">
        <f t="shared" si="3"/>
        <v>594</v>
      </c>
      <c r="J11" s="193">
        <f t="shared" si="4"/>
        <v>5500</v>
      </c>
      <c r="K11" s="193">
        <f t="shared" si="5"/>
        <v>0</v>
      </c>
      <c r="L11" s="193">
        <f t="shared" si="6"/>
        <v>5500</v>
      </c>
      <c r="M11" s="193">
        <f t="shared" si="7"/>
        <v>0</v>
      </c>
      <c r="N11" s="193">
        <f t="shared" si="8"/>
        <v>440</v>
      </c>
      <c r="O11" s="193">
        <f t="shared" si="9"/>
        <v>113</v>
      </c>
      <c r="P11" s="193">
        <f t="shared" si="10"/>
        <v>11</v>
      </c>
      <c r="Q11" s="193">
        <f t="shared" si="11"/>
        <v>1158</v>
      </c>
      <c r="R11" s="167">
        <f>E11*$R$4</f>
        <v>275</v>
      </c>
      <c r="S11" s="167">
        <f>E11*$S$4</f>
        <v>275</v>
      </c>
      <c r="T11" s="167">
        <f t="shared" si="12"/>
        <v>550</v>
      </c>
      <c r="U11" s="83"/>
      <c r="V11" s="13"/>
      <c r="W11" s="13"/>
      <c r="Y11" s="27"/>
    </row>
    <row r="12" spans="1:25" s="15" customFormat="1" ht="20.100000000000001" customHeight="1">
      <c r="A12" s="13"/>
      <c r="B12" s="14">
        <v>7</v>
      </c>
      <c r="C12" s="115" t="s">
        <v>147</v>
      </c>
      <c r="D12" s="115" t="s">
        <v>172</v>
      </c>
      <c r="E12" s="167">
        <v>5500</v>
      </c>
      <c r="F12" s="193">
        <f t="shared" si="0"/>
        <v>5500</v>
      </c>
      <c r="G12" s="193">
        <f t="shared" si="1"/>
        <v>0</v>
      </c>
      <c r="H12" s="193">
        <f t="shared" si="2"/>
        <v>5500</v>
      </c>
      <c r="I12" s="193">
        <f t="shared" si="3"/>
        <v>594</v>
      </c>
      <c r="J12" s="193">
        <f t="shared" si="4"/>
        <v>5500</v>
      </c>
      <c r="K12" s="193">
        <f t="shared" si="5"/>
        <v>0</v>
      </c>
      <c r="L12" s="193">
        <f t="shared" si="6"/>
        <v>5500</v>
      </c>
      <c r="M12" s="193">
        <f t="shared" si="7"/>
        <v>0</v>
      </c>
      <c r="N12" s="193">
        <f t="shared" si="8"/>
        <v>440</v>
      </c>
      <c r="O12" s="193">
        <f t="shared" si="9"/>
        <v>113</v>
      </c>
      <c r="P12" s="193">
        <f t="shared" si="10"/>
        <v>0</v>
      </c>
      <c r="Q12" s="193">
        <f t="shared" si="11"/>
        <v>1147</v>
      </c>
      <c r="R12" s="167"/>
      <c r="S12" s="167"/>
      <c r="T12" s="167">
        <f t="shared" si="12"/>
        <v>0</v>
      </c>
      <c r="U12" s="83"/>
      <c r="V12" s="13"/>
      <c r="W12" s="13"/>
      <c r="Y12" s="27"/>
    </row>
    <row r="13" spans="1:25" s="15" customFormat="1" ht="20.100000000000001" customHeight="1">
      <c r="A13" s="13"/>
      <c r="B13" s="14">
        <v>8</v>
      </c>
      <c r="C13" s="115" t="s">
        <v>138</v>
      </c>
      <c r="D13" s="115" t="s">
        <v>171</v>
      </c>
      <c r="E13" s="193">
        <v>2200</v>
      </c>
      <c r="F13" s="193">
        <f t="shared" si="0"/>
        <v>3613</v>
      </c>
      <c r="G13" s="193">
        <f t="shared" si="1"/>
        <v>0</v>
      </c>
      <c r="H13" s="193">
        <f t="shared" si="2"/>
        <v>5360</v>
      </c>
      <c r="I13" s="193">
        <f t="shared" si="3"/>
        <v>578.88</v>
      </c>
      <c r="J13" s="193">
        <f t="shared" si="4"/>
        <v>3613</v>
      </c>
      <c r="K13" s="193">
        <f t="shared" si="5"/>
        <v>0</v>
      </c>
      <c r="L13" s="193">
        <f t="shared" si="6"/>
        <v>4713</v>
      </c>
      <c r="M13" s="193">
        <f t="shared" si="7"/>
        <v>0</v>
      </c>
      <c r="N13" s="193">
        <f t="shared" si="8"/>
        <v>289.04000000000002</v>
      </c>
      <c r="O13" s="193">
        <f t="shared" si="9"/>
        <v>110.2</v>
      </c>
      <c r="P13" s="193">
        <f t="shared" si="10"/>
        <v>7.23</v>
      </c>
      <c r="Q13" s="193">
        <f t="shared" si="11"/>
        <v>985.35000000000014</v>
      </c>
      <c r="R13" s="193"/>
      <c r="S13" s="193"/>
      <c r="T13" s="193">
        <f t="shared" si="12"/>
        <v>0</v>
      </c>
      <c r="U13" s="83"/>
      <c r="V13" s="13"/>
      <c r="W13" s="13"/>
      <c r="Y13" s="27"/>
    </row>
    <row r="14" spans="1:25" s="15" customFormat="1" ht="20.100000000000001" customHeight="1">
      <c r="A14" s="13"/>
      <c r="B14" s="14">
        <v>9</v>
      </c>
      <c r="C14" s="115" t="s">
        <v>164</v>
      </c>
      <c r="D14" s="115" t="s">
        <v>171</v>
      </c>
      <c r="E14" s="167">
        <v>5000</v>
      </c>
      <c r="F14" s="193">
        <f t="shared" si="0"/>
        <v>5000</v>
      </c>
      <c r="G14" s="193">
        <f t="shared" si="1"/>
        <v>0</v>
      </c>
      <c r="H14" s="193">
        <f t="shared" si="2"/>
        <v>5360</v>
      </c>
      <c r="I14" s="193">
        <f t="shared" si="3"/>
        <v>578.88</v>
      </c>
      <c r="J14" s="193">
        <f t="shared" si="4"/>
        <v>5000</v>
      </c>
      <c r="K14" s="193">
        <f t="shared" si="5"/>
        <v>0</v>
      </c>
      <c r="L14" s="193">
        <f t="shared" si="6"/>
        <v>5000</v>
      </c>
      <c r="M14" s="193">
        <f t="shared" si="7"/>
        <v>0</v>
      </c>
      <c r="N14" s="193">
        <f t="shared" si="8"/>
        <v>400</v>
      </c>
      <c r="O14" s="193">
        <f t="shared" si="9"/>
        <v>110.2</v>
      </c>
      <c r="P14" s="193">
        <f t="shared" si="10"/>
        <v>10</v>
      </c>
      <c r="Q14" s="193">
        <f t="shared" si="11"/>
        <v>1099.08</v>
      </c>
      <c r="R14" s="167"/>
      <c r="S14" s="167"/>
      <c r="T14" s="193">
        <f t="shared" si="12"/>
        <v>0</v>
      </c>
      <c r="U14" s="83"/>
      <c r="V14" s="13"/>
      <c r="W14" s="13"/>
      <c r="Y14" s="27"/>
    </row>
    <row r="15" spans="1:25" s="15" customFormat="1" ht="20.100000000000001" customHeight="1">
      <c r="A15" s="13"/>
      <c r="B15" s="251" t="s">
        <v>39</v>
      </c>
      <c r="C15" s="252"/>
      <c r="D15" s="252"/>
      <c r="E15" s="253"/>
      <c r="F15" s="254">
        <f>SUM(G6:G14,I6:I14,K6:K14,M6:M14)</f>
        <v>5255.2800000000007</v>
      </c>
      <c r="G15" s="255"/>
      <c r="H15" s="255"/>
      <c r="I15" s="255"/>
      <c r="J15" s="255"/>
      <c r="K15" s="255"/>
      <c r="L15" s="255"/>
      <c r="M15" s="256"/>
      <c r="N15" s="254">
        <f>SUM(N6:P14)</f>
        <v>4215.32</v>
      </c>
      <c r="O15" s="255"/>
      <c r="P15" s="256"/>
      <c r="Q15" s="167">
        <f>SUM(Q6:Q14)</f>
        <v>9470.6</v>
      </c>
      <c r="R15" s="257">
        <f>SUM(T6:T14)</f>
        <v>1210</v>
      </c>
      <c r="S15" s="258"/>
      <c r="T15" s="259"/>
      <c r="U15" s="28"/>
      <c r="V15" s="13"/>
      <c r="W15" s="13"/>
      <c r="Y15" s="27"/>
    </row>
    <row r="16" spans="1:25" s="15" customFormat="1" ht="20.100000000000001" customHeight="1">
      <c r="A16" s="13"/>
      <c r="B16" s="14">
        <v>9</v>
      </c>
      <c r="C16" s="167" t="s">
        <v>43</v>
      </c>
      <c r="D16" s="115" t="s">
        <v>171</v>
      </c>
      <c r="E16" s="167">
        <v>2200</v>
      </c>
      <c r="F16" s="193">
        <f>MAX(3613,MIN(E16,23565))</f>
        <v>3613</v>
      </c>
      <c r="G16" s="167">
        <f>ROUND(F16*16%*0,2)</f>
        <v>0</v>
      </c>
      <c r="H16" s="193">
        <f>MAX(5360,MIN(E16,27786))</f>
        <v>5360</v>
      </c>
      <c r="I16" s="167">
        <f>ROUND(H16*10.8%,2)</f>
        <v>578.88</v>
      </c>
      <c r="J16" s="193">
        <f>MAX(3613,MIN(E16,23565))</f>
        <v>3613</v>
      </c>
      <c r="K16" s="167">
        <f>ROUND(J16*0.8%*0,2)</f>
        <v>0</v>
      </c>
      <c r="L16" s="193">
        <f>MAX(4713,MIN(E16,23565))</f>
        <v>4713</v>
      </c>
      <c r="M16" s="167">
        <f>ROUND(L16*0.4%*0,2)</f>
        <v>0</v>
      </c>
      <c r="N16" s="167">
        <f>ROUND(F16*8%,2)</f>
        <v>289.04000000000002</v>
      </c>
      <c r="O16" s="167">
        <f>ROUND(H16*2%+3,2)</f>
        <v>110.2</v>
      </c>
      <c r="P16" s="167">
        <f>IF(COUNTIF(D16,"*城镇*")&gt;0,ROUND(J16*0.2%,2),0)</f>
        <v>7.23</v>
      </c>
      <c r="Q16" s="167">
        <f>SUM(G16,I16,K16,M16,N16,O16,P16)</f>
        <v>985.35000000000014</v>
      </c>
      <c r="R16" s="167"/>
      <c r="S16" s="167"/>
      <c r="T16" s="167"/>
      <c r="U16" s="83" t="s">
        <v>107</v>
      </c>
      <c r="V16" s="13"/>
      <c r="W16" s="13"/>
      <c r="Y16" s="27"/>
    </row>
    <row r="17" spans="1:25" s="15" customFormat="1" ht="20.100000000000001" customHeight="1">
      <c r="A17" s="13"/>
      <c r="B17" s="14">
        <v>10</v>
      </c>
      <c r="C17" s="167" t="s">
        <v>40</v>
      </c>
      <c r="D17" s="115" t="s">
        <v>172</v>
      </c>
      <c r="E17" s="167">
        <v>2200</v>
      </c>
      <c r="F17" s="193">
        <f t="shared" ref="F17:F18" si="13">MAX(3613,MIN(E17,23565))</f>
        <v>3613</v>
      </c>
      <c r="G17" s="193">
        <f t="shared" ref="G17:G18" si="14">ROUND(F17*16%*0,2)</f>
        <v>0</v>
      </c>
      <c r="H17" s="193">
        <f t="shared" ref="H17:H18" si="15">MAX(5360,MIN(E17,27786))</f>
        <v>5360</v>
      </c>
      <c r="I17" s="193">
        <f t="shared" ref="I17:I18" si="16">ROUND(H17*10.8%,2)</f>
        <v>578.88</v>
      </c>
      <c r="J17" s="193">
        <f t="shared" ref="J17:J18" si="17">MAX(3613,MIN(E17,23565))</f>
        <v>3613</v>
      </c>
      <c r="K17" s="193">
        <f t="shared" ref="K17:K18" si="18">ROUND(J17*0.8%*0,2)</f>
        <v>0</v>
      </c>
      <c r="L17" s="193">
        <f t="shared" ref="L17:L18" si="19">MAX(4713,MIN(E17,23565))</f>
        <v>4713</v>
      </c>
      <c r="M17" s="193">
        <f t="shared" ref="M17:M18" si="20">ROUND(L17*0.4%*0,2)</f>
        <v>0</v>
      </c>
      <c r="N17" s="193">
        <f t="shared" ref="N17:N18" si="21">ROUND(F17*8%,2)</f>
        <v>289.04000000000002</v>
      </c>
      <c r="O17" s="193">
        <f t="shared" ref="O17:O18" si="22">ROUND(H17*2%+3,2)</f>
        <v>110.2</v>
      </c>
      <c r="P17" s="193">
        <f t="shared" ref="P17:P18" si="23">IF(COUNTIF(D17,"*城镇*")&gt;0,ROUND(J17*0.2%,2),0)</f>
        <v>0</v>
      </c>
      <c r="Q17" s="193">
        <f t="shared" ref="Q17:Q18" si="24">SUM(G17,I17,K17,M17,N17,O17,P17)</f>
        <v>978.12000000000012</v>
      </c>
      <c r="R17" s="167"/>
      <c r="S17" s="167"/>
      <c r="T17" s="167"/>
      <c r="U17" s="83" t="s">
        <v>107</v>
      </c>
      <c r="V17" s="13"/>
      <c r="W17" s="13"/>
      <c r="Y17" s="27"/>
    </row>
    <row r="18" spans="1:25" s="15" customFormat="1" ht="20.100000000000001" customHeight="1">
      <c r="A18" s="13"/>
      <c r="B18" s="14">
        <v>11</v>
      </c>
      <c r="C18" s="167" t="s">
        <v>41</v>
      </c>
      <c r="D18" s="115" t="s">
        <v>171</v>
      </c>
      <c r="E18" s="167">
        <v>2200</v>
      </c>
      <c r="F18" s="193">
        <f t="shared" si="13"/>
        <v>3613</v>
      </c>
      <c r="G18" s="193">
        <f t="shared" si="14"/>
        <v>0</v>
      </c>
      <c r="H18" s="193">
        <f t="shared" si="15"/>
        <v>5360</v>
      </c>
      <c r="I18" s="193">
        <f t="shared" si="16"/>
        <v>578.88</v>
      </c>
      <c r="J18" s="193">
        <f t="shared" si="17"/>
        <v>3613</v>
      </c>
      <c r="K18" s="193">
        <f t="shared" si="18"/>
        <v>0</v>
      </c>
      <c r="L18" s="193">
        <f t="shared" si="19"/>
        <v>4713</v>
      </c>
      <c r="M18" s="193">
        <f t="shared" si="20"/>
        <v>0</v>
      </c>
      <c r="N18" s="193">
        <f t="shared" si="21"/>
        <v>289.04000000000002</v>
      </c>
      <c r="O18" s="193">
        <f t="shared" si="22"/>
        <v>110.2</v>
      </c>
      <c r="P18" s="193">
        <f t="shared" si="23"/>
        <v>7.23</v>
      </c>
      <c r="Q18" s="193">
        <f t="shared" si="24"/>
        <v>985.35000000000014</v>
      </c>
      <c r="R18" s="167"/>
      <c r="S18" s="167"/>
      <c r="T18" s="167"/>
      <c r="U18" s="83" t="s">
        <v>107</v>
      </c>
      <c r="V18" s="13"/>
      <c r="W18" s="13"/>
      <c r="Y18" s="27"/>
    </row>
    <row r="19" spans="1:25" s="15" customFormat="1" ht="15" customHeight="1">
      <c r="A19" s="13"/>
      <c r="B19" s="261" t="s">
        <v>39</v>
      </c>
      <c r="C19" s="262"/>
      <c r="D19" s="262"/>
      <c r="E19" s="263"/>
      <c r="F19" s="254">
        <f>SUM(G16:G18,I16:I18,K16:K18,M16:M18)</f>
        <v>1736.6399999999999</v>
      </c>
      <c r="G19" s="255"/>
      <c r="H19" s="255"/>
      <c r="I19" s="255"/>
      <c r="J19" s="255"/>
      <c r="K19" s="255"/>
      <c r="L19" s="255"/>
      <c r="M19" s="256"/>
      <c r="N19" s="254">
        <f>SUM(N16:P18)</f>
        <v>1212.18</v>
      </c>
      <c r="O19" s="255"/>
      <c r="P19" s="256"/>
      <c r="Q19" s="167">
        <f>SUM(Q16:Q18)</f>
        <v>2948.8200000000006</v>
      </c>
      <c r="R19" s="254"/>
      <c r="S19" s="255"/>
      <c r="T19" s="256"/>
      <c r="U19" s="171"/>
      <c r="V19" s="30"/>
      <c r="W19" s="30"/>
      <c r="Y19" s="31"/>
    </row>
    <row r="20" spans="1:25" s="15" customFormat="1" ht="15" customHeight="1">
      <c r="A20" s="13"/>
      <c r="B20" s="261" t="s">
        <v>44</v>
      </c>
      <c r="C20" s="262"/>
      <c r="D20" s="262"/>
      <c r="E20" s="263"/>
      <c r="F20" s="188"/>
      <c r="G20" s="257">
        <f>Q15+Q19</f>
        <v>12419.420000000002</v>
      </c>
      <c r="H20" s="258"/>
      <c r="I20" s="258"/>
      <c r="J20" s="258"/>
      <c r="K20" s="258"/>
      <c r="L20" s="258"/>
      <c r="M20" s="258"/>
      <c r="N20" s="258"/>
      <c r="O20" s="258"/>
      <c r="P20" s="258"/>
      <c r="Q20" s="259"/>
      <c r="R20" s="215"/>
      <c r="S20" s="215"/>
      <c r="T20" s="215"/>
      <c r="U20" s="116">
        <f>G20+R20</f>
        <v>12419.420000000002</v>
      </c>
      <c r="V20" s="30"/>
      <c r="W20" s="30"/>
      <c r="Y20" s="31"/>
    </row>
    <row r="21" spans="1:25" s="15" customFormat="1" ht="9.75" customHeight="1">
      <c r="A21" s="13"/>
      <c r="B21" s="252"/>
      <c r="C21" s="252"/>
      <c r="D21" s="189"/>
      <c r="E21" s="264"/>
      <c r="F21" s="264"/>
      <c r="G21" s="264"/>
      <c r="H21" s="264"/>
      <c r="I21" s="264"/>
      <c r="J21" s="264"/>
      <c r="K21" s="264"/>
      <c r="L21" s="264"/>
      <c r="M21" s="264"/>
      <c r="N21" s="30"/>
      <c r="O21" s="30"/>
      <c r="P21" s="30"/>
      <c r="Q21" s="30"/>
      <c r="R21" s="30"/>
      <c r="S21" s="30"/>
      <c r="T21" s="30"/>
      <c r="U21" s="30"/>
      <c r="V21" s="30"/>
      <c r="W21" s="30"/>
      <c r="Y21" s="31"/>
    </row>
    <row r="22" spans="1:25" s="15" customFormat="1" ht="20.100000000000001" customHeight="1">
      <c r="A22" s="13"/>
      <c r="B22" s="32" t="s">
        <v>35</v>
      </c>
      <c r="C22" s="32"/>
      <c r="D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Y22" s="31"/>
    </row>
    <row r="23" spans="1:25" s="15" customFormat="1" ht="20.100000000000001" customHeight="1">
      <c r="A23" s="13"/>
      <c r="B23" s="21"/>
      <c r="Y23" s="31"/>
    </row>
    <row r="24" spans="1:25" s="15" customFormat="1" ht="20.100000000000001" customHeight="1">
      <c r="A24" s="13"/>
      <c r="B24" s="21"/>
      <c r="F24" s="195" t="s">
        <v>34</v>
      </c>
      <c r="G24" s="196"/>
      <c r="H24" s="196"/>
      <c r="I24" s="196"/>
      <c r="J24" s="195" t="s">
        <v>23</v>
      </c>
      <c r="K24" s="196"/>
      <c r="L24" s="284"/>
      <c r="N24" s="191"/>
      <c r="Y24" s="31"/>
    </row>
    <row r="25" spans="1:25" s="15" customFormat="1" ht="20.100000000000001" customHeight="1">
      <c r="A25" s="13"/>
      <c r="B25" s="21"/>
      <c r="F25" s="194" t="s">
        <v>24</v>
      </c>
      <c r="G25" s="194" t="s">
        <v>167</v>
      </c>
      <c r="H25" s="194" t="s">
        <v>26</v>
      </c>
      <c r="I25" s="194" t="s">
        <v>27</v>
      </c>
      <c r="J25" s="194" t="s">
        <v>24</v>
      </c>
      <c r="K25" s="192" t="s">
        <v>25</v>
      </c>
      <c r="L25" s="194" t="s">
        <v>26</v>
      </c>
      <c r="N25" s="191"/>
      <c r="Y25" s="31"/>
    </row>
    <row r="26" spans="1:25" s="15" customFormat="1" ht="20.100000000000001" customHeight="1">
      <c r="A26" s="13"/>
      <c r="B26" s="21"/>
      <c r="E26" s="167" t="s">
        <v>38</v>
      </c>
      <c r="F26" s="193">
        <v>3613</v>
      </c>
      <c r="G26" s="193">
        <v>5360</v>
      </c>
      <c r="H26" s="193">
        <v>3613</v>
      </c>
      <c r="I26" s="193">
        <v>4713</v>
      </c>
      <c r="J26" s="193">
        <v>3613</v>
      </c>
      <c r="K26" s="193">
        <v>5360</v>
      </c>
      <c r="L26" s="193">
        <v>3613</v>
      </c>
      <c r="N26" s="191"/>
      <c r="Y26" s="31"/>
    </row>
    <row r="27" spans="1:25" s="15" customFormat="1" ht="20.100000000000001" customHeight="1">
      <c r="A27" s="13"/>
      <c r="B27" s="21"/>
      <c r="E27" s="167" t="s">
        <v>36</v>
      </c>
      <c r="F27" s="193">
        <f>ROUND(F26*$G$4,2)</f>
        <v>578.08000000000004</v>
      </c>
      <c r="G27" s="193">
        <f>ROUND(G26*$I$4,2)</f>
        <v>578.88</v>
      </c>
      <c r="H27" s="193">
        <f>ROUND(H26*$K$4,2)</f>
        <v>28.9</v>
      </c>
      <c r="I27" s="193">
        <f>ROUND(I26*$M$4,2)</f>
        <v>18.850000000000001</v>
      </c>
      <c r="J27" s="193">
        <f>ROUND(J26*$N$4,2)</f>
        <v>289.04000000000002</v>
      </c>
      <c r="K27" s="193">
        <f>ROUND(K26*2%+3,2)</f>
        <v>110.2</v>
      </c>
      <c r="L27" s="193">
        <f>ROUND(L26*$P$4,2)</f>
        <v>7.23</v>
      </c>
      <c r="N27" s="191"/>
      <c r="Y27" s="31"/>
    </row>
    <row r="28" spans="1:25" s="15" customFormat="1" ht="20.100000000000001" customHeight="1">
      <c r="A28" s="13"/>
      <c r="B28" s="21"/>
      <c r="E28" s="167" t="s">
        <v>31</v>
      </c>
      <c r="F28" s="193">
        <v>23565</v>
      </c>
      <c r="G28" s="193">
        <v>27786</v>
      </c>
      <c r="H28" s="193">
        <v>23565</v>
      </c>
      <c r="I28" s="193">
        <v>23565</v>
      </c>
      <c r="J28" s="193">
        <v>23565</v>
      </c>
      <c r="K28" s="193">
        <v>27786</v>
      </c>
      <c r="L28" s="193">
        <v>23565</v>
      </c>
      <c r="N28" s="191"/>
      <c r="Y28" s="31"/>
    </row>
    <row r="29" spans="1:25" s="15" customFormat="1" ht="20.100000000000001" customHeight="1">
      <c r="A29" s="13"/>
      <c r="B29" s="21"/>
      <c r="E29" s="167" t="s">
        <v>37</v>
      </c>
      <c r="F29" s="193">
        <f>ROUND(F28*$G$4,2)</f>
        <v>3770.4</v>
      </c>
      <c r="G29" s="193">
        <f>ROUND(G28*$I$4,2)</f>
        <v>3000.89</v>
      </c>
      <c r="H29" s="193">
        <f>ROUND(H28*$K$4,2)</f>
        <v>188.52</v>
      </c>
      <c r="I29" s="193">
        <f>ROUND(I28*$M$4,2)</f>
        <v>94.26</v>
      </c>
      <c r="J29" s="193">
        <f>ROUND(J28*$N$4,2)</f>
        <v>1885.2</v>
      </c>
      <c r="K29" s="193">
        <f>ROUND(K28*2%,2)+3</f>
        <v>558.72</v>
      </c>
      <c r="L29" s="193">
        <f>ROUND(L28*$P$4,2)</f>
        <v>47.13</v>
      </c>
      <c r="N29" s="191"/>
      <c r="Y29" s="31"/>
    </row>
    <row r="30" spans="1:25" s="15" customFormat="1" ht="20.100000000000001" customHeight="1">
      <c r="A30" s="13"/>
      <c r="B30" s="21"/>
      <c r="Q30" s="13"/>
      <c r="R30" s="13"/>
      <c r="S30" s="13"/>
      <c r="T30" s="13"/>
      <c r="Y30" s="31"/>
    </row>
    <row r="31" spans="1:25" s="15" customFormat="1" ht="20.100000000000001" customHeight="1">
      <c r="A31" s="13"/>
      <c r="B31" s="21"/>
      <c r="Y31" s="31"/>
    </row>
    <row r="32" spans="1:25" s="15" customFormat="1" ht="20.100000000000001" customHeight="1">
      <c r="A32" s="13"/>
      <c r="B32" s="21"/>
      <c r="Y32" s="31"/>
    </row>
    <row r="33" spans="1:25" s="15" customFormat="1" ht="20.100000000000001" customHeight="1">
      <c r="A33" s="13"/>
      <c r="B33" s="21"/>
      <c r="Y33" s="31"/>
    </row>
    <row r="34" spans="1:25" s="15" customFormat="1" ht="20.100000000000001" customHeight="1">
      <c r="A34" s="13"/>
      <c r="B34" s="21"/>
      <c r="Y34" s="31"/>
    </row>
    <row r="35" spans="1:25" s="15" customFormat="1" ht="20.100000000000001" customHeight="1">
      <c r="A35" s="13"/>
      <c r="B35" s="21"/>
      <c r="Y35" s="31"/>
    </row>
    <row r="36" spans="1:25" ht="20.100000000000001" customHeight="1">
      <c r="V36" s="15"/>
    </row>
  </sheetData>
  <mergeCells count="29">
    <mergeCell ref="B19:E19"/>
    <mergeCell ref="N19:P19"/>
    <mergeCell ref="R19:T19"/>
    <mergeCell ref="B20:E20"/>
    <mergeCell ref="G20:Q20"/>
    <mergeCell ref="R20:T20"/>
    <mergeCell ref="B21:C21"/>
    <mergeCell ref="E21:M21"/>
    <mergeCell ref="F19:M19"/>
    <mergeCell ref="R3:T3"/>
    <mergeCell ref="U3:U5"/>
    <mergeCell ref="V3:V5"/>
    <mergeCell ref="W3:W5"/>
    <mergeCell ref="B15:E15"/>
    <mergeCell ref="N15:P15"/>
    <mergeCell ref="R15:T15"/>
    <mergeCell ref="F3:M3"/>
    <mergeCell ref="F4:F5"/>
    <mergeCell ref="H4:H5"/>
    <mergeCell ref="J4:J5"/>
    <mergeCell ref="L4:L5"/>
    <mergeCell ref="D3:D5"/>
    <mergeCell ref="F15:M15"/>
    <mergeCell ref="B1:Q1"/>
    <mergeCell ref="B3:B5"/>
    <mergeCell ref="C3:C5"/>
    <mergeCell ref="E3:E5"/>
    <mergeCell ref="N3:P3"/>
    <mergeCell ref="Q3:Q5"/>
  </mergeCells>
  <phoneticPr fontId="1" type="noConversion"/>
  <pageMargins left="0.34" right="0.17" top="0.36" bottom="0.75" header="0.17" footer="0.3"/>
  <pageSetup paperSize="9" scale="9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29"/>
  <sheetViews>
    <sheetView workbookViewId="0">
      <selection activeCell="S18" sqref="S18"/>
    </sheetView>
  </sheetViews>
  <sheetFormatPr defaultColWidth="9.109375" defaultRowHeight="20.100000000000001" customHeight="1"/>
  <cols>
    <col min="1" max="1" width="1.33203125" style="41" customWidth="1"/>
    <col min="2" max="2" width="4.88671875" style="21" bestFit="1" customWidth="1"/>
    <col min="3" max="3" width="7" style="12" customWidth="1"/>
    <col min="4" max="4" width="9" style="12" hidden="1" customWidth="1"/>
    <col min="5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33203125" style="22" customWidth="1"/>
    <col min="15" max="15" width="8.44140625" style="12" customWidth="1"/>
    <col min="16" max="16" width="10" style="12" customWidth="1"/>
    <col min="17" max="17" width="3.77734375" style="12" customWidth="1"/>
    <col min="18" max="18" width="5.44140625" style="24" customWidth="1"/>
    <col min="19" max="19" width="5.44140625" style="12" customWidth="1"/>
    <col min="20" max="21" width="5.21875" style="12" customWidth="1"/>
    <col min="22" max="23" width="6.44140625" style="12" customWidth="1"/>
    <col min="24" max="24" width="6.6640625" style="12" customWidth="1"/>
    <col min="25" max="25" width="5.44140625" style="12" customWidth="1"/>
    <col min="26" max="16384" width="9.109375" style="12"/>
  </cols>
  <sheetData>
    <row r="1" spans="1:18" ht="30" customHeight="1">
      <c r="B1" s="240" t="s">
        <v>100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"/>
      <c r="O1" s="23"/>
      <c r="P1" s="23"/>
    </row>
    <row r="2" spans="1:18" ht="20.100000000000001" customHeight="1">
      <c r="B2" s="25" t="s">
        <v>42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ht="20.100000000000001" customHeight="1">
      <c r="B3" s="242" t="s">
        <v>32</v>
      </c>
      <c r="C3" s="227" t="s">
        <v>22</v>
      </c>
      <c r="D3" s="227" t="s">
        <v>33</v>
      </c>
      <c r="E3" s="229" t="s">
        <v>34</v>
      </c>
      <c r="F3" s="229"/>
      <c r="G3" s="229"/>
      <c r="H3" s="229"/>
      <c r="I3" s="229"/>
      <c r="J3" s="229" t="s">
        <v>23</v>
      </c>
      <c r="K3" s="229"/>
      <c r="L3" s="229"/>
      <c r="M3" s="224" t="s">
        <v>30</v>
      </c>
      <c r="N3" s="249"/>
      <c r="O3" s="250"/>
      <c r="P3" s="250"/>
    </row>
    <row r="4" spans="1:18" ht="20.100000000000001" customHeight="1">
      <c r="B4" s="243"/>
      <c r="C4" s="201"/>
      <c r="D4" s="201"/>
      <c r="E4" s="38">
        <v>0.16</v>
      </c>
      <c r="F4" s="38">
        <v>0.1</v>
      </c>
      <c r="G4" s="38">
        <v>8.0000000000000002E-3</v>
      </c>
      <c r="H4" s="38">
        <v>4.0000000000000001E-3</v>
      </c>
      <c r="I4" s="38">
        <v>8.0000000000000002E-3</v>
      </c>
      <c r="J4" s="38">
        <v>0.08</v>
      </c>
      <c r="K4" s="37" t="s">
        <v>0</v>
      </c>
      <c r="L4" s="38">
        <v>2E-3</v>
      </c>
      <c r="M4" s="225"/>
      <c r="N4" s="249"/>
      <c r="O4" s="250"/>
      <c r="P4" s="250"/>
    </row>
    <row r="5" spans="1:18" ht="20.100000000000001" customHeight="1">
      <c r="B5" s="244"/>
      <c r="C5" s="202"/>
      <c r="D5" s="202"/>
      <c r="E5" s="38" t="s">
        <v>24</v>
      </c>
      <c r="F5" s="38" t="s">
        <v>25</v>
      </c>
      <c r="G5" s="38" t="s">
        <v>26</v>
      </c>
      <c r="H5" s="38" t="s">
        <v>27</v>
      </c>
      <c r="I5" s="38" t="s">
        <v>28</v>
      </c>
      <c r="J5" s="38" t="s">
        <v>24</v>
      </c>
      <c r="K5" s="37" t="s">
        <v>25</v>
      </c>
      <c r="L5" s="38" t="s">
        <v>26</v>
      </c>
      <c r="M5" s="226"/>
      <c r="N5" s="249"/>
      <c r="O5" s="250"/>
      <c r="P5" s="250"/>
    </row>
    <row r="6" spans="1:18" s="15" customFormat="1" ht="20.100000000000001" customHeight="1">
      <c r="A6" s="13"/>
      <c r="B6" s="14">
        <v>1</v>
      </c>
      <c r="C6" s="40" t="s">
        <v>29</v>
      </c>
      <c r="D6" s="40">
        <v>2200</v>
      </c>
      <c r="E6" s="40">
        <f t="shared" ref="E6:J7" si="0">ROUND(MAX(E$19,MIN($D6,E$21))*E$4,2)</f>
        <v>578.08000000000004</v>
      </c>
      <c r="F6" s="40">
        <f t="shared" si="0"/>
        <v>555.70000000000005</v>
      </c>
      <c r="G6" s="40">
        <f t="shared" si="0"/>
        <v>28.9</v>
      </c>
      <c r="H6" s="40">
        <f t="shared" si="0"/>
        <v>18.850000000000001</v>
      </c>
      <c r="I6" s="40">
        <f t="shared" si="0"/>
        <v>44.46</v>
      </c>
      <c r="J6" s="40">
        <f t="shared" si="0"/>
        <v>289.04000000000002</v>
      </c>
      <c r="K6" s="40">
        <f>ROUND(MAX(K$19,MIN($D6,K$21))*2%+3,2)</f>
        <v>114.14</v>
      </c>
      <c r="L6" s="40">
        <f>ROUND(MAX(L$19,MIN($D6,L$21))*L$4,2)</f>
        <v>7.23</v>
      </c>
      <c r="M6" s="40">
        <f>SUM(E6:L6)</f>
        <v>1636.4000000000003</v>
      </c>
      <c r="N6" s="26"/>
      <c r="O6" s="13"/>
      <c r="P6" s="13"/>
      <c r="R6" s="27"/>
    </row>
    <row r="7" spans="1:18" s="15" customFormat="1" ht="20.100000000000001" customHeight="1">
      <c r="A7" s="13"/>
      <c r="B7" s="14">
        <v>2</v>
      </c>
      <c r="C7" s="34" t="s">
        <v>75</v>
      </c>
      <c r="D7" s="40">
        <v>2200</v>
      </c>
      <c r="E7" s="40">
        <f t="shared" si="0"/>
        <v>578.08000000000004</v>
      </c>
      <c r="F7" s="40">
        <f t="shared" si="0"/>
        <v>555.70000000000005</v>
      </c>
      <c r="G7" s="40">
        <f t="shared" si="0"/>
        <v>28.9</v>
      </c>
      <c r="H7" s="40">
        <f t="shared" si="0"/>
        <v>18.850000000000001</v>
      </c>
      <c r="I7" s="40">
        <f t="shared" si="0"/>
        <v>44.46</v>
      </c>
      <c r="J7" s="40">
        <f t="shared" si="0"/>
        <v>289.04000000000002</v>
      </c>
      <c r="K7" s="40">
        <f>ROUND(MAX(K$19,MIN($D7,K$21))*2%+3,2)</f>
        <v>114.14</v>
      </c>
      <c r="L7" s="40">
        <f>ROUND(MAX(L$19,MIN($D7,L$21))*L$4,2)</f>
        <v>7.23</v>
      </c>
      <c r="M7" s="40">
        <f>SUM(E7:L7)</f>
        <v>1636.4000000000003</v>
      </c>
      <c r="N7" s="28"/>
      <c r="O7" s="13"/>
      <c r="P7" s="13"/>
      <c r="R7" s="27"/>
    </row>
    <row r="8" spans="1:18" s="15" customFormat="1" ht="20.100000000000001" customHeight="1">
      <c r="A8" s="13"/>
      <c r="B8" s="251" t="s">
        <v>39</v>
      </c>
      <c r="C8" s="252"/>
      <c r="D8" s="253"/>
      <c r="E8" s="254">
        <f>SUM(E6:I7)</f>
        <v>2451.9800000000005</v>
      </c>
      <c r="F8" s="255"/>
      <c r="G8" s="255"/>
      <c r="H8" s="255"/>
      <c r="I8" s="256"/>
      <c r="J8" s="254">
        <f>SUM(J6:L7)</f>
        <v>820.82</v>
      </c>
      <c r="K8" s="255"/>
      <c r="L8" s="256"/>
      <c r="M8" s="29">
        <f>SUM(M6:M7)</f>
        <v>3272.8000000000006</v>
      </c>
      <c r="N8" s="28"/>
      <c r="O8" s="13"/>
      <c r="P8" s="13"/>
      <c r="R8" s="27"/>
    </row>
    <row r="9" spans="1:18" s="15" customFormat="1" ht="20.100000000000001" customHeight="1">
      <c r="A9" s="13"/>
      <c r="B9" s="14">
        <v>4</v>
      </c>
      <c r="C9" s="40" t="s">
        <v>43</v>
      </c>
      <c r="D9" s="40">
        <v>2200</v>
      </c>
      <c r="E9" s="40">
        <f t="shared" ref="E9:J11" si="1">ROUND(MAX(E$19,MIN($D9,E$21))*E$4,2)</f>
        <v>578.08000000000004</v>
      </c>
      <c r="F9" s="40">
        <f t="shared" si="1"/>
        <v>555.70000000000005</v>
      </c>
      <c r="G9" s="40">
        <f t="shared" si="1"/>
        <v>28.9</v>
      </c>
      <c r="H9" s="40">
        <f t="shared" si="1"/>
        <v>18.850000000000001</v>
      </c>
      <c r="I9" s="40">
        <f t="shared" si="1"/>
        <v>44.46</v>
      </c>
      <c r="J9" s="40">
        <f t="shared" si="1"/>
        <v>289.04000000000002</v>
      </c>
      <c r="K9" s="40">
        <f>ROUND(MAX(K$19,MIN($D9,K$21))*2%+3,2)</f>
        <v>114.14</v>
      </c>
      <c r="L9" s="40">
        <f>ROUND(MAX(L$19,MIN($D9,L$21))*L$4,2)</f>
        <v>7.23</v>
      </c>
      <c r="M9" s="40">
        <f t="shared" ref="M9:M11" si="2">SUM(E9:L9)</f>
        <v>1636.4000000000003</v>
      </c>
      <c r="N9" s="83" t="s">
        <v>107</v>
      </c>
      <c r="O9" s="13"/>
      <c r="P9" s="13"/>
      <c r="R9" s="27"/>
    </row>
    <row r="10" spans="1:18" s="15" customFormat="1" ht="20.100000000000001" customHeight="1">
      <c r="A10" s="13"/>
      <c r="B10" s="14">
        <v>5</v>
      </c>
      <c r="C10" s="40" t="s">
        <v>40</v>
      </c>
      <c r="D10" s="40">
        <v>2200</v>
      </c>
      <c r="E10" s="40">
        <f t="shared" si="1"/>
        <v>578.08000000000004</v>
      </c>
      <c r="F10" s="40">
        <f t="shared" si="1"/>
        <v>555.70000000000005</v>
      </c>
      <c r="G10" s="40">
        <f t="shared" si="1"/>
        <v>28.9</v>
      </c>
      <c r="H10" s="40">
        <f t="shared" si="1"/>
        <v>18.850000000000001</v>
      </c>
      <c r="I10" s="40">
        <f t="shared" si="1"/>
        <v>44.46</v>
      </c>
      <c r="J10" s="40">
        <f t="shared" si="1"/>
        <v>289.04000000000002</v>
      </c>
      <c r="K10" s="40">
        <f>ROUND(MAX(K$19,MIN($D10,K$21))*2%+3,2)</f>
        <v>114.14</v>
      </c>
      <c r="L10" s="40"/>
      <c r="M10" s="40">
        <f t="shared" si="2"/>
        <v>1629.1700000000003</v>
      </c>
      <c r="N10" s="83" t="s">
        <v>107</v>
      </c>
      <c r="O10" s="13"/>
      <c r="P10" s="13"/>
      <c r="R10" s="27"/>
    </row>
    <row r="11" spans="1:18" s="15" customFormat="1" ht="20.100000000000001" customHeight="1">
      <c r="A11" s="13"/>
      <c r="B11" s="14">
        <v>6</v>
      </c>
      <c r="C11" s="40" t="s">
        <v>41</v>
      </c>
      <c r="D11" s="40">
        <v>2200</v>
      </c>
      <c r="E11" s="40">
        <f t="shared" si="1"/>
        <v>578.08000000000004</v>
      </c>
      <c r="F11" s="40">
        <f t="shared" si="1"/>
        <v>555.70000000000005</v>
      </c>
      <c r="G11" s="40">
        <f t="shared" si="1"/>
        <v>28.9</v>
      </c>
      <c r="H11" s="40">
        <f t="shared" si="1"/>
        <v>18.850000000000001</v>
      </c>
      <c r="I11" s="40">
        <f t="shared" si="1"/>
        <v>44.46</v>
      </c>
      <c r="J11" s="40">
        <f t="shared" si="1"/>
        <v>289.04000000000002</v>
      </c>
      <c r="K11" s="40">
        <f>ROUND(MAX(K$19,MIN($D11,K$21))*2%+3,2)</f>
        <v>114.14</v>
      </c>
      <c r="L11" s="40">
        <f>ROUND(MAX(L$19,MIN($D11,L$21))*L$4,2)</f>
        <v>7.23</v>
      </c>
      <c r="M11" s="40">
        <f t="shared" si="2"/>
        <v>1636.4000000000003</v>
      </c>
      <c r="N11" s="83" t="s">
        <v>107</v>
      </c>
      <c r="O11" s="13"/>
      <c r="P11" s="13"/>
      <c r="R11" s="27"/>
    </row>
    <row r="12" spans="1:18" s="15" customFormat="1" ht="15" customHeight="1">
      <c r="A12" s="13"/>
      <c r="B12" s="261" t="s">
        <v>39</v>
      </c>
      <c r="C12" s="262"/>
      <c r="D12" s="263"/>
      <c r="E12" s="254">
        <f>SUM(E9:I11)</f>
        <v>3677.9700000000003</v>
      </c>
      <c r="F12" s="255"/>
      <c r="G12" s="255"/>
      <c r="H12" s="255"/>
      <c r="I12" s="256"/>
      <c r="J12" s="254">
        <f>SUM(J9:L11)</f>
        <v>1224.0000000000002</v>
      </c>
      <c r="K12" s="255"/>
      <c r="L12" s="256"/>
      <c r="M12" s="29">
        <f>SUM(M9:M11)</f>
        <v>4901.9700000000012</v>
      </c>
      <c r="N12" s="26"/>
      <c r="O12" s="30"/>
      <c r="P12" s="30"/>
      <c r="R12" s="31"/>
    </row>
    <row r="13" spans="1:18" s="15" customFormat="1" ht="15" customHeight="1">
      <c r="A13" s="13"/>
      <c r="B13" s="261" t="s">
        <v>44</v>
      </c>
      <c r="C13" s="262"/>
      <c r="D13" s="263"/>
      <c r="E13" s="257">
        <f>M8+M12</f>
        <v>8174.7700000000023</v>
      </c>
      <c r="F13" s="258"/>
      <c r="G13" s="258"/>
      <c r="H13" s="258"/>
      <c r="I13" s="258"/>
      <c r="J13" s="258"/>
      <c r="K13" s="258"/>
      <c r="L13" s="258"/>
      <c r="M13" s="259"/>
      <c r="N13" s="26"/>
      <c r="O13" s="30"/>
      <c r="P13" s="30"/>
      <c r="R13" s="31"/>
    </row>
    <row r="14" spans="1:18" s="15" customFormat="1" ht="20.100000000000001" customHeight="1">
      <c r="A14" s="13"/>
      <c r="B14" s="252"/>
      <c r="C14" s="252"/>
      <c r="D14" s="264"/>
      <c r="E14" s="264"/>
      <c r="F14" s="264"/>
      <c r="G14" s="264"/>
      <c r="H14" s="264"/>
      <c r="I14" s="264"/>
      <c r="J14" s="30"/>
      <c r="K14" s="30"/>
      <c r="L14" s="30"/>
      <c r="M14" s="30"/>
      <c r="N14" s="30"/>
      <c r="O14" s="30"/>
      <c r="P14" s="30"/>
      <c r="R14" s="31"/>
    </row>
    <row r="15" spans="1:18" s="15" customFormat="1" ht="20.100000000000001" customHeight="1">
      <c r="A15" s="13"/>
      <c r="B15" s="32" t="s">
        <v>35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R15" s="31"/>
    </row>
    <row r="16" spans="1:18" s="15" customFormat="1" ht="20.100000000000001" customHeight="1">
      <c r="A16" s="13"/>
      <c r="B16" s="21"/>
      <c r="R16" s="31"/>
    </row>
    <row r="17" spans="1:18" s="15" customFormat="1" ht="20.100000000000001" customHeight="1">
      <c r="A17" s="13"/>
      <c r="B17" s="21"/>
      <c r="E17" s="209" t="s">
        <v>34</v>
      </c>
      <c r="F17" s="210"/>
      <c r="G17" s="210"/>
      <c r="H17" s="210"/>
      <c r="I17" s="211"/>
      <c r="J17" s="209" t="s">
        <v>23</v>
      </c>
      <c r="K17" s="210"/>
      <c r="L17" s="211"/>
      <c r="M17" s="224" t="s">
        <v>30</v>
      </c>
      <c r="R17" s="31"/>
    </row>
    <row r="18" spans="1:18" s="15" customFormat="1" ht="20.100000000000001" customHeight="1">
      <c r="A18" s="13"/>
      <c r="B18" s="21"/>
      <c r="E18" s="39" t="s">
        <v>24</v>
      </c>
      <c r="F18" s="39" t="s">
        <v>25</v>
      </c>
      <c r="G18" s="39" t="s">
        <v>26</v>
      </c>
      <c r="H18" s="39" t="s">
        <v>27</v>
      </c>
      <c r="I18" s="39" t="s">
        <v>28</v>
      </c>
      <c r="J18" s="39" t="s">
        <v>24</v>
      </c>
      <c r="K18" s="36" t="s">
        <v>25</v>
      </c>
      <c r="L18" s="39" t="s">
        <v>26</v>
      </c>
      <c r="M18" s="226"/>
      <c r="R18" s="31"/>
    </row>
    <row r="19" spans="1:18" s="15" customFormat="1" ht="20.100000000000001" customHeight="1">
      <c r="A19" s="13"/>
      <c r="B19" s="21"/>
      <c r="D19" s="40" t="s">
        <v>38</v>
      </c>
      <c r="E19" s="40">
        <v>3613</v>
      </c>
      <c r="F19" s="40">
        <v>5557</v>
      </c>
      <c r="G19" s="40">
        <v>3613</v>
      </c>
      <c r="H19" s="40">
        <v>4713</v>
      </c>
      <c r="I19" s="40">
        <v>5557</v>
      </c>
      <c r="J19" s="40">
        <v>3613</v>
      </c>
      <c r="K19" s="40">
        <v>5557</v>
      </c>
      <c r="L19" s="40">
        <v>3613</v>
      </c>
      <c r="M19" s="40"/>
      <c r="R19" s="31"/>
    </row>
    <row r="20" spans="1:18" s="15" customFormat="1" ht="20.100000000000001" customHeight="1">
      <c r="A20" s="13"/>
      <c r="B20" s="21"/>
      <c r="D20" s="40" t="s">
        <v>36</v>
      </c>
      <c r="E20" s="40">
        <f>ROUND(E19*$E$4,2)</f>
        <v>578.08000000000004</v>
      </c>
      <c r="F20" s="40">
        <f>ROUND(F19*$F$4,2)</f>
        <v>555.70000000000005</v>
      </c>
      <c r="G20" s="40">
        <f>ROUND(G19*$G$4,2)</f>
        <v>28.9</v>
      </c>
      <c r="H20" s="40">
        <f>ROUND(H19*$H$4,2)</f>
        <v>18.850000000000001</v>
      </c>
      <c r="I20" s="40">
        <f>ROUND(I19*$I$4,2)</f>
        <v>44.46</v>
      </c>
      <c r="J20" s="40">
        <f>ROUND(J19*$J$4,2)</f>
        <v>289.04000000000002</v>
      </c>
      <c r="K20" s="40">
        <f>ROUND(K19*2%+3,2)</f>
        <v>114.14</v>
      </c>
      <c r="L20" s="40">
        <f>ROUND(L19*$L$4,2)</f>
        <v>7.23</v>
      </c>
      <c r="M20" s="40">
        <f>SUM(E20:L20)</f>
        <v>1636.4000000000003</v>
      </c>
      <c r="R20" s="31"/>
    </row>
    <row r="21" spans="1:18" s="15" customFormat="1" ht="20.100000000000001" customHeight="1">
      <c r="A21" s="13"/>
      <c r="B21" s="21"/>
      <c r="D21" s="40" t="s">
        <v>31</v>
      </c>
      <c r="E21" s="40">
        <v>23565</v>
      </c>
      <c r="F21" s="40">
        <v>27786</v>
      </c>
      <c r="G21" s="40">
        <v>23565</v>
      </c>
      <c r="H21" s="40">
        <v>23565</v>
      </c>
      <c r="I21" s="40">
        <v>27786</v>
      </c>
      <c r="J21" s="40">
        <v>23565</v>
      </c>
      <c r="K21" s="40">
        <v>27786</v>
      </c>
      <c r="L21" s="40">
        <v>23565</v>
      </c>
      <c r="M21" s="40"/>
      <c r="R21" s="31"/>
    </row>
    <row r="22" spans="1:18" s="15" customFormat="1" ht="20.100000000000001" customHeight="1">
      <c r="A22" s="13"/>
      <c r="B22" s="21"/>
      <c r="D22" s="40" t="s">
        <v>37</v>
      </c>
      <c r="E22" s="40">
        <f>ROUND(E21*$E$4,2)</f>
        <v>3770.4</v>
      </c>
      <c r="F22" s="40">
        <f>ROUND(F21*$F$4,2)</f>
        <v>2778.6</v>
      </c>
      <c r="G22" s="40">
        <f>ROUND(G21*$G$4,2)</f>
        <v>188.52</v>
      </c>
      <c r="H22" s="40">
        <f>ROUND(H21*$H$4,2)</f>
        <v>94.26</v>
      </c>
      <c r="I22" s="40">
        <f>ROUND(I21*$I$4,2)</f>
        <v>222.29</v>
      </c>
      <c r="J22" s="40">
        <f>ROUND(J21*$J$4,2)</f>
        <v>1885.2</v>
      </c>
      <c r="K22" s="40">
        <f>ROUND(K21*2%,2)+3</f>
        <v>558.72</v>
      </c>
      <c r="L22" s="40">
        <f>ROUND(L21*$L$4,2)</f>
        <v>47.13</v>
      </c>
      <c r="M22" s="40">
        <f t="shared" ref="M22" si="3">SUM(E22:L22)</f>
        <v>9545.119999999999</v>
      </c>
      <c r="R22" s="31"/>
    </row>
    <row r="23" spans="1:18" s="15" customFormat="1" ht="20.100000000000001" customHeight="1">
      <c r="A23" s="13"/>
      <c r="B23" s="21"/>
      <c r="R23" s="31"/>
    </row>
    <row r="24" spans="1:18" s="15" customFormat="1" ht="20.100000000000001" customHeight="1">
      <c r="A24" s="13"/>
      <c r="B24" s="21"/>
      <c r="R24" s="31"/>
    </row>
    <row r="25" spans="1:18" s="15" customFormat="1" ht="20.100000000000001" customHeight="1">
      <c r="A25" s="13"/>
      <c r="B25" s="21"/>
      <c r="R25" s="31"/>
    </row>
    <row r="26" spans="1:18" s="15" customFormat="1" ht="20.100000000000001" customHeight="1">
      <c r="A26" s="13"/>
      <c r="B26" s="21"/>
      <c r="R26" s="31"/>
    </row>
    <row r="27" spans="1:18" s="15" customFormat="1" ht="20.100000000000001" customHeight="1">
      <c r="A27" s="13"/>
      <c r="B27" s="21"/>
      <c r="R27" s="31"/>
    </row>
    <row r="28" spans="1:18" s="15" customFormat="1" ht="20.100000000000001" customHeight="1">
      <c r="A28" s="13"/>
      <c r="B28" s="21"/>
      <c r="R28" s="31"/>
    </row>
    <row r="29" spans="1:18" ht="20.100000000000001" customHeight="1">
      <c r="O29" s="15"/>
    </row>
  </sheetData>
  <mergeCells count="23">
    <mergeCell ref="E17:I17"/>
    <mergeCell ref="J17:L17"/>
    <mergeCell ref="M17:M18"/>
    <mergeCell ref="B12:D12"/>
    <mergeCell ref="E12:I12"/>
    <mergeCell ref="J12:L12"/>
    <mergeCell ref="B13:D13"/>
    <mergeCell ref="E13:M13"/>
    <mergeCell ref="B14:C14"/>
    <mergeCell ref="D14:I14"/>
    <mergeCell ref="N3:N5"/>
    <mergeCell ref="O3:O5"/>
    <mergeCell ref="P3:P5"/>
    <mergeCell ref="B8:D8"/>
    <mergeCell ref="E8:I8"/>
    <mergeCell ref="J8:L8"/>
    <mergeCell ref="B1:M1"/>
    <mergeCell ref="B3:B5"/>
    <mergeCell ref="C3:C5"/>
    <mergeCell ref="D3:D5"/>
    <mergeCell ref="E3:I3"/>
    <mergeCell ref="J3:L3"/>
    <mergeCell ref="M3:M5"/>
  </mergeCells>
  <phoneticPr fontId="1" type="noConversion"/>
  <pageMargins left="0.34" right="0.17" top="0.2" bottom="0.75" header="0.17" footer="0.3"/>
  <pageSetup paperSize="9" scale="93" orientation="portrait" r:id="rId1"/>
  <ignoredErrors>
    <ignoredError sqref="M8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/>
  <dimension ref="B2:K6"/>
  <sheetViews>
    <sheetView workbookViewId="0">
      <selection activeCell="D24" sqref="D24"/>
    </sheetView>
  </sheetViews>
  <sheetFormatPr defaultColWidth="9.109375" defaultRowHeight="20.100000000000001" customHeight="1"/>
  <cols>
    <col min="1" max="1" width="3.21875" style="8" customWidth="1"/>
    <col min="2" max="2" width="7.109375" style="8" bestFit="1" customWidth="1"/>
    <col min="3" max="3" width="11.21875" style="8" bestFit="1" customWidth="1"/>
    <col min="4" max="4" width="13.33203125" style="8" bestFit="1" customWidth="1"/>
    <col min="5" max="5" width="26.21875" style="8" bestFit="1" customWidth="1"/>
    <col min="6" max="6" width="5.109375" style="10" bestFit="1" customWidth="1"/>
    <col min="7" max="7" width="7.109375" style="8" bestFit="1" customWidth="1"/>
    <col min="8" max="8" width="19.88671875" style="11" bestFit="1" customWidth="1"/>
    <col min="9" max="16384" width="9.109375" style="8"/>
  </cols>
  <sheetData>
    <row r="2" spans="2:11" s="4" customFormat="1" ht="15.6">
      <c r="B2" s="1" t="s">
        <v>3</v>
      </c>
      <c r="C2" s="1" t="s">
        <v>4</v>
      </c>
      <c r="D2" s="1" t="s">
        <v>5</v>
      </c>
      <c r="E2" s="1" t="s">
        <v>6</v>
      </c>
      <c r="F2" s="2" t="s">
        <v>7</v>
      </c>
      <c r="G2" s="1" t="s">
        <v>8</v>
      </c>
      <c r="H2" s="3" t="s">
        <v>9</v>
      </c>
    </row>
    <row r="3" spans="2:11" ht="15.6">
      <c r="B3" s="282" t="s">
        <v>10</v>
      </c>
      <c r="C3" s="5" t="s">
        <v>11</v>
      </c>
      <c r="D3" s="5" t="s">
        <v>12</v>
      </c>
      <c r="E3" s="5"/>
      <c r="F3" s="6">
        <v>0.2</v>
      </c>
      <c r="G3" s="5"/>
      <c r="H3" s="7" t="s">
        <v>13</v>
      </c>
    </row>
    <row r="4" spans="2:11" ht="15.6">
      <c r="B4" s="282"/>
      <c r="C4" s="282" t="s">
        <v>14</v>
      </c>
      <c r="D4" s="282" t="s">
        <v>15</v>
      </c>
      <c r="E4" s="5" t="s">
        <v>21</v>
      </c>
      <c r="F4" s="6">
        <v>0.2</v>
      </c>
      <c r="G4" s="5"/>
      <c r="H4" s="7" t="s">
        <v>16</v>
      </c>
    </row>
    <row r="5" spans="2:11" ht="15.6">
      <c r="B5" s="282"/>
      <c r="C5" s="282"/>
      <c r="D5" s="282"/>
      <c r="E5" s="5" t="s">
        <v>17</v>
      </c>
      <c r="F5" s="6">
        <v>0.3</v>
      </c>
      <c r="G5" s="9">
        <v>2000</v>
      </c>
      <c r="H5" s="7" t="s">
        <v>18</v>
      </c>
      <c r="K5" s="8">
        <f>10000*80%*20%</f>
        <v>1600</v>
      </c>
    </row>
    <row r="6" spans="2:11" ht="15.6">
      <c r="B6" s="282"/>
      <c r="C6" s="282"/>
      <c r="D6" s="282"/>
      <c r="E6" s="5" t="s">
        <v>19</v>
      </c>
      <c r="F6" s="6">
        <v>0.4</v>
      </c>
      <c r="G6" s="9">
        <v>7000</v>
      </c>
      <c r="H6" s="7" t="s">
        <v>20</v>
      </c>
    </row>
  </sheetData>
  <mergeCells count="3">
    <mergeCell ref="B3:B6"/>
    <mergeCell ref="C4:C6"/>
    <mergeCell ref="D4:D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33"/>
  <sheetViews>
    <sheetView topLeftCell="F1" workbookViewId="0">
      <selection activeCell="Z6" sqref="Z6"/>
    </sheetView>
  </sheetViews>
  <sheetFormatPr defaultColWidth="9.109375" defaultRowHeight="20.100000000000001" customHeight="1"/>
  <cols>
    <col min="1" max="1" width="1.33203125" style="163" customWidth="1"/>
    <col min="2" max="2" width="5.21875" style="2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customWidth="1"/>
    <col min="10" max="10" width="7.109375" style="12" customWidth="1"/>
    <col min="11" max="11" width="9.6640625" style="12" customWidth="1"/>
    <col min="12" max="12" width="9" style="12" customWidth="1"/>
    <col min="13" max="13" width="8.109375" style="22" customWidth="1"/>
    <col min="14" max="14" width="8.77734375" style="22" customWidth="1"/>
    <col min="15" max="16" width="8.6640625" style="22" customWidth="1"/>
    <col min="17" max="18" width="8.77734375" style="22" customWidth="1"/>
    <col min="19" max="19" width="8.77734375" style="12" customWidth="1"/>
    <col min="20" max="24" width="8.77734375" style="22" customWidth="1"/>
    <col min="25" max="25" width="9" style="15" customWidth="1"/>
    <col min="26" max="26" width="9" style="22" customWidth="1"/>
    <col min="27" max="27" width="5.21875" style="12" customWidth="1"/>
    <col min="28" max="28" width="9" style="12" bestFit="1" customWidth="1"/>
    <col min="29" max="29" width="5.21875" style="145" bestFit="1" customWidth="1"/>
    <col min="30" max="16384" width="9.109375" style="12"/>
  </cols>
  <sheetData>
    <row r="1" spans="1:29" ht="21">
      <c r="B1" s="240" t="s">
        <v>148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</row>
    <row r="2" spans="1:29" ht="14.4" hidden="1">
      <c r="B2" s="241" t="s">
        <v>144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</row>
    <row r="3" spans="1:29" ht="14.4">
      <c r="B3" s="242" t="s">
        <v>57</v>
      </c>
      <c r="C3" s="227" t="s">
        <v>58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03" t="s">
        <v>120</v>
      </c>
      <c r="V3" s="210"/>
      <c r="W3" s="211"/>
      <c r="X3" s="230" t="s">
        <v>116</v>
      </c>
      <c r="Y3" s="224" t="s">
        <v>62</v>
      </c>
      <c r="Z3" s="233" t="s">
        <v>87</v>
      </c>
      <c r="AA3" s="227" t="s">
        <v>88</v>
      </c>
      <c r="AB3" s="227" t="s">
        <v>63</v>
      </c>
    </row>
    <row r="4" spans="1:29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158">
        <v>0.16</v>
      </c>
      <c r="N4" s="158">
        <v>0.1</v>
      </c>
      <c r="O4" s="158">
        <v>8.0000000000000002E-3</v>
      </c>
      <c r="P4" s="158">
        <v>4.0000000000000001E-3</v>
      </c>
      <c r="Q4" s="158">
        <v>8.0000000000000002E-3</v>
      </c>
      <c r="R4" s="158">
        <v>0.08</v>
      </c>
      <c r="S4" s="156" t="s">
        <v>0</v>
      </c>
      <c r="T4" s="158">
        <v>2E-3</v>
      </c>
      <c r="U4" s="114">
        <v>0.05</v>
      </c>
      <c r="V4" s="114">
        <v>0.05</v>
      </c>
      <c r="W4" s="114">
        <v>0.1</v>
      </c>
      <c r="X4" s="231"/>
      <c r="Y4" s="225"/>
      <c r="Z4" s="234"/>
      <c r="AA4" s="201"/>
      <c r="AB4" s="201"/>
    </row>
    <row r="5" spans="1:29" ht="14.4">
      <c r="B5" s="244"/>
      <c r="C5" s="202"/>
      <c r="D5" s="202"/>
      <c r="E5" s="155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158" t="s">
        <v>53</v>
      </c>
      <c r="N5" s="158" t="s">
        <v>46</v>
      </c>
      <c r="O5" s="158" t="s">
        <v>51</v>
      </c>
      <c r="P5" s="158" t="s">
        <v>52</v>
      </c>
      <c r="Q5" s="158" t="s">
        <v>64</v>
      </c>
      <c r="R5" s="158" t="s">
        <v>53</v>
      </c>
      <c r="S5" s="156" t="s">
        <v>46</v>
      </c>
      <c r="T5" s="158" t="s">
        <v>51</v>
      </c>
      <c r="U5" s="119" t="s">
        <v>117</v>
      </c>
      <c r="V5" s="119" t="s">
        <v>118</v>
      </c>
      <c r="W5" s="119" t="s">
        <v>119</v>
      </c>
      <c r="X5" s="232"/>
      <c r="Y5" s="226"/>
      <c r="Z5" s="207"/>
      <c r="AA5" s="202"/>
      <c r="AB5" s="202"/>
    </row>
    <row r="6" spans="1:29" s="15" customFormat="1" ht="16.5" customHeight="1">
      <c r="A6" s="13"/>
      <c r="B6" s="14">
        <v>1</v>
      </c>
      <c r="C6" s="157" t="s">
        <v>54</v>
      </c>
      <c r="D6" s="157">
        <v>3000</v>
      </c>
      <c r="E6" s="157">
        <v>22</v>
      </c>
      <c r="F6" s="157">
        <v>22</v>
      </c>
      <c r="G6" s="157">
        <f>E6-F6</f>
        <v>0</v>
      </c>
      <c r="H6" s="157">
        <f>D6/21.75*G6</f>
        <v>0</v>
      </c>
      <c r="I6" s="157"/>
      <c r="J6" s="157"/>
      <c r="K6" s="157">
        <f>D6-H6+I6+J6</f>
        <v>3000</v>
      </c>
      <c r="L6" s="157">
        <v>2200</v>
      </c>
      <c r="M6" s="157"/>
      <c r="N6" s="157">
        <f t="shared" ref="N6:N13" si="0">ROUND(MAX(N$23,MIN($L6,N$25))*N$4,2)/2</f>
        <v>277.85000000000002</v>
      </c>
      <c r="O6" s="157"/>
      <c r="P6" s="157"/>
      <c r="Q6" s="157">
        <f t="shared" ref="Q6:Q13" si="1">ROUND(MAX(Q$23,MIN($L6,Q$25))*Q$4,2)/2</f>
        <v>22.23</v>
      </c>
      <c r="R6" s="157">
        <f t="shared" ref="R6:R13" si="2">ROUND(MAX(R$23,MIN($L6,R$25))*R$4,2)</f>
        <v>289.04000000000002</v>
      </c>
      <c r="S6" s="157">
        <f t="shared" ref="S6:S13" si="3">ROUND(MAX(S$23,MIN($L6,S$25))*2%+3,2)</f>
        <v>114.14</v>
      </c>
      <c r="T6" s="157">
        <f>ROUND(MAX(T$23,MIN($L6,T$25))*T$4,2)</f>
        <v>7.23</v>
      </c>
      <c r="U6" s="157"/>
      <c r="V6" s="157"/>
      <c r="W6" s="157">
        <f t="shared" ref="W6:W7" si="4">U6+V6</f>
        <v>0</v>
      </c>
      <c r="X6" s="157">
        <f>R6+S6+T6</f>
        <v>410.41</v>
      </c>
      <c r="Y6" s="157">
        <f>5000+5000</f>
        <v>10000</v>
      </c>
      <c r="Z6" s="157">
        <f>K6-X6-Y6</f>
        <v>-7410.41</v>
      </c>
      <c r="AA6" s="157">
        <f>ROUND(MAX(Z6*{3;10;20;25;30;35;45}%-{0;21;141;266;441;716;1516}*10,),2)</f>
        <v>0</v>
      </c>
      <c r="AB6" s="157">
        <f>K6-X6-AA6</f>
        <v>2589.59</v>
      </c>
      <c r="AC6" s="16"/>
    </row>
    <row r="7" spans="1:29" s="15" customFormat="1" ht="14.4">
      <c r="A7" s="13"/>
      <c r="B7" s="14">
        <v>2</v>
      </c>
      <c r="C7" s="35" t="s">
        <v>112</v>
      </c>
      <c r="D7" s="157">
        <v>2200</v>
      </c>
      <c r="E7" s="157">
        <v>22</v>
      </c>
      <c r="F7" s="157">
        <v>22</v>
      </c>
      <c r="G7" s="157">
        <f t="shared" ref="G7" si="5">E7-F7</f>
        <v>0</v>
      </c>
      <c r="H7" s="157">
        <f>4000/21.75*G7</f>
        <v>0</v>
      </c>
      <c r="I7" s="157"/>
      <c r="J7" s="157"/>
      <c r="K7" s="157">
        <f t="shared" ref="K7:K13" si="6">D7-H7+I7+J7</f>
        <v>2200</v>
      </c>
      <c r="L7" s="157">
        <v>2200</v>
      </c>
      <c r="M7" s="157"/>
      <c r="N7" s="157">
        <f t="shared" si="0"/>
        <v>277.85000000000002</v>
      </c>
      <c r="O7" s="157"/>
      <c r="P7" s="157"/>
      <c r="Q7" s="157">
        <f t="shared" si="1"/>
        <v>22.23</v>
      </c>
      <c r="R7" s="157">
        <f t="shared" si="2"/>
        <v>289.04000000000002</v>
      </c>
      <c r="S7" s="157">
        <f t="shared" si="3"/>
        <v>114.14</v>
      </c>
      <c r="T7" s="157"/>
      <c r="U7" s="157"/>
      <c r="V7" s="157"/>
      <c r="W7" s="157">
        <f t="shared" si="4"/>
        <v>0</v>
      </c>
      <c r="X7" s="157">
        <f t="shared" ref="X7" si="7">R7+S7+T7</f>
        <v>403.18</v>
      </c>
      <c r="Y7" s="157">
        <v>5000</v>
      </c>
      <c r="Z7" s="157">
        <f t="shared" ref="Z7:Z13" si="8">K7-X7-Y7</f>
        <v>-3203.1800000000003</v>
      </c>
      <c r="AA7" s="157">
        <f>ROUND(MAX(Z7*{3;10;20;25;30;35;45}%-{0;21;141;266;441;716;1516}*10,),2)</f>
        <v>0</v>
      </c>
      <c r="AB7" s="157">
        <f>K7-X7-AA7</f>
        <v>1796.82</v>
      </c>
      <c r="AC7" s="151" t="s">
        <v>132</v>
      </c>
    </row>
    <row r="8" spans="1:29" s="15" customFormat="1" ht="14.4">
      <c r="A8" s="13"/>
      <c r="B8" s="14">
        <v>3</v>
      </c>
      <c r="C8" s="35" t="s">
        <v>104</v>
      </c>
      <c r="D8" s="157">
        <v>5000</v>
      </c>
      <c r="E8" s="157">
        <v>22</v>
      </c>
      <c r="F8" s="157">
        <v>22</v>
      </c>
      <c r="G8" s="157">
        <f>E8-F8</f>
        <v>0</v>
      </c>
      <c r="H8" s="157">
        <f>4000/21.75*G8</f>
        <v>0</v>
      </c>
      <c r="I8" s="157"/>
      <c r="J8" s="157"/>
      <c r="K8" s="157">
        <f t="shared" si="6"/>
        <v>5000</v>
      </c>
      <c r="L8" s="157">
        <v>2200</v>
      </c>
      <c r="M8" s="157"/>
      <c r="N8" s="157">
        <f t="shared" si="0"/>
        <v>277.85000000000002</v>
      </c>
      <c r="O8" s="157"/>
      <c r="P8" s="157"/>
      <c r="Q8" s="157">
        <f t="shared" si="1"/>
        <v>22.23</v>
      </c>
      <c r="R8" s="157">
        <f t="shared" si="2"/>
        <v>289.04000000000002</v>
      </c>
      <c r="S8" s="157">
        <f t="shared" si="3"/>
        <v>114.14</v>
      </c>
      <c r="T8" s="157">
        <f>ROUND(MAX(T$23,MIN($L8,T$25))*T$4,2)</f>
        <v>7.23</v>
      </c>
      <c r="U8" s="157">
        <f>$L8*U$4</f>
        <v>110</v>
      </c>
      <c r="V8" s="157"/>
      <c r="W8" s="157">
        <f t="shared" ref="W8:W13" si="9">U8+V8</f>
        <v>110</v>
      </c>
      <c r="X8" s="157">
        <f>R8+S8+T8+W8</f>
        <v>520.41000000000008</v>
      </c>
      <c r="Y8" s="157">
        <f>5000</f>
        <v>5000</v>
      </c>
      <c r="Z8" s="157">
        <f t="shared" si="8"/>
        <v>-520.40999999999985</v>
      </c>
      <c r="AA8" s="157">
        <f>ROUND(MAX(Z8*{3;10;20;25;30;35;45}%-{0;21;141;266;441;716;1516}*10,),2)</f>
        <v>0</v>
      </c>
      <c r="AB8" s="157">
        <f>K8-X8-AA8</f>
        <v>4479.59</v>
      </c>
      <c r="AC8" s="146"/>
    </row>
    <row r="9" spans="1:29" s="15" customFormat="1" ht="14.4">
      <c r="A9" s="13"/>
      <c r="B9" s="14">
        <v>4</v>
      </c>
      <c r="C9" s="35" t="s">
        <v>103</v>
      </c>
      <c r="D9" s="157">
        <v>7000</v>
      </c>
      <c r="E9" s="157">
        <v>22</v>
      </c>
      <c r="F9" s="157">
        <v>22</v>
      </c>
      <c r="G9" s="157">
        <f>E9-F9</f>
        <v>0</v>
      </c>
      <c r="H9" s="157">
        <f>4000/21.75*G9</f>
        <v>0</v>
      </c>
      <c r="I9" s="157"/>
      <c r="J9" s="157"/>
      <c r="K9" s="157">
        <f t="shared" si="6"/>
        <v>7000</v>
      </c>
      <c r="L9" s="157">
        <v>2200</v>
      </c>
      <c r="M9" s="157"/>
      <c r="N9" s="157">
        <f t="shared" si="0"/>
        <v>277.85000000000002</v>
      </c>
      <c r="O9" s="157"/>
      <c r="P9" s="157"/>
      <c r="Q9" s="157">
        <f t="shared" si="1"/>
        <v>22.23</v>
      </c>
      <c r="R9" s="157">
        <f t="shared" si="2"/>
        <v>289.04000000000002</v>
      </c>
      <c r="S9" s="157">
        <f t="shared" si="3"/>
        <v>114.14</v>
      </c>
      <c r="T9" s="157">
        <f>ROUND(MAX(T$23,MIN($L9,T$25))*T$4,2)</f>
        <v>7.23</v>
      </c>
      <c r="U9" s="157"/>
      <c r="V9" s="157"/>
      <c r="W9" s="157">
        <f t="shared" si="9"/>
        <v>0</v>
      </c>
      <c r="X9" s="157">
        <f>R9+S9+T9+V9</f>
        <v>410.41</v>
      </c>
      <c r="Y9" s="157">
        <f>5000+2000</f>
        <v>7000</v>
      </c>
      <c r="Z9" s="157">
        <f>K9-X9-Y9</f>
        <v>-410.40999999999985</v>
      </c>
      <c r="AA9" s="157">
        <f>ROUND(MAX(Z9*{3;10;20;25;30;35;45}%-{0;21;141;266;441;716;1516}*10,),2)</f>
        <v>0</v>
      </c>
      <c r="AB9" s="144">
        <f>K9-X9-AA9</f>
        <v>6589.59</v>
      </c>
      <c r="AC9" s="148" t="s">
        <v>142</v>
      </c>
    </row>
    <row r="10" spans="1:29" s="15" customFormat="1" ht="14.4">
      <c r="A10" s="13"/>
      <c r="B10" s="14">
        <v>5</v>
      </c>
      <c r="C10" s="35" t="s">
        <v>124</v>
      </c>
      <c r="D10" s="157">
        <v>5500</v>
      </c>
      <c r="E10" s="157">
        <v>22</v>
      </c>
      <c r="F10" s="157">
        <v>22</v>
      </c>
      <c r="G10" s="157">
        <f t="shared" ref="G10:G13" si="10">E10-F10</f>
        <v>0</v>
      </c>
      <c r="H10" s="157">
        <f t="shared" ref="H10:H13" si="11">4000/21.75*G10</f>
        <v>0</v>
      </c>
      <c r="I10" s="157"/>
      <c r="J10" s="157"/>
      <c r="K10" s="157">
        <f t="shared" si="6"/>
        <v>5500</v>
      </c>
      <c r="L10" s="157">
        <v>5500</v>
      </c>
      <c r="M10" s="157"/>
      <c r="N10" s="157">
        <f t="shared" si="0"/>
        <v>277.85000000000002</v>
      </c>
      <c r="O10" s="157"/>
      <c r="P10" s="157"/>
      <c r="Q10" s="157">
        <f t="shared" si="1"/>
        <v>22.23</v>
      </c>
      <c r="R10" s="157">
        <f t="shared" si="2"/>
        <v>440</v>
      </c>
      <c r="S10" s="157">
        <f t="shared" si="3"/>
        <v>114.14</v>
      </c>
      <c r="T10" s="157"/>
      <c r="U10" s="157">
        <f>$L10*U$4</f>
        <v>275</v>
      </c>
      <c r="V10" s="157">
        <f>$L10*V$4</f>
        <v>275</v>
      </c>
      <c r="W10" s="157">
        <f t="shared" si="9"/>
        <v>550</v>
      </c>
      <c r="X10" s="157">
        <f t="shared" ref="X10:X13" si="12">R10+S10+T10+V10</f>
        <v>829.14</v>
      </c>
      <c r="Y10" s="157">
        <f>5000</f>
        <v>5000</v>
      </c>
      <c r="Z10" s="157">
        <f t="shared" si="8"/>
        <v>-329.14000000000033</v>
      </c>
      <c r="AA10" s="157">
        <f>ROUND(MAX(Z10*{3;10;20;25;30;35;45}%-{0;21;141;266;441;716;1516}*10,),2)</f>
        <v>0</v>
      </c>
      <c r="AB10" s="157">
        <f t="shared" ref="AB10:AB11" si="13">K10-X10-AA10</f>
        <v>4670.8599999999997</v>
      </c>
      <c r="AC10" s="151" t="s">
        <v>132</v>
      </c>
    </row>
    <row r="11" spans="1:29" s="15" customFormat="1" ht="14.4">
      <c r="A11" s="13"/>
      <c r="B11" s="14">
        <v>6</v>
      </c>
      <c r="C11" s="35" t="s">
        <v>125</v>
      </c>
      <c r="D11" s="157">
        <v>5500</v>
      </c>
      <c r="E11" s="157">
        <v>22</v>
      </c>
      <c r="F11" s="157">
        <v>22</v>
      </c>
      <c r="G11" s="157">
        <f t="shared" si="10"/>
        <v>0</v>
      </c>
      <c r="H11" s="157">
        <f t="shared" si="11"/>
        <v>0</v>
      </c>
      <c r="I11" s="157"/>
      <c r="J11" s="157"/>
      <c r="K11" s="157">
        <f t="shared" si="6"/>
        <v>5500</v>
      </c>
      <c r="L11" s="157">
        <v>5500</v>
      </c>
      <c r="M11" s="157"/>
      <c r="N11" s="157">
        <f t="shared" si="0"/>
        <v>277.85000000000002</v>
      </c>
      <c r="O11" s="157"/>
      <c r="P11" s="157"/>
      <c r="Q11" s="157">
        <f t="shared" si="1"/>
        <v>22.23</v>
      </c>
      <c r="R11" s="157">
        <f t="shared" si="2"/>
        <v>440</v>
      </c>
      <c r="S11" s="157">
        <f t="shared" si="3"/>
        <v>114.14</v>
      </c>
      <c r="T11" s="157">
        <f>ROUND(MAX(T$23,MIN($L11,T$25))*T$4,2)</f>
        <v>11</v>
      </c>
      <c r="U11" s="157">
        <f t="shared" ref="U11" si="14">$L11*U$4</f>
        <v>275</v>
      </c>
      <c r="V11" s="157">
        <f>$L11*V$4</f>
        <v>275</v>
      </c>
      <c r="W11" s="157">
        <f t="shared" si="9"/>
        <v>550</v>
      </c>
      <c r="X11" s="157">
        <f t="shared" si="12"/>
        <v>840.14</v>
      </c>
      <c r="Y11" s="157">
        <f>5000</f>
        <v>5000</v>
      </c>
      <c r="Z11" s="157">
        <f t="shared" si="8"/>
        <v>-340.14000000000033</v>
      </c>
      <c r="AA11" s="157">
        <f>ROUND(MAX(Z11*{3;10;20;25;30;35;45}%-{0;21;141;266;441;716;1516}*10,),2)</f>
        <v>0</v>
      </c>
      <c r="AB11" s="157">
        <f t="shared" si="13"/>
        <v>4659.8599999999997</v>
      </c>
      <c r="AC11" s="146"/>
    </row>
    <row r="12" spans="1:29" s="15" customFormat="1" ht="14.4">
      <c r="A12" s="13"/>
      <c r="B12" s="14">
        <v>7</v>
      </c>
      <c r="C12" s="35" t="s">
        <v>147</v>
      </c>
      <c r="D12" s="157">
        <v>5500</v>
      </c>
      <c r="E12" s="157">
        <v>22</v>
      </c>
      <c r="F12" s="157">
        <v>22</v>
      </c>
      <c r="G12" s="157">
        <f t="shared" ref="G12" si="15">E12-F12</f>
        <v>0</v>
      </c>
      <c r="H12" s="157">
        <f t="shared" ref="H12" si="16">4000/21.75*G12</f>
        <v>0</v>
      </c>
      <c r="I12" s="157"/>
      <c r="J12" s="157"/>
      <c r="K12" s="157">
        <f t="shared" si="6"/>
        <v>5500</v>
      </c>
      <c r="L12" s="157">
        <v>5500</v>
      </c>
      <c r="M12" s="157"/>
      <c r="N12" s="157">
        <f t="shared" si="0"/>
        <v>277.85000000000002</v>
      </c>
      <c r="O12" s="157"/>
      <c r="P12" s="157"/>
      <c r="Q12" s="157">
        <f t="shared" si="1"/>
        <v>22.23</v>
      </c>
      <c r="R12" s="157">
        <f t="shared" si="2"/>
        <v>440</v>
      </c>
      <c r="S12" s="157">
        <f t="shared" si="3"/>
        <v>114.14</v>
      </c>
      <c r="T12" s="157"/>
      <c r="U12" s="157"/>
      <c r="V12" s="157"/>
      <c r="W12" s="157">
        <f t="shared" si="9"/>
        <v>0</v>
      </c>
      <c r="X12" s="157">
        <f t="shared" ref="X12" si="17">R12+S12+T12+V12</f>
        <v>554.14</v>
      </c>
      <c r="Y12" s="157">
        <f>5000</f>
        <v>5000</v>
      </c>
      <c r="Z12" s="157">
        <f t="shared" ref="Z12" si="18">K12-X12-Y12</f>
        <v>-54.140000000000327</v>
      </c>
      <c r="AA12" s="157">
        <f>ROUND(MAX(Z12*{3;10;20;25;30;35;45}%-{0;21;141;266;441;716;1516}*10,),2)</f>
        <v>0</v>
      </c>
      <c r="AB12" s="157">
        <f t="shared" ref="AB12" si="19">K12-X12-AA12</f>
        <v>4945.8599999999997</v>
      </c>
      <c r="AC12" s="151" t="s">
        <v>132</v>
      </c>
    </row>
    <row r="13" spans="1:29" s="15" customFormat="1" ht="14.4">
      <c r="A13" s="13"/>
      <c r="B13" s="14">
        <v>8</v>
      </c>
      <c r="C13" s="35" t="s">
        <v>138</v>
      </c>
      <c r="D13" s="157">
        <v>2610.41</v>
      </c>
      <c r="E13" s="157">
        <v>22</v>
      </c>
      <c r="F13" s="157">
        <v>22</v>
      </c>
      <c r="G13" s="157">
        <f t="shared" si="10"/>
        <v>0</v>
      </c>
      <c r="H13" s="157">
        <f t="shared" si="11"/>
        <v>0</v>
      </c>
      <c r="I13" s="157"/>
      <c r="J13" s="157"/>
      <c r="K13" s="157">
        <f t="shared" si="6"/>
        <v>2610.41</v>
      </c>
      <c r="L13" s="157">
        <v>2200</v>
      </c>
      <c r="M13" s="157"/>
      <c r="N13" s="157">
        <f t="shared" si="0"/>
        <v>277.85000000000002</v>
      </c>
      <c r="O13" s="157"/>
      <c r="P13" s="157"/>
      <c r="Q13" s="157">
        <f t="shared" si="1"/>
        <v>22.23</v>
      </c>
      <c r="R13" s="157">
        <f t="shared" si="2"/>
        <v>289.04000000000002</v>
      </c>
      <c r="S13" s="157">
        <f t="shared" si="3"/>
        <v>114.14</v>
      </c>
      <c r="T13" s="157">
        <f>ROUND(MAX(T$23,MIN($L13,T$25))*T$4,2)</f>
        <v>7.23</v>
      </c>
      <c r="U13" s="157"/>
      <c r="V13" s="157"/>
      <c r="W13" s="157">
        <f t="shared" si="9"/>
        <v>0</v>
      </c>
      <c r="X13" s="157">
        <f t="shared" si="12"/>
        <v>410.41</v>
      </c>
      <c r="Y13" s="157">
        <f>5000</f>
        <v>5000</v>
      </c>
      <c r="Z13" s="157">
        <f t="shared" si="8"/>
        <v>-2800</v>
      </c>
      <c r="AA13" s="157">
        <f>ROUND(MAX(Z13*{3;10;20;25;30;35;45}%-{0;21;141;266;441;716;1516}*10,),2)</f>
        <v>0</v>
      </c>
      <c r="AB13" s="157">
        <f>K13-X13-AA13</f>
        <v>2200</v>
      </c>
      <c r="AC13" s="146"/>
    </row>
    <row r="14" spans="1:29" s="15" customFormat="1" ht="14.4" hidden="1">
      <c r="A14" s="13"/>
      <c r="B14" s="14"/>
      <c r="C14" s="35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46"/>
    </row>
    <row r="15" spans="1:29" s="15" customFormat="1" ht="13.8" hidden="1">
      <c r="A15" s="13"/>
      <c r="B15" s="228" t="s">
        <v>65</v>
      </c>
      <c r="C15" s="228"/>
      <c r="D15" s="208">
        <f>SUM(D6:D14)</f>
        <v>36310.410000000003</v>
      </c>
      <c r="E15" s="208"/>
      <c r="F15" s="208"/>
      <c r="G15" s="208"/>
      <c r="H15" s="208">
        <f>SUM(H6:H14)</f>
        <v>0</v>
      </c>
      <c r="I15" s="208">
        <f>SUM(I6:I14)</f>
        <v>0</v>
      </c>
      <c r="J15" s="208">
        <f>SUM(J6:J14)</f>
        <v>0</v>
      </c>
      <c r="K15" s="208">
        <f>SUM(K6:K14)</f>
        <v>36310.410000000003</v>
      </c>
      <c r="L15" s="208"/>
      <c r="M15" s="157">
        <f t="shared" ref="M15:W15" si="20">SUM(M6:M14)</f>
        <v>0</v>
      </c>
      <c r="N15" s="157">
        <f t="shared" si="20"/>
        <v>2222.7999999999997</v>
      </c>
      <c r="O15" s="157">
        <f t="shared" si="20"/>
        <v>0</v>
      </c>
      <c r="P15" s="157">
        <f t="shared" si="20"/>
        <v>0</v>
      </c>
      <c r="Q15" s="157">
        <f t="shared" si="20"/>
        <v>177.83999999999997</v>
      </c>
      <c r="R15" s="157">
        <f t="shared" si="20"/>
        <v>2765.2</v>
      </c>
      <c r="S15" s="157">
        <f t="shared" si="20"/>
        <v>913.12</v>
      </c>
      <c r="T15" s="157">
        <f t="shared" si="20"/>
        <v>39.92</v>
      </c>
      <c r="U15" s="157">
        <f t="shared" si="20"/>
        <v>660</v>
      </c>
      <c r="V15" s="157">
        <f t="shared" si="20"/>
        <v>550</v>
      </c>
      <c r="W15" s="157">
        <f t="shared" si="20"/>
        <v>1210</v>
      </c>
      <c r="X15" s="224">
        <f>SUM(X6:X14)</f>
        <v>4378.24</v>
      </c>
      <c r="Y15" s="208"/>
      <c r="Z15" s="208"/>
      <c r="AA15" s="215">
        <f>SUM(AA6:AA14)</f>
        <v>0</v>
      </c>
      <c r="AB15" s="215">
        <f>SUM(AB6:AB14)</f>
        <v>31932.170000000002</v>
      </c>
      <c r="AC15" s="146"/>
    </row>
    <row r="16" spans="1:29" s="15" customFormat="1" ht="13.8" hidden="1">
      <c r="A16" s="13"/>
      <c r="B16" s="228"/>
      <c r="C16" s="228"/>
      <c r="D16" s="208"/>
      <c r="E16" s="208"/>
      <c r="F16" s="208"/>
      <c r="G16" s="208"/>
      <c r="H16" s="208"/>
      <c r="I16" s="208"/>
      <c r="J16" s="208"/>
      <c r="K16" s="208"/>
      <c r="L16" s="208"/>
      <c r="M16" s="208">
        <f>SUM(M15:Q15)</f>
        <v>2400.64</v>
      </c>
      <c r="N16" s="208"/>
      <c r="O16" s="208"/>
      <c r="P16" s="208"/>
      <c r="Q16" s="208"/>
      <c r="R16" s="208">
        <f>SUM(R15:T15)</f>
        <v>3718.24</v>
      </c>
      <c r="S16" s="208"/>
      <c r="T16" s="208"/>
      <c r="U16" s="216">
        <f>U15+V15</f>
        <v>1210</v>
      </c>
      <c r="V16" s="217"/>
      <c r="W16" s="218"/>
      <c r="X16" s="225"/>
      <c r="Y16" s="208"/>
      <c r="Z16" s="208"/>
      <c r="AA16" s="215"/>
      <c r="AB16" s="215"/>
      <c r="AC16" s="146"/>
    </row>
    <row r="17" spans="1:29" s="15" customFormat="1" ht="13.8" hidden="1">
      <c r="A17" s="13"/>
      <c r="B17" s="228"/>
      <c r="C17" s="228"/>
      <c r="D17" s="208"/>
      <c r="E17" s="208"/>
      <c r="F17" s="208"/>
      <c r="G17" s="208"/>
      <c r="H17" s="208"/>
      <c r="I17" s="208"/>
      <c r="J17" s="208"/>
      <c r="K17" s="208"/>
      <c r="L17" s="208"/>
      <c r="M17" s="208">
        <f>M16+R16</f>
        <v>6118.8799999999992</v>
      </c>
      <c r="N17" s="208"/>
      <c r="O17" s="208"/>
      <c r="P17" s="208"/>
      <c r="Q17" s="208"/>
      <c r="R17" s="208"/>
      <c r="S17" s="208"/>
      <c r="T17" s="208"/>
      <c r="U17" s="219"/>
      <c r="V17" s="220"/>
      <c r="W17" s="221"/>
      <c r="X17" s="226"/>
      <c r="Y17" s="208"/>
      <c r="Z17" s="208"/>
      <c r="AA17" s="215"/>
      <c r="AB17" s="215"/>
      <c r="AC17" s="146"/>
    </row>
    <row r="18" spans="1:29" s="20" customFormat="1" ht="21.75" customHeight="1">
      <c r="A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61"/>
      <c r="S18" s="161"/>
      <c r="T18" s="161"/>
      <c r="U18" s="161"/>
      <c r="V18" s="161"/>
      <c r="W18" s="222" t="s">
        <v>150</v>
      </c>
      <c r="X18" s="223"/>
      <c r="Y18" s="166"/>
      <c r="Z18" s="166"/>
      <c r="AA18" s="174"/>
      <c r="AB18" s="175">
        <f>AB15-AB9</f>
        <v>25342.58</v>
      </c>
      <c r="AC18" s="147"/>
    </row>
    <row r="19" spans="1:29" s="15" customFormat="1" ht="14.4">
      <c r="A19" s="13"/>
      <c r="B19" s="212" t="s">
        <v>151</v>
      </c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146"/>
    </row>
    <row r="20" spans="1:29" s="15" customFormat="1" ht="13.8">
      <c r="A20" s="13"/>
      <c r="B20" s="21"/>
      <c r="AC20" s="146"/>
    </row>
    <row r="21" spans="1:29" s="15" customFormat="1" ht="14.4">
      <c r="A21" s="13"/>
      <c r="B21" s="213"/>
      <c r="C21" s="213"/>
      <c r="M21" s="209" t="s">
        <v>47</v>
      </c>
      <c r="N21" s="210"/>
      <c r="O21" s="210"/>
      <c r="P21" s="210"/>
      <c r="Q21" s="211"/>
      <c r="R21" s="209" t="s">
        <v>48</v>
      </c>
      <c r="S21" s="210"/>
      <c r="T21" s="211"/>
      <c r="U21" s="208" t="s">
        <v>56</v>
      </c>
      <c r="Z21" s="16"/>
      <c r="AC21" s="146"/>
    </row>
    <row r="22" spans="1:29" s="15" customFormat="1" ht="14.4">
      <c r="A22" s="13"/>
      <c r="B22" s="214"/>
      <c r="C22" s="214"/>
      <c r="M22" s="159" t="s">
        <v>53</v>
      </c>
      <c r="N22" s="159" t="s">
        <v>46</v>
      </c>
      <c r="O22" s="159" t="s">
        <v>51</v>
      </c>
      <c r="P22" s="159" t="s">
        <v>52</v>
      </c>
      <c r="Q22" s="159" t="s">
        <v>64</v>
      </c>
      <c r="R22" s="159" t="s">
        <v>53</v>
      </c>
      <c r="S22" s="154" t="s">
        <v>46</v>
      </c>
      <c r="T22" s="159" t="s">
        <v>51</v>
      </c>
      <c r="U22" s="208"/>
      <c r="AC22" s="146"/>
    </row>
    <row r="23" spans="1:29" s="15" customFormat="1" ht="14.4">
      <c r="A23" s="13"/>
      <c r="B23" s="21"/>
      <c r="L23" s="157" t="s">
        <v>67</v>
      </c>
      <c r="M23" s="157">
        <v>3613</v>
      </c>
      <c r="N23" s="157">
        <v>5557</v>
      </c>
      <c r="O23" s="157">
        <v>3613</v>
      </c>
      <c r="P23" s="157">
        <v>4713</v>
      </c>
      <c r="Q23" s="157">
        <v>5557</v>
      </c>
      <c r="R23" s="157">
        <v>3613</v>
      </c>
      <c r="S23" s="157">
        <v>5557</v>
      </c>
      <c r="T23" s="157">
        <v>3613</v>
      </c>
      <c r="U23" s="157"/>
      <c r="AC23" s="146"/>
    </row>
    <row r="24" spans="1:29" s="15" customFormat="1" ht="14.4">
      <c r="A24" s="13"/>
      <c r="B24" s="21"/>
      <c r="L24" s="157" t="s">
        <v>68</v>
      </c>
      <c r="M24" s="157">
        <f>ROUND(M23*$M$4,2)</f>
        <v>578.08000000000004</v>
      </c>
      <c r="N24" s="157">
        <f>ROUND(N23*$N$4,2)</f>
        <v>555.70000000000005</v>
      </c>
      <c r="O24" s="157">
        <f>ROUND(O23*$O$4,2)</f>
        <v>28.9</v>
      </c>
      <c r="P24" s="157">
        <f>ROUND(P23*$P$4,2)</f>
        <v>18.850000000000001</v>
      </c>
      <c r="Q24" s="157">
        <f>ROUND(Q23*$Q$4,2)</f>
        <v>44.46</v>
      </c>
      <c r="R24" s="157">
        <f>ROUND(R23*$R$4,2)</f>
        <v>289.04000000000002</v>
      </c>
      <c r="S24" s="157">
        <f>ROUND(S23*2%+3,2)</f>
        <v>114.14</v>
      </c>
      <c r="T24" s="157">
        <f>ROUND(T23*$T$4,2)</f>
        <v>7.23</v>
      </c>
      <c r="U24" s="157">
        <f>SUM(M24:T24)</f>
        <v>1636.4000000000003</v>
      </c>
      <c r="AC24" s="146"/>
    </row>
    <row r="25" spans="1:29" s="15" customFormat="1" ht="14.4">
      <c r="A25" s="13"/>
      <c r="B25" s="21"/>
      <c r="L25" s="157" t="s">
        <v>69</v>
      </c>
      <c r="M25" s="157">
        <v>23565</v>
      </c>
      <c r="N25" s="157">
        <v>27786</v>
      </c>
      <c r="O25" s="157">
        <v>23565</v>
      </c>
      <c r="P25" s="157">
        <v>23565</v>
      </c>
      <c r="Q25" s="157">
        <v>27786</v>
      </c>
      <c r="R25" s="157">
        <v>23565</v>
      </c>
      <c r="S25" s="157">
        <v>27786</v>
      </c>
      <c r="T25" s="157">
        <v>23565</v>
      </c>
      <c r="U25" s="157"/>
      <c r="AC25" s="146"/>
    </row>
    <row r="26" spans="1:29" s="15" customFormat="1" ht="14.4">
      <c r="A26" s="13"/>
      <c r="B26" s="21"/>
      <c r="L26" s="157" t="s">
        <v>70</v>
      </c>
      <c r="M26" s="157">
        <f>ROUND(M25*$M$4,2)</f>
        <v>3770.4</v>
      </c>
      <c r="N26" s="157">
        <f>ROUND(N25*$N$4,2)</f>
        <v>2778.6</v>
      </c>
      <c r="O26" s="157">
        <f>ROUND(O25*$O$4,2)</f>
        <v>188.52</v>
      </c>
      <c r="P26" s="157">
        <f>ROUND(P25*$P$4,2)</f>
        <v>94.26</v>
      </c>
      <c r="Q26" s="157">
        <f>ROUND(Q25*$Q$4,2)</f>
        <v>222.29</v>
      </c>
      <c r="R26" s="157">
        <f>ROUND(R25*$R$4,2)</f>
        <v>1885.2</v>
      </c>
      <c r="S26" s="157">
        <f>ROUND(S25*2%,2)+3</f>
        <v>558.72</v>
      </c>
      <c r="T26" s="157">
        <f>ROUND(T25*$T$4,2)</f>
        <v>47.13</v>
      </c>
      <c r="U26" s="157">
        <f>SUM(M26:T26)</f>
        <v>9545.119999999999</v>
      </c>
      <c r="AC26" s="146"/>
    </row>
    <row r="27" spans="1:29" s="15" customFormat="1" ht="13.8">
      <c r="A27" s="13"/>
      <c r="B27" s="21"/>
      <c r="AC27" s="146"/>
    </row>
    <row r="28" spans="1:29" s="15" customFormat="1" ht="13.8">
      <c r="A28" s="13"/>
      <c r="B28" s="21"/>
      <c r="AC28" s="146"/>
    </row>
    <row r="29" spans="1:29" s="15" customFormat="1" ht="13.8">
      <c r="A29" s="13"/>
      <c r="B29" s="21"/>
      <c r="AC29" s="146"/>
    </row>
    <row r="30" spans="1:29" s="15" customFormat="1" ht="13.8">
      <c r="A30" s="13"/>
      <c r="B30" s="21"/>
      <c r="AC30" s="146"/>
    </row>
    <row r="31" spans="1:29" s="15" customFormat="1" ht="13.8">
      <c r="A31" s="13"/>
      <c r="B31" s="21"/>
      <c r="AC31" s="146"/>
    </row>
    <row r="32" spans="1:29" s="15" customFormat="1" ht="13.8">
      <c r="A32" s="13"/>
      <c r="B32" s="21"/>
      <c r="AC32" s="146"/>
    </row>
    <row r="33" spans="27:27" ht="13.8">
      <c r="AA33" s="15"/>
    </row>
  </sheetData>
  <mergeCells count="44">
    <mergeCell ref="B21:C21"/>
    <mergeCell ref="M21:Q21"/>
    <mergeCell ref="R21:T21"/>
    <mergeCell ref="U21:U22"/>
    <mergeCell ref="B22:C22"/>
    <mergeCell ref="B19:AB19"/>
    <mergeCell ref="K15:K17"/>
    <mergeCell ref="L15:L17"/>
    <mergeCell ref="X15:X17"/>
    <mergeCell ref="Y15:Y17"/>
    <mergeCell ref="Z15:Z17"/>
    <mergeCell ref="AA15:AA17"/>
    <mergeCell ref="W18:X18"/>
    <mergeCell ref="AB15:AB17"/>
    <mergeCell ref="M16:Q16"/>
    <mergeCell ref="R16:T16"/>
    <mergeCell ref="U16:W17"/>
    <mergeCell ref="M17:T17"/>
    <mergeCell ref="H15:H17"/>
    <mergeCell ref="I15:I17"/>
    <mergeCell ref="J15:J17"/>
    <mergeCell ref="M3:Q3"/>
    <mergeCell ref="R3:T3"/>
    <mergeCell ref="B15:C17"/>
    <mergeCell ref="D15:D17"/>
    <mergeCell ref="E15:E17"/>
    <mergeCell ref="F15:F17"/>
    <mergeCell ref="G15:G17"/>
    <mergeCell ref="B1:AB1"/>
    <mergeCell ref="B2:AB2"/>
    <mergeCell ref="B3:B5"/>
    <mergeCell ref="C3:C5"/>
    <mergeCell ref="D3:D5"/>
    <mergeCell ref="E3:H4"/>
    <mergeCell ref="I3:I5"/>
    <mergeCell ref="J3:J5"/>
    <mergeCell ref="K3:K5"/>
    <mergeCell ref="L3:L5"/>
    <mergeCell ref="AA3:AA5"/>
    <mergeCell ref="AB3:AB5"/>
    <mergeCell ref="U3:W3"/>
    <mergeCell ref="X3:X5"/>
    <mergeCell ref="Y3:Y5"/>
    <mergeCell ref="Z3:Z5"/>
  </mergeCells>
  <phoneticPr fontId="1" type="noConversion"/>
  <pageMargins left="0.27" right="0.17" top="0.47" bottom="0.75" header="0.19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9"/>
  <sheetViews>
    <sheetView topLeftCell="D1" workbookViewId="0">
      <selection activeCell="G23" sqref="G23"/>
    </sheetView>
  </sheetViews>
  <sheetFormatPr defaultColWidth="9.109375" defaultRowHeight="20.100000000000001" customHeight="1"/>
  <cols>
    <col min="1" max="1" width="1.33203125" style="163" customWidth="1"/>
    <col min="2" max="2" width="5.21875" style="21" bestFit="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customWidth="1"/>
    <col min="10" max="10" width="7.109375" style="12" customWidth="1"/>
    <col min="11" max="11" width="10.109375" style="12" customWidth="1"/>
    <col min="12" max="12" width="9" style="12" customWidth="1"/>
    <col min="13" max="18" width="8.77734375" style="22" customWidth="1"/>
    <col min="19" max="19" width="8.77734375" style="12" customWidth="1"/>
    <col min="20" max="20" width="8.77734375" style="22" customWidth="1"/>
    <col min="21" max="21" width="10.33203125" style="15" customWidth="1"/>
    <col min="22" max="22" width="9" style="22" customWidth="1"/>
    <col min="23" max="23" width="6.6640625" style="12" customWidth="1"/>
    <col min="24" max="26" width="10.77734375" style="12" customWidth="1"/>
    <col min="27" max="16384" width="9.109375" style="12"/>
  </cols>
  <sheetData>
    <row r="1" spans="1:26" ht="21">
      <c r="B1" s="240" t="s">
        <v>148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</row>
    <row r="2" spans="1:26" ht="13.8" hidden="1"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</row>
    <row r="3" spans="1:26" ht="14.4">
      <c r="B3" s="242" t="s">
        <v>57</v>
      </c>
      <c r="C3" s="227" t="s">
        <v>58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66" t="s">
        <v>149</v>
      </c>
      <c r="V3" s="233" t="s">
        <v>87</v>
      </c>
      <c r="W3" s="227" t="s">
        <v>88</v>
      </c>
      <c r="X3" s="227" t="s">
        <v>63</v>
      </c>
      <c r="Y3" s="269" t="s">
        <v>101</v>
      </c>
      <c r="Z3" s="269" t="s">
        <v>102</v>
      </c>
    </row>
    <row r="4" spans="1:26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158">
        <v>0.16</v>
      </c>
      <c r="N4" s="158">
        <v>0.1</v>
      </c>
      <c r="O4" s="158">
        <v>8.0000000000000002E-3</v>
      </c>
      <c r="P4" s="158">
        <v>4.0000000000000001E-3</v>
      </c>
      <c r="Q4" s="158">
        <v>8.0000000000000002E-3</v>
      </c>
      <c r="R4" s="158">
        <v>0.08</v>
      </c>
      <c r="S4" s="156" t="s">
        <v>0</v>
      </c>
      <c r="T4" s="158">
        <v>2E-3</v>
      </c>
      <c r="U4" s="267"/>
      <c r="V4" s="234"/>
      <c r="W4" s="201"/>
      <c r="X4" s="201"/>
      <c r="Y4" s="270"/>
      <c r="Z4" s="270"/>
    </row>
    <row r="5" spans="1:26" ht="14.4">
      <c r="B5" s="244"/>
      <c r="C5" s="202"/>
      <c r="D5" s="202"/>
      <c r="E5" s="155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158" t="s">
        <v>53</v>
      </c>
      <c r="N5" s="158" t="s">
        <v>46</v>
      </c>
      <c r="O5" s="158" t="s">
        <v>51</v>
      </c>
      <c r="P5" s="158" t="s">
        <v>52</v>
      </c>
      <c r="Q5" s="158" t="s">
        <v>64</v>
      </c>
      <c r="R5" s="158" t="s">
        <v>53</v>
      </c>
      <c r="S5" s="156" t="s">
        <v>46</v>
      </c>
      <c r="T5" s="158" t="s">
        <v>51</v>
      </c>
      <c r="U5" s="268"/>
      <c r="V5" s="207"/>
      <c r="W5" s="202"/>
      <c r="X5" s="202"/>
      <c r="Y5" s="271"/>
      <c r="Z5" s="271"/>
    </row>
    <row r="6" spans="1:26" s="15" customFormat="1" ht="14.4">
      <c r="A6" s="13"/>
      <c r="B6" s="14">
        <v>1</v>
      </c>
      <c r="C6" s="157" t="s">
        <v>54</v>
      </c>
      <c r="D6" s="157">
        <v>7000</v>
      </c>
      <c r="E6" s="157">
        <v>22</v>
      </c>
      <c r="F6" s="157">
        <v>22</v>
      </c>
      <c r="G6" s="157">
        <f>E6-F6</f>
        <v>0</v>
      </c>
      <c r="H6" s="157">
        <f>D6/21.75*G6</f>
        <v>0</v>
      </c>
      <c r="I6" s="157"/>
      <c r="J6" s="157"/>
      <c r="K6" s="157">
        <f>D6-H6+I6+J6</f>
        <v>7000</v>
      </c>
      <c r="L6" s="157">
        <v>2200</v>
      </c>
      <c r="M6" s="157"/>
      <c r="N6" s="157">
        <f>ROUND(MAX(N$19,MIN($L6,N$21))*N$4,2)/2</f>
        <v>277.85000000000002</v>
      </c>
      <c r="O6" s="157"/>
      <c r="P6" s="157"/>
      <c r="Q6" s="157">
        <f>ROUND(MAX(Q$19,MIN($L6,Q$21))*Q$4,2)/2</f>
        <v>22.23</v>
      </c>
      <c r="R6" s="157">
        <f>ROUND(MAX(R$19,MIN($L6,R$21))*R$4,2)</f>
        <v>289.04000000000002</v>
      </c>
      <c r="S6" s="157">
        <f>ROUND(MAX(S$19,MIN($L6,S$21))*2%+3,2)</f>
        <v>114.14</v>
      </c>
      <c r="T6" s="157">
        <f>ROUND(MAX(T$19,MIN($L6,T$21))*T$4,2)</f>
        <v>7.23</v>
      </c>
      <c r="U6" s="157">
        <f>R6+S6+T6</f>
        <v>410.41</v>
      </c>
      <c r="V6" s="157">
        <f>5000-5000-U6</f>
        <v>-410.41</v>
      </c>
      <c r="W6" s="157">
        <f>ROUND(MAX(V6*{3;10;20;25;30;35;45}%-{0;21;141;266;441;716;1516}*10,),2)</f>
        <v>0</v>
      </c>
      <c r="X6" s="157">
        <f>K6-U6</f>
        <v>6589.59</v>
      </c>
      <c r="Y6" s="157">
        <v>2589.59</v>
      </c>
      <c r="Z6" s="157">
        <f>X6-Y6</f>
        <v>4000</v>
      </c>
    </row>
    <row r="7" spans="1:26" s="15" customFormat="1" ht="14.4">
      <c r="A7" s="13"/>
      <c r="B7" s="14">
        <v>2</v>
      </c>
      <c r="C7" s="35" t="s">
        <v>112</v>
      </c>
      <c r="D7" s="157">
        <v>4000</v>
      </c>
      <c r="E7" s="157">
        <v>22</v>
      </c>
      <c r="F7" s="157">
        <v>22</v>
      </c>
      <c r="G7" s="157">
        <f t="shared" ref="G7" si="0">E7-F7</f>
        <v>0</v>
      </c>
      <c r="H7" s="157">
        <f>4000/21.75*G7</f>
        <v>0</v>
      </c>
      <c r="I7" s="157"/>
      <c r="J7" s="157"/>
      <c r="K7" s="157">
        <v>2200</v>
      </c>
      <c r="L7" s="157">
        <v>2200</v>
      </c>
      <c r="M7" s="157"/>
      <c r="N7" s="157">
        <f>ROUND(MAX(N$19,MIN($L7,N$21))*N$4,2)/2</f>
        <v>277.85000000000002</v>
      </c>
      <c r="O7" s="157"/>
      <c r="P7" s="157"/>
      <c r="Q7" s="157">
        <f>ROUND(MAX(Q$19,MIN($L7,Q$21))*Q$4,2)/2</f>
        <v>22.23</v>
      </c>
      <c r="R7" s="157">
        <f>ROUND(MAX(R$19,MIN($L7,R$21))*R$4,2)</f>
        <v>289.04000000000002</v>
      </c>
      <c r="S7" s="157">
        <f>ROUND(MAX(S$19,MIN($L7,S$21))*2%+3,2)</f>
        <v>114.14</v>
      </c>
      <c r="T7" s="157"/>
      <c r="U7" s="157">
        <f t="shared" ref="U7" si="1">R7+S7+T7</f>
        <v>403.18</v>
      </c>
      <c r="V7" s="157">
        <f t="shared" ref="V7:V8" si="2">5000-5000-U7</f>
        <v>-403.18</v>
      </c>
      <c r="W7" s="157">
        <f>ROUND(MAX(V7*{3;10;20;25;30;35;45}%-{0;21;141;266;441;716;1516}*10,),2)</f>
        <v>0</v>
      </c>
      <c r="X7" s="157">
        <f t="shared" ref="X7" si="3">K7-U7</f>
        <v>1796.82</v>
      </c>
      <c r="Y7" s="157">
        <v>3589.59</v>
      </c>
      <c r="Z7" s="157"/>
    </row>
    <row r="8" spans="1:26" s="15" customFormat="1" ht="14.4">
      <c r="A8" s="13"/>
      <c r="B8" s="14">
        <v>3</v>
      </c>
      <c r="C8" s="35" t="s">
        <v>104</v>
      </c>
      <c r="D8" s="157">
        <v>5000</v>
      </c>
      <c r="E8" s="157">
        <v>22</v>
      </c>
      <c r="F8" s="157">
        <v>22</v>
      </c>
      <c r="G8" s="157">
        <f>E8-F8</f>
        <v>0</v>
      </c>
      <c r="H8" s="157">
        <f>4000/21.75*G8</f>
        <v>0</v>
      </c>
      <c r="I8" s="157"/>
      <c r="J8" s="157"/>
      <c r="K8" s="157">
        <f t="shared" ref="K8" si="4">D8-H8+I8+J8</f>
        <v>5000</v>
      </c>
      <c r="L8" s="157">
        <v>2200</v>
      </c>
      <c r="M8" s="157"/>
      <c r="N8" s="157">
        <f>ROUND(MAX(N$19,MIN($L8,N$21))*N$4,2)/2</f>
        <v>277.85000000000002</v>
      </c>
      <c r="O8" s="157"/>
      <c r="P8" s="157"/>
      <c r="Q8" s="157">
        <f>ROUND(MAX(Q$19,MIN($L8,Q$21))*Q$4,2)/2</f>
        <v>22.23</v>
      </c>
      <c r="R8" s="157">
        <f>ROUND(MAX(R$19,MIN($L8,R$21))*R$4,2)</f>
        <v>289.04000000000002</v>
      </c>
      <c r="S8" s="157">
        <f>ROUND(MAX(S$19,MIN($L8,S$21))*2%+3,2)</f>
        <v>114.14</v>
      </c>
      <c r="T8" s="157">
        <f>ROUND(MAX(T$19,MIN($L8,T$21))*T$4,2)</f>
        <v>7.23</v>
      </c>
      <c r="U8" s="157">
        <f>R8+S8+T8+110</f>
        <v>520.41000000000008</v>
      </c>
      <c r="V8" s="157">
        <f t="shared" si="2"/>
        <v>-520.41000000000008</v>
      </c>
      <c r="W8" s="157">
        <f>ROUND(MAX(V8*{3;10;20;25;30;35;45}%-{0;21;141;266;441;716;1516}*10,),2)</f>
        <v>0</v>
      </c>
      <c r="X8" s="157">
        <f>K8-U8</f>
        <v>4479.59</v>
      </c>
      <c r="Y8" s="157">
        <v>4479.59</v>
      </c>
      <c r="Z8" s="157"/>
    </row>
    <row r="9" spans="1:26" s="15" customFormat="1" ht="14.4" hidden="1">
      <c r="A9" s="13"/>
      <c r="B9" s="14"/>
      <c r="C9" s="35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spans="1:26" s="15" customFormat="1" ht="14.4">
      <c r="A10" s="13"/>
      <c r="B10" s="14"/>
      <c r="C10" s="35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spans="1:26" s="15" customFormat="1" ht="13.8">
      <c r="A11" s="13"/>
      <c r="B11" s="228" t="s">
        <v>65</v>
      </c>
      <c r="C11" s="228"/>
      <c r="D11" s="215">
        <f>SUM(D6:D10)</f>
        <v>16000</v>
      </c>
      <c r="E11" s="160"/>
      <c r="F11" s="160"/>
      <c r="G11" s="160"/>
      <c r="H11" s="215">
        <f>SUM(H6:H10)</f>
        <v>0</v>
      </c>
      <c r="I11" s="215">
        <f>SUM(I6:I10)</f>
        <v>0</v>
      </c>
      <c r="J11" s="215">
        <f>SUM(J6:J10)</f>
        <v>0</v>
      </c>
      <c r="K11" s="215">
        <f>SUM(K6:K10)</f>
        <v>14200</v>
      </c>
      <c r="L11" s="215"/>
      <c r="M11" s="157">
        <f t="shared" ref="M11:T11" si="5">SUM(M6:M10)</f>
        <v>0</v>
      </c>
      <c r="N11" s="157">
        <f t="shared" si="5"/>
        <v>833.55000000000007</v>
      </c>
      <c r="O11" s="157">
        <f t="shared" si="5"/>
        <v>0</v>
      </c>
      <c r="P11" s="157">
        <f t="shared" si="5"/>
        <v>0</v>
      </c>
      <c r="Q11" s="157">
        <f t="shared" si="5"/>
        <v>66.69</v>
      </c>
      <c r="R11" s="157">
        <f t="shared" si="5"/>
        <v>867.12000000000012</v>
      </c>
      <c r="S11" s="157">
        <f t="shared" si="5"/>
        <v>342.42</v>
      </c>
      <c r="T11" s="157">
        <f t="shared" si="5"/>
        <v>14.46</v>
      </c>
      <c r="U11" s="208"/>
      <c r="V11" s="208"/>
      <c r="W11" s="215">
        <f>SUM(W6:W10)</f>
        <v>0</v>
      </c>
      <c r="X11" s="215">
        <f>SUM(X6:X10)</f>
        <v>12866</v>
      </c>
      <c r="Y11" s="208">
        <f t="shared" ref="Y11:Z11" si="6">SUM(Y6:Y10)</f>
        <v>10658.77</v>
      </c>
      <c r="Z11" s="208">
        <f t="shared" si="6"/>
        <v>4000</v>
      </c>
    </row>
    <row r="12" spans="1:26" s="15" customFormat="1" ht="13.8">
      <c r="A12" s="13"/>
      <c r="B12" s="228"/>
      <c r="C12" s="228"/>
      <c r="D12" s="215"/>
      <c r="E12" s="160"/>
      <c r="F12" s="160"/>
      <c r="G12" s="160"/>
      <c r="H12" s="215"/>
      <c r="I12" s="215"/>
      <c r="J12" s="215"/>
      <c r="K12" s="215"/>
      <c r="L12" s="215"/>
      <c r="M12" s="215">
        <f>SUM(M11:Q11)</f>
        <v>900.24</v>
      </c>
      <c r="N12" s="215"/>
      <c r="O12" s="215"/>
      <c r="P12" s="215"/>
      <c r="Q12" s="215"/>
      <c r="R12" s="215">
        <f>SUM(R11:T11)</f>
        <v>1224.0000000000002</v>
      </c>
      <c r="S12" s="215"/>
      <c r="T12" s="215"/>
      <c r="U12" s="208"/>
      <c r="V12" s="208"/>
      <c r="W12" s="215"/>
      <c r="X12" s="215"/>
      <c r="Y12" s="208"/>
      <c r="Z12" s="208"/>
    </row>
    <row r="13" spans="1:26" s="15" customFormat="1" ht="13.8">
      <c r="A13" s="13"/>
      <c r="B13" s="228"/>
      <c r="C13" s="228"/>
      <c r="D13" s="215"/>
      <c r="E13" s="160"/>
      <c r="F13" s="160"/>
      <c r="G13" s="160"/>
      <c r="H13" s="215"/>
      <c r="I13" s="215"/>
      <c r="J13" s="215"/>
      <c r="K13" s="215"/>
      <c r="L13" s="215"/>
      <c r="M13" s="215">
        <f>M12+R12</f>
        <v>2124.2400000000002</v>
      </c>
      <c r="N13" s="215"/>
      <c r="O13" s="215"/>
      <c r="P13" s="215"/>
      <c r="Q13" s="215"/>
      <c r="R13" s="215"/>
      <c r="S13" s="215"/>
      <c r="T13" s="215"/>
      <c r="U13" s="208"/>
      <c r="V13" s="208"/>
      <c r="W13" s="215"/>
      <c r="X13" s="215"/>
      <c r="Y13" s="208"/>
      <c r="Z13" s="208"/>
    </row>
    <row r="14" spans="1:26" s="20" customFormat="1" ht="13.8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 s="15" customFormat="1" ht="14.4">
      <c r="A15" s="13"/>
      <c r="B15" s="212" t="s">
        <v>55</v>
      </c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</row>
    <row r="16" spans="1:26" s="15" customFormat="1" ht="14.4">
      <c r="A16" s="13"/>
      <c r="B16" s="213" t="s">
        <v>66</v>
      </c>
      <c r="C16" s="213"/>
    </row>
    <row r="17" spans="1:23" s="15" customFormat="1" ht="14.4">
      <c r="A17" s="13"/>
      <c r="B17" s="214">
        <f>K11+M12</f>
        <v>15100.24</v>
      </c>
      <c r="C17" s="214"/>
      <c r="M17" s="209" t="s">
        <v>47</v>
      </c>
      <c r="N17" s="210"/>
      <c r="O17" s="210"/>
      <c r="P17" s="210"/>
      <c r="Q17" s="211"/>
      <c r="R17" s="209" t="s">
        <v>48</v>
      </c>
      <c r="S17" s="210"/>
      <c r="T17" s="211"/>
      <c r="U17" s="208" t="s">
        <v>56</v>
      </c>
    </row>
    <row r="18" spans="1:23" s="15" customFormat="1" ht="14.4">
      <c r="A18" s="13"/>
      <c r="M18" s="159" t="s">
        <v>53</v>
      </c>
      <c r="N18" s="159" t="s">
        <v>46</v>
      </c>
      <c r="O18" s="159" t="s">
        <v>51</v>
      </c>
      <c r="P18" s="159" t="s">
        <v>52</v>
      </c>
      <c r="Q18" s="159" t="s">
        <v>64</v>
      </c>
      <c r="R18" s="159" t="s">
        <v>53</v>
      </c>
      <c r="S18" s="154" t="s">
        <v>46</v>
      </c>
      <c r="T18" s="159" t="s">
        <v>51</v>
      </c>
      <c r="U18" s="208"/>
    </row>
    <row r="19" spans="1:23" s="15" customFormat="1" ht="14.4">
      <c r="A19" s="13"/>
      <c r="B19" s="21"/>
      <c r="L19" s="157" t="s">
        <v>67</v>
      </c>
      <c r="M19" s="157">
        <v>3613</v>
      </c>
      <c r="N19" s="157">
        <v>5557</v>
      </c>
      <c r="O19" s="157">
        <v>3613</v>
      </c>
      <c r="P19" s="157">
        <v>4713</v>
      </c>
      <c r="Q19" s="157">
        <v>5557</v>
      </c>
      <c r="R19" s="157">
        <v>3613</v>
      </c>
      <c r="S19" s="157">
        <v>5557</v>
      </c>
      <c r="T19" s="157">
        <v>3613</v>
      </c>
      <c r="U19" s="157"/>
    </row>
    <row r="20" spans="1:23" s="15" customFormat="1" ht="14.4">
      <c r="A20" s="13"/>
      <c r="B20" s="21"/>
      <c r="L20" s="157" t="s">
        <v>68</v>
      </c>
      <c r="M20" s="157">
        <f>ROUND(M19*$M$4,2)</f>
        <v>578.08000000000004</v>
      </c>
      <c r="N20" s="157">
        <f>ROUND(N19*$N$4,2)</f>
        <v>555.70000000000005</v>
      </c>
      <c r="O20" s="157">
        <f>ROUND(O19*$O$4,2)</f>
        <v>28.9</v>
      </c>
      <c r="P20" s="157">
        <f>ROUND(P19*$P$4,2)</f>
        <v>18.850000000000001</v>
      </c>
      <c r="Q20" s="157">
        <f>ROUND(Q19*$Q$4,2)</f>
        <v>44.46</v>
      </c>
      <c r="R20" s="157">
        <f>ROUND(R19*$R$4,2)</f>
        <v>289.04000000000002</v>
      </c>
      <c r="S20" s="157">
        <f>ROUND(S19*2%+3,2)</f>
        <v>114.14</v>
      </c>
      <c r="T20" s="157">
        <f>ROUND(T19*$T$4,2)</f>
        <v>7.23</v>
      </c>
      <c r="U20" s="157">
        <f>SUM(M20:T20)</f>
        <v>1636.4000000000003</v>
      </c>
    </row>
    <row r="21" spans="1:23" s="15" customFormat="1" ht="14.4">
      <c r="A21" s="13"/>
      <c r="B21" s="21"/>
      <c r="L21" s="157" t="s">
        <v>69</v>
      </c>
      <c r="M21" s="157">
        <v>23565</v>
      </c>
      <c r="N21" s="157">
        <v>27786</v>
      </c>
      <c r="O21" s="157">
        <v>23565</v>
      </c>
      <c r="P21" s="157">
        <v>23565</v>
      </c>
      <c r="Q21" s="157">
        <v>27786</v>
      </c>
      <c r="R21" s="157">
        <v>23565</v>
      </c>
      <c r="S21" s="157">
        <v>27786</v>
      </c>
      <c r="T21" s="157">
        <v>23565</v>
      </c>
      <c r="U21" s="157"/>
    </row>
    <row r="22" spans="1:23" s="15" customFormat="1" ht="14.4">
      <c r="A22" s="13"/>
      <c r="B22" s="21"/>
      <c r="L22" s="157" t="s">
        <v>70</v>
      </c>
      <c r="M22" s="157">
        <f>ROUND(M21*$M$4,2)</f>
        <v>3770.4</v>
      </c>
      <c r="N22" s="157">
        <f>ROUND(N21*$N$4,2)</f>
        <v>2778.6</v>
      </c>
      <c r="O22" s="157">
        <f>ROUND(O21*$O$4,2)</f>
        <v>188.52</v>
      </c>
      <c r="P22" s="157">
        <f>ROUND(P21*$P$4,2)</f>
        <v>94.26</v>
      </c>
      <c r="Q22" s="157">
        <f>ROUND(Q21*$Q$4,2)</f>
        <v>222.29</v>
      </c>
      <c r="R22" s="157">
        <f>ROUND(R21*$R$4,2)</f>
        <v>1885.2</v>
      </c>
      <c r="S22" s="157">
        <f>ROUND(S21*2%,2)+3</f>
        <v>558.72</v>
      </c>
      <c r="T22" s="157">
        <f>ROUND(T21*$T$4,2)</f>
        <v>47.13</v>
      </c>
      <c r="U22" s="157">
        <f>SUM(M22:T22)</f>
        <v>9545.119999999999</v>
      </c>
    </row>
    <row r="23" spans="1:23" s="15" customFormat="1" ht="13.8">
      <c r="A23" s="13"/>
      <c r="B23" s="21"/>
    </row>
    <row r="24" spans="1:23" s="15" customFormat="1" ht="13.8">
      <c r="A24" s="13"/>
      <c r="B24" s="21"/>
    </row>
    <row r="25" spans="1:23" s="15" customFormat="1" ht="13.8">
      <c r="A25" s="13"/>
      <c r="B25" s="21"/>
    </row>
    <row r="26" spans="1:23" s="15" customFormat="1" ht="13.8">
      <c r="A26" s="13"/>
      <c r="B26" s="21"/>
    </row>
    <row r="27" spans="1:23" s="15" customFormat="1" ht="13.8">
      <c r="A27" s="13"/>
      <c r="B27" s="21"/>
    </row>
    <row r="28" spans="1:23" s="15" customFormat="1" ht="13.8">
      <c r="A28" s="13"/>
      <c r="B28" s="21"/>
    </row>
    <row r="29" spans="1:23" ht="13.8">
      <c r="W29" s="15"/>
    </row>
  </sheetData>
  <mergeCells count="40">
    <mergeCell ref="B15:X15"/>
    <mergeCell ref="B16:C16"/>
    <mergeCell ref="B17:C17"/>
    <mergeCell ref="M17:Q17"/>
    <mergeCell ref="R17:T17"/>
    <mergeCell ref="U17:U18"/>
    <mergeCell ref="V11:V13"/>
    <mergeCell ref="W11:W13"/>
    <mergeCell ref="X11:X13"/>
    <mergeCell ref="Y11:Y13"/>
    <mergeCell ref="Z11:Z13"/>
    <mergeCell ref="Y3:Y5"/>
    <mergeCell ref="Z3:Z5"/>
    <mergeCell ref="V3:V5"/>
    <mergeCell ref="W3:W5"/>
    <mergeCell ref="X3:X5"/>
    <mergeCell ref="B11:C13"/>
    <mergeCell ref="D11:D13"/>
    <mergeCell ref="H11:H13"/>
    <mergeCell ref="I11:I13"/>
    <mergeCell ref="J11:J13"/>
    <mergeCell ref="K11:K13"/>
    <mergeCell ref="L11:L13"/>
    <mergeCell ref="U11:U13"/>
    <mergeCell ref="M3:Q3"/>
    <mergeCell ref="R3:T3"/>
    <mergeCell ref="U3:U5"/>
    <mergeCell ref="M12:Q12"/>
    <mergeCell ref="R12:T12"/>
    <mergeCell ref="M13:T13"/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5"/>
  <sheetViews>
    <sheetView workbookViewId="0">
      <selection activeCell="S13" sqref="S13"/>
    </sheetView>
  </sheetViews>
  <sheetFormatPr defaultColWidth="9.109375" defaultRowHeight="20.100000000000001" customHeight="1"/>
  <cols>
    <col min="1" max="1" width="1.33203125" style="163" customWidth="1"/>
    <col min="2" max="2" width="4.88671875" style="21" bestFit="1" customWidth="1"/>
    <col min="3" max="3" width="7" style="12" customWidth="1"/>
    <col min="4" max="4" width="9" style="12" hidden="1" customWidth="1"/>
    <col min="5" max="5" width="9.77734375" style="22" hidden="1" customWidth="1"/>
    <col min="6" max="6" width="9.77734375" style="22" bestFit="1" customWidth="1"/>
    <col min="7" max="8" width="9.77734375" style="22" hidden="1" customWidth="1"/>
    <col min="9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77734375" style="22" bestFit="1" customWidth="1"/>
    <col min="15" max="15" width="9.77734375" style="12" bestFit="1" customWidth="1"/>
    <col min="16" max="16" width="9.77734375" style="22" customWidth="1"/>
    <col min="17" max="17" width="9.33203125" style="22" customWidth="1"/>
    <col min="18" max="18" width="8.44140625" style="12" customWidth="1"/>
    <col min="19" max="19" width="10" style="12" customWidth="1"/>
    <col min="20" max="20" width="3.77734375" style="12" customWidth="1"/>
    <col min="21" max="21" width="5.44140625" style="24" customWidth="1"/>
    <col min="22" max="22" width="5.44140625" style="12" customWidth="1"/>
    <col min="23" max="24" width="5.21875" style="12" customWidth="1"/>
    <col min="25" max="26" width="6.44140625" style="12" customWidth="1"/>
    <col min="27" max="27" width="6.6640625" style="12" customWidth="1"/>
    <col min="28" max="28" width="5.44140625" style="12" customWidth="1"/>
    <col min="29" max="16384" width="9.109375" style="12"/>
  </cols>
  <sheetData>
    <row r="1" spans="1:21" ht="30" customHeight="1">
      <c r="B1" s="240" t="s">
        <v>146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153"/>
      <c r="O1" s="153"/>
      <c r="P1" s="153"/>
      <c r="Q1" s="23"/>
      <c r="R1" s="23"/>
      <c r="S1" s="23"/>
    </row>
    <row r="2" spans="1:21" ht="20.100000000000001" customHeight="1">
      <c r="B2" s="25" t="s">
        <v>145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1" ht="20.100000000000001" customHeight="1">
      <c r="B3" s="242" t="s">
        <v>32</v>
      </c>
      <c r="C3" s="227" t="s">
        <v>22</v>
      </c>
      <c r="D3" s="227" t="s">
        <v>33</v>
      </c>
      <c r="E3" s="229" t="s">
        <v>34</v>
      </c>
      <c r="F3" s="229"/>
      <c r="G3" s="229"/>
      <c r="H3" s="229"/>
      <c r="I3" s="229"/>
      <c r="J3" s="229" t="s">
        <v>23</v>
      </c>
      <c r="K3" s="229"/>
      <c r="L3" s="229"/>
      <c r="M3" s="224" t="s">
        <v>30</v>
      </c>
      <c r="N3" s="248" t="s">
        <v>120</v>
      </c>
      <c r="O3" s="229"/>
      <c r="P3" s="229"/>
      <c r="Q3" s="249"/>
      <c r="R3" s="250"/>
      <c r="S3" s="250"/>
    </row>
    <row r="4" spans="1:21" ht="20.100000000000001" hidden="1" customHeight="1">
      <c r="B4" s="243"/>
      <c r="C4" s="201"/>
      <c r="D4" s="201"/>
      <c r="E4" s="158">
        <v>0.16</v>
      </c>
      <c r="F4" s="158">
        <v>0.1</v>
      </c>
      <c r="G4" s="158">
        <v>8.0000000000000002E-3</v>
      </c>
      <c r="H4" s="158">
        <v>4.0000000000000001E-3</v>
      </c>
      <c r="I4" s="158">
        <v>8.0000000000000002E-3</v>
      </c>
      <c r="J4" s="158">
        <v>0.08</v>
      </c>
      <c r="K4" s="156" t="s">
        <v>0</v>
      </c>
      <c r="L4" s="158">
        <v>2E-3</v>
      </c>
      <c r="M4" s="225"/>
      <c r="N4" s="114">
        <v>0.05</v>
      </c>
      <c r="O4" s="114">
        <v>0.05</v>
      </c>
      <c r="P4" s="114">
        <v>0.1</v>
      </c>
      <c r="Q4" s="249"/>
      <c r="R4" s="250"/>
      <c r="S4" s="250"/>
    </row>
    <row r="5" spans="1:21" ht="20.100000000000001" customHeight="1">
      <c r="B5" s="244"/>
      <c r="C5" s="202"/>
      <c r="D5" s="202"/>
      <c r="E5" s="158" t="s">
        <v>24</v>
      </c>
      <c r="F5" s="158" t="s">
        <v>25</v>
      </c>
      <c r="G5" s="158" t="s">
        <v>26</v>
      </c>
      <c r="H5" s="158" t="s">
        <v>27</v>
      </c>
      <c r="I5" s="158" t="s">
        <v>28</v>
      </c>
      <c r="J5" s="158" t="s">
        <v>24</v>
      </c>
      <c r="K5" s="156" t="s">
        <v>25</v>
      </c>
      <c r="L5" s="158" t="s">
        <v>26</v>
      </c>
      <c r="M5" s="226"/>
      <c r="N5" s="162" t="s">
        <v>117</v>
      </c>
      <c r="O5" s="113" t="s">
        <v>118</v>
      </c>
      <c r="P5" s="162" t="s">
        <v>119</v>
      </c>
      <c r="Q5" s="249"/>
      <c r="R5" s="250"/>
      <c r="S5" s="250"/>
    </row>
    <row r="6" spans="1:21" s="15" customFormat="1" ht="20.100000000000001" customHeight="1">
      <c r="A6" s="13"/>
      <c r="B6" s="14">
        <v>1</v>
      </c>
      <c r="C6" s="157" t="s">
        <v>29</v>
      </c>
      <c r="D6" s="157">
        <v>2200</v>
      </c>
      <c r="E6" s="157"/>
      <c r="F6" s="157">
        <f t="shared" ref="F6:F13" si="0">ROUND(MAX(F$25,MIN($D6,F$27))*F$4,2)/2</f>
        <v>277.85000000000002</v>
      </c>
      <c r="G6" s="157"/>
      <c r="H6" s="157"/>
      <c r="I6" s="157">
        <f t="shared" ref="I6:I13" si="1">ROUND(MAX(I$25,MIN($D6,I$27))*I$4,2)/2</f>
        <v>22.23</v>
      </c>
      <c r="J6" s="157">
        <f t="shared" ref="J6:J13" si="2">ROUND(MAX(J$25,MIN($D6,J$27))*J$4,2)</f>
        <v>289.04000000000002</v>
      </c>
      <c r="K6" s="157">
        <f t="shared" ref="K6:K13" si="3">ROUND(MAX(K$25,MIN($D6,K$27))*2%+3,2)</f>
        <v>114.14</v>
      </c>
      <c r="L6" s="157">
        <f>ROUND(MAX(L$25,MIN($D6,L$27))*L$4,2)</f>
        <v>7.23</v>
      </c>
      <c r="M6" s="157">
        <f>SUM(E6:L6)</f>
        <v>710.49000000000012</v>
      </c>
      <c r="N6" s="157"/>
      <c r="O6" s="157"/>
      <c r="P6" s="157">
        <f>N6+O6</f>
        <v>0</v>
      </c>
      <c r="Q6" s="165"/>
      <c r="R6" s="13"/>
      <c r="S6" s="13"/>
      <c r="U6" s="27"/>
    </row>
    <row r="7" spans="1:21" s="15" customFormat="1" ht="20.100000000000001" customHeight="1">
      <c r="A7" s="13"/>
      <c r="B7" s="14">
        <v>2</v>
      </c>
      <c r="C7" s="34" t="s">
        <v>104</v>
      </c>
      <c r="D7" s="157">
        <v>2200</v>
      </c>
      <c r="E7" s="157"/>
      <c r="F7" s="157">
        <f t="shared" si="0"/>
        <v>277.85000000000002</v>
      </c>
      <c r="G7" s="157"/>
      <c r="H7" s="157"/>
      <c r="I7" s="157">
        <f t="shared" si="1"/>
        <v>22.23</v>
      </c>
      <c r="J7" s="157">
        <f t="shared" si="2"/>
        <v>289.04000000000002</v>
      </c>
      <c r="K7" s="157">
        <f t="shared" si="3"/>
        <v>114.14</v>
      </c>
      <c r="L7" s="157">
        <f>ROUND(MAX(L$25,MIN($D7,L$27))*L$4,2)</f>
        <v>7.23</v>
      </c>
      <c r="M7" s="157">
        <f t="shared" ref="M7:M9" si="4">SUM(E7:L7)</f>
        <v>710.49000000000012</v>
      </c>
      <c r="N7" s="157">
        <f>D7*$N$4</f>
        <v>110</v>
      </c>
      <c r="O7" s="157"/>
      <c r="P7" s="157">
        <f t="shared" ref="P7:P12" si="5">N7+O7</f>
        <v>110</v>
      </c>
      <c r="Q7" s="165"/>
      <c r="R7" s="13"/>
      <c r="S7" s="13"/>
      <c r="U7" s="27"/>
    </row>
    <row r="8" spans="1:21" s="15" customFormat="1" ht="20.100000000000001" customHeight="1">
      <c r="A8" s="13"/>
      <c r="B8" s="14">
        <v>3</v>
      </c>
      <c r="C8" s="34" t="s">
        <v>103</v>
      </c>
      <c r="D8" s="157">
        <v>2200</v>
      </c>
      <c r="E8" s="157"/>
      <c r="F8" s="157">
        <f t="shared" si="0"/>
        <v>277.85000000000002</v>
      </c>
      <c r="G8" s="157"/>
      <c r="H8" s="157"/>
      <c r="I8" s="157">
        <f t="shared" si="1"/>
        <v>22.23</v>
      </c>
      <c r="J8" s="157">
        <f t="shared" si="2"/>
        <v>289.04000000000002</v>
      </c>
      <c r="K8" s="157">
        <f t="shared" si="3"/>
        <v>114.14</v>
      </c>
      <c r="L8" s="157">
        <f>ROUND(MAX(L$25,MIN($D8,L$27))*L$4,2)</f>
        <v>7.23</v>
      </c>
      <c r="M8" s="157">
        <f t="shared" si="4"/>
        <v>710.49000000000012</v>
      </c>
      <c r="N8" s="157"/>
      <c r="O8" s="157"/>
      <c r="P8" s="157">
        <f t="shared" si="5"/>
        <v>0</v>
      </c>
      <c r="Q8" s="165"/>
      <c r="R8" s="13"/>
      <c r="S8" s="13"/>
      <c r="U8" s="27"/>
    </row>
    <row r="9" spans="1:21" s="15" customFormat="1" ht="20.100000000000001" customHeight="1">
      <c r="A9" s="13"/>
      <c r="B9" s="14">
        <v>4</v>
      </c>
      <c r="C9" s="34" t="s">
        <v>112</v>
      </c>
      <c r="D9" s="157">
        <v>2200</v>
      </c>
      <c r="E9" s="157"/>
      <c r="F9" s="157">
        <f t="shared" si="0"/>
        <v>277.85000000000002</v>
      </c>
      <c r="G9" s="157"/>
      <c r="H9" s="157"/>
      <c r="I9" s="157">
        <f t="shared" si="1"/>
        <v>22.23</v>
      </c>
      <c r="J9" s="157">
        <f t="shared" si="2"/>
        <v>289.04000000000002</v>
      </c>
      <c r="K9" s="157">
        <f t="shared" si="3"/>
        <v>114.14</v>
      </c>
      <c r="L9" s="157"/>
      <c r="M9" s="157">
        <f t="shared" si="4"/>
        <v>703.2600000000001</v>
      </c>
      <c r="N9" s="157"/>
      <c r="O9" s="157"/>
      <c r="P9" s="157">
        <f t="shared" si="5"/>
        <v>0</v>
      </c>
      <c r="Q9" s="28"/>
      <c r="R9" s="13"/>
      <c r="S9" s="13"/>
      <c r="U9" s="27"/>
    </row>
    <row r="10" spans="1:21" s="15" customFormat="1" ht="20.100000000000001" customHeight="1">
      <c r="A10" s="13"/>
      <c r="B10" s="14">
        <v>5</v>
      </c>
      <c r="C10" s="115" t="s">
        <v>121</v>
      </c>
      <c r="D10" s="157">
        <v>5500</v>
      </c>
      <c r="E10" s="157"/>
      <c r="F10" s="157">
        <f t="shared" si="0"/>
        <v>277.85000000000002</v>
      </c>
      <c r="G10" s="157"/>
      <c r="H10" s="157"/>
      <c r="I10" s="157">
        <f t="shared" si="1"/>
        <v>22.23</v>
      </c>
      <c r="J10" s="157">
        <f t="shared" si="2"/>
        <v>440</v>
      </c>
      <c r="K10" s="157">
        <f t="shared" si="3"/>
        <v>114.14</v>
      </c>
      <c r="L10" s="157"/>
      <c r="M10" s="157">
        <f>SUM(E10:L10)</f>
        <v>854.22</v>
      </c>
      <c r="N10" s="157">
        <f>D10*$N$4</f>
        <v>275</v>
      </c>
      <c r="O10" s="157">
        <f>D10*$O$4</f>
        <v>275</v>
      </c>
      <c r="P10" s="157">
        <f t="shared" si="5"/>
        <v>550</v>
      </c>
      <c r="Q10" s="83"/>
      <c r="R10" s="13"/>
      <c r="S10" s="13"/>
      <c r="U10" s="27"/>
    </row>
    <row r="11" spans="1:21" s="15" customFormat="1" ht="20.100000000000001" customHeight="1">
      <c r="A11" s="13"/>
      <c r="B11" s="14">
        <v>6</v>
      </c>
      <c r="C11" s="115" t="s">
        <v>122</v>
      </c>
      <c r="D11" s="157">
        <v>5500</v>
      </c>
      <c r="E11" s="157"/>
      <c r="F11" s="157">
        <f t="shared" si="0"/>
        <v>277.85000000000002</v>
      </c>
      <c r="G11" s="157"/>
      <c r="H11" s="157"/>
      <c r="I11" s="157">
        <f t="shared" si="1"/>
        <v>22.23</v>
      </c>
      <c r="J11" s="157">
        <f t="shared" si="2"/>
        <v>440</v>
      </c>
      <c r="K11" s="157">
        <f t="shared" si="3"/>
        <v>114.14</v>
      </c>
      <c r="L11" s="157">
        <f>ROUND(MAX(L$25,MIN($D11,L$27))*L$4,2)</f>
        <v>11</v>
      </c>
      <c r="M11" s="157">
        <f>SUM(E11:L11)</f>
        <v>865.22</v>
      </c>
      <c r="N11" s="157">
        <f>D11*$N$4</f>
        <v>275</v>
      </c>
      <c r="O11" s="157">
        <f>D11*$O$4</f>
        <v>275</v>
      </c>
      <c r="P11" s="157">
        <f t="shared" si="5"/>
        <v>550</v>
      </c>
      <c r="Q11" s="83"/>
      <c r="R11" s="13"/>
      <c r="S11" s="13"/>
      <c r="U11" s="27"/>
    </row>
    <row r="12" spans="1:21" s="15" customFormat="1" ht="20.100000000000001" customHeight="1">
      <c r="A12" s="13"/>
      <c r="B12" s="14">
        <v>7</v>
      </c>
      <c r="C12" s="115" t="s">
        <v>147</v>
      </c>
      <c r="D12" s="157">
        <v>5500</v>
      </c>
      <c r="E12" s="157"/>
      <c r="F12" s="157">
        <f t="shared" si="0"/>
        <v>277.85000000000002</v>
      </c>
      <c r="G12" s="157"/>
      <c r="H12" s="157"/>
      <c r="I12" s="157">
        <f t="shared" si="1"/>
        <v>22.23</v>
      </c>
      <c r="J12" s="157">
        <f t="shared" si="2"/>
        <v>440</v>
      </c>
      <c r="K12" s="157">
        <f t="shared" si="3"/>
        <v>114.14</v>
      </c>
      <c r="L12" s="157"/>
      <c r="M12" s="157">
        <f>SUM(E12:L12)</f>
        <v>854.22</v>
      </c>
      <c r="N12" s="157"/>
      <c r="O12" s="157"/>
      <c r="P12" s="157">
        <f t="shared" si="5"/>
        <v>0</v>
      </c>
      <c r="Q12" s="83"/>
      <c r="R12" s="13"/>
      <c r="S12" s="13"/>
      <c r="U12" s="27"/>
    </row>
    <row r="13" spans="1:21" s="15" customFormat="1" ht="20.100000000000001" customHeight="1">
      <c r="A13" s="13"/>
      <c r="B13" s="14">
        <v>8</v>
      </c>
      <c r="C13" s="115" t="s">
        <v>138</v>
      </c>
      <c r="D13" s="157">
        <v>2200</v>
      </c>
      <c r="E13" s="157"/>
      <c r="F13" s="157">
        <f t="shared" si="0"/>
        <v>277.85000000000002</v>
      </c>
      <c r="G13" s="157"/>
      <c r="H13" s="157"/>
      <c r="I13" s="157">
        <f t="shared" si="1"/>
        <v>22.23</v>
      </c>
      <c r="J13" s="157">
        <f t="shared" si="2"/>
        <v>289.04000000000002</v>
      </c>
      <c r="K13" s="157">
        <f t="shared" si="3"/>
        <v>114.14</v>
      </c>
      <c r="L13" s="157">
        <f>ROUND(MAX(L$25,MIN($D13,L$27))*L$4,2)</f>
        <v>7.23</v>
      </c>
      <c r="M13" s="157">
        <f>SUM(E13:L13)</f>
        <v>710.49000000000012</v>
      </c>
      <c r="N13" s="157"/>
      <c r="O13" s="157"/>
      <c r="P13" s="157"/>
      <c r="Q13" s="83"/>
      <c r="R13" s="13"/>
      <c r="S13" s="13"/>
      <c r="U13" s="27"/>
    </row>
    <row r="14" spans="1:21" s="15" customFormat="1" ht="20.100000000000001" customHeight="1">
      <c r="A14" s="13"/>
      <c r="B14" s="251" t="s">
        <v>39</v>
      </c>
      <c r="C14" s="252"/>
      <c r="D14" s="253"/>
      <c r="E14" s="254">
        <f>SUM(E6:I13)</f>
        <v>2400.64</v>
      </c>
      <c r="F14" s="255"/>
      <c r="G14" s="255"/>
      <c r="H14" s="255"/>
      <c r="I14" s="256"/>
      <c r="J14" s="254">
        <f>SUM(J6:L13)</f>
        <v>3718.24</v>
      </c>
      <c r="K14" s="255"/>
      <c r="L14" s="256"/>
      <c r="M14" s="157">
        <f>SUM(M6:M13)</f>
        <v>6118.880000000001</v>
      </c>
      <c r="N14" s="257">
        <f>SUM(P6:P13)</f>
        <v>1210</v>
      </c>
      <c r="O14" s="258"/>
      <c r="P14" s="259"/>
      <c r="Q14" s="28"/>
      <c r="R14" s="13"/>
      <c r="S14" s="13"/>
      <c r="U14" s="27"/>
    </row>
    <row r="15" spans="1:21" s="15" customFormat="1" ht="20.100000000000001" customHeight="1">
      <c r="A15" s="13"/>
      <c r="B15" s="14">
        <v>9</v>
      </c>
      <c r="C15" s="157" t="s">
        <v>43</v>
      </c>
      <c r="D15" s="157">
        <v>2200</v>
      </c>
      <c r="E15" s="157"/>
      <c r="F15" s="157">
        <f>ROUND(MAX(F$25,MIN($D15,F$27))*F$4,2)/2</f>
        <v>277.85000000000002</v>
      </c>
      <c r="G15" s="157"/>
      <c r="H15" s="157"/>
      <c r="I15" s="157">
        <f>ROUND(MAX(I$25,MIN($D15,I$27))*I$4,2)/2</f>
        <v>22.23</v>
      </c>
      <c r="J15" s="157">
        <f>ROUND(MAX(J$25,MIN($D15,J$27))*J$4,2)</f>
        <v>289.04000000000002</v>
      </c>
      <c r="K15" s="157">
        <f>ROUND(MAX(K$25,MIN($D15,K$27))*2%+3,2)</f>
        <v>114.14</v>
      </c>
      <c r="L15" s="157">
        <f>ROUND(MAX(L$25,MIN($D15,L$27))*L$4,2)</f>
        <v>7.23</v>
      </c>
      <c r="M15" s="157">
        <f t="shared" ref="M15:M17" si="6">SUM(E15:L15)</f>
        <v>710.49000000000012</v>
      </c>
      <c r="N15" s="157"/>
      <c r="O15" s="157"/>
      <c r="P15" s="157"/>
      <c r="Q15" s="83" t="s">
        <v>107</v>
      </c>
      <c r="R15" s="13"/>
      <c r="S15" s="13"/>
      <c r="U15" s="27"/>
    </row>
    <row r="16" spans="1:21" s="15" customFormat="1" ht="20.100000000000001" customHeight="1">
      <c r="A16" s="13"/>
      <c r="B16" s="14">
        <v>10</v>
      </c>
      <c r="C16" s="157" t="s">
        <v>40</v>
      </c>
      <c r="D16" s="157">
        <v>2200</v>
      </c>
      <c r="E16" s="157"/>
      <c r="F16" s="157">
        <f>ROUND(MAX(F$25,MIN($D16,F$27))*F$4,2)/2</f>
        <v>277.85000000000002</v>
      </c>
      <c r="G16" s="157"/>
      <c r="H16" s="157"/>
      <c r="I16" s="157">
        <f>ROUND(MAX(I$25,MIN($D16,I$27))*I$4,2)/2</f>
        <v>22.23</v>
      </c>
      <c r="J16" s="157">
        <f>ROUND(MAX(J$25,MIN($D16,J$27))*J$4,2)</f>
        <v>289.04000000000002</v>
      </c>
      <c r="K16" s="157">
        <f>ROUND(MAX(K$25,MIN($D16,K$27))*2%+3,2)</f>
        <v>114.14</v>
      </c>
      <c r="L16" s="157"/>
      <c r="M16" s="157">
        <f t="shared" si="6"/>
        <v>703.2600000000001</v>
      </c>
      <c r="N16" s="157"/>
      <c r="O16" s="157"/>
      <c r="P16" s="157"/>
      <c r="Q16" s="83" t="s">
        <v>107</v>
      </c>
      <c r="R16" s="13"/>
      <c r="S16" s="13"/>
      <c r="U16" s="27"/>
    </row>
    <row r="17" spans="1:21" s="15" customFormat="1" ht="20.100000000000001" customHeight="1">
      <c r="A17" s="13"/>
      <c r="B17" s="14">
        <v>11</v>
      </c>
      <c r="C17" s="157" t="s">
        <v>41</v>
      </c>
      <c r="D17" s="157">
        <v>2200</v>
      </c>
      <c r="E17" s="157"/>
      <c r="F17" s="157">
        <f>ROUND(MAX(F$25,MIN($D17,F$27))*F$4,2)/2</f>
        <v>277.85000000000002</v>
      </c>
      <c r="G17" s="157"/>
      <c r="H17" s="157"/>
      <c r="I17" s="157">
        <f>ROUND(MAX(I$25,MIN($D17,I$27))*I$4,2)/2</f>
        <v>22.23</v>
      </c>
      <c r="J17" s="157">
        <f>ROUND(MAX(J$25,MIN($D17,J$27))*J$4,2)</f>
        <v>289.04000000000002</v>
      </c>
      <c r="K17" s="157">
        <f>ROUND(MAX(K$25,MIN($D17,K$27))*2%+3,2)</f>
        <v>114.14</v>
      </c>
      <c r="L17" s="157">
        <f>ROUND(MAX(L$25,MIN($D17,L$27))*L$4,2)</f>
        <v>7.23</v>
      </c>
      <c r="M17" s="157">
        <f t="shared" si="6"/>
        <v>710.49000000000012</v>
      </c>
      <c r="N17" s="157"/>
      <c r="O17" s="157"/>
      <c r="P17" s="157"/>
      <c r="Q17" s="83" t="s">
        <v>107</v>
      </c>
      <c r="R17" s="13"/>
      <c r="S17" s="13"/>
      <c r="U17" s="27"/>
    </row>
    <row r="18" spans="1:21" s="15" customFormat="1" ht="15" customHeight="1">
      <c r="A18" s="13"/>
      <c r="B18" s="261" t="s">
        <v>39</v>
      </c>
      <c r="C18" s="262"/>
      <c r="D18" s="263"/>
      <c r="E18" s="254">
        <f>SUM(E15:I17)</f>
        <v>900.24000000000012</v>
      </c>
      <c r="F18" s="255"/>
      <c r="G18" s="255"/>
      <c r="H18" s="255"/>
      <c r="I18" s="256"/>
      <c r="J18" s="254">
        <f>SUM(J15:L17)</f>
        <v>1224.0000000000002</v>
      </c>
      <c r="K18" s="255"/>
      <c r="L18" s="256"/>
      <c r="M18" s="157">
        <f>SUM(M15:M17)</f>
        <v>2124.2400000000002</v>
      </c>
      <c r="N18" s="254"/>
      <c r="O18" s="255"/>
      <c r="P18" s="256"/>
      <c r="Q18" s="165"/>
      <c r="R18" s="30"/>
      <c r="S18" s="30"/>
      <c r="U18" s="31"/>
    </row>
    <row r="19" spans="1:21" s="15" customFormat="1" ht="15" customHeight="1">
      <c r="A19" s="13"/>
      <c r="B19" s="261" t="s">
        <v>44</v>
      </c>
      <c r="C19" s="262"/>
      <c r="D19" s="263"/>
      <c r="E19" s="257">
        <f>M14+M18</f>
        <v>8243.1200000000008</v>
      </c>
      <c r="F19" s="258"/>
      <c r="G19" s="258"/>
      <c r="H19" s="258"/>
      <c r="I19" s="258"/>
      <c r="J19" s="258"/>
      <c r="K19" s="258"/>
      <c r="L19" s="258"/>
      <c r="M19" s="259"/>
      <c r="N19" s="215"/>
      <c r="O19" s="215"/>
      <c r="P19" s="215"/>
      <c r="Q19" s="116">
        <f>E19+N19</f>
        <v>8243.1200000000008</v>
      </c>
      <c r="R19" s="30"/>
      <c r="S19" s="30"/>
      <c r="U19" s="31"/>
    </row>
    <row r="20" spans="1:21" s="15" customFormat="1" ht="9.75" customHeight="1">
      <c r="A20" s="13"/>
      <c r="B20" s="252"/>
      <c r="C20" s="252"/>
      <c r="D20" s="264"/>
      <c r="E20" s="264"/>
      <c r="F20" s="264"/>
      <c r="G20" s="264"/>
      <c r="H20" s="264"/>
      <c r="I20" s="264"/>
      <c r="J20" s="30"/>
      <c r="K20" s="30"/>
      <c r="L20" s="30"/>
      <c r="M20" s="30"/>
      <c r="N20" s="30"/>
      <c r="O20" s="30"/>
      <c r="P20" s="30"/>
      <c r="Q20" s="30"/>
      <c r="R20" s="30"/>
      <c r="S20" s="30"/>
      <c r="U20" s="31"/>
    </row>
    <row r="21" spans="1:21" s="15" customFormat="1" ht="20.100000000000001" customHeight="1">
      <c r="A21" s="13"/>
      <c r="B21" s="32" t="s">
        <v>35</v>
      </c>
      <c r="C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31"/>
    </row>
    <row r="22" spans="1:21" s="15" customFormat="1" ht="20.100000000000001" customHeight="1">
      <c r="A22" s="13"/>
      <c r="B22" s="21"/>
      <c r="U22" s="31"/>
    </row>
    <row r="23" spans="1:21" s="15" customFormat="1" ht="20.100000000000001" customHeight="1">
      <c r="A23" s="13"/>
      <c r="B23" s="21"/>
      <c r="E23" s="209" t="s">
        <v>34</v>
      </c>
      <c r="F23" s="210"/>
      <c r="G23" s="210"/>
      <c r="H23" s="210"/>
      <c r="I23" s="211"/>
      <c r="J23" s="209" t="s">
        <v>23</v>
      </c>
      <c r="K23" s="210"/>
      <c r="L23" s="211"/>
      <c r="M23" s="265"/>
      <c r="N23" s="260"/>
      <c r="O23" s="260"/>
      <c r="P23" s="260"/>
      <c r="U23" s="31"/>
    </row>
    <row r="24" spans="1:21" s="15" customFormat="1" ht="20.100000000000001" customHeight="1">
      <c r="A24" s="13"/>
      <c r="B24" s="21"/>
      <c r="E24" s="159" t="s">
        <v>24</v>
      </c>
      <c r="F24" s="159" t="s">
        <v>25</v>
      </c>
      <c r="G24" s="159" t="s">
        <v>26</v>
      </c>
      <c r="H24" s="159" t="s">
        <v>27</v>
      </c>
      <c r="I24" s="159" t="s">
        <v>28</v>
      </c>
      <c r="J24" s="159" t="s">
        <v>24</v>
      </c>
      <c r="K24" s="154" t="s">
        <v>25</v>
      </c>
      <c r="L24" s="159" t="s">
        <v>26</v>
      </c>
      <c r="M24" s="265"/>
      <c r="N24" s="164"/>
      <c r="O24" s="163"/>
      <c r="P24" s="164"/>
      <c r="U24" s="31"/>
    </row>
    <row r="25" spans="1:21" s="15" customFormat="1" ht="20.100000000000001" customHeight="1">
      <c r="A25" s="13"/>
      <c r="B25" s="21"/>
      <c r="D25" s="157" t="s">
        <v>38</v>
      </c>
      <c r="E25" s="157">
        <v>3613</v>
      </c>
      <c r="F25" s="157">
        <v>5557</v>
      </c>
      <c r="G25" s="157">
        <v>3613</v>
      </c>
      <c r="H25" s="157">
        <v>4713</v>
      </c>
      <c r="I25" s="157">
        <v>5557</v>
      </c>
      <c r="J25" s="157">
        <v>3613</v>
      </c>
      <c r="K25" s="157">
        <v>5557</v>
      </c>
      <c r="L25" s="157">
        <v>3613</v>
      </c>
      <c r="M25" s="165"/>
      <c r="N25" s="13"/>
      <c r="O25" s="13"/>
      <c r="P25" s="13"/>
      <c r="U25" s="31"/>
    </row>
    <row r="26" spans="1:21" s="15" customFormat="1" ht="20.100000000000001" customHeight="1">
      <c r="A26" s="13"/>
      <c r="B26" s="21"/>
      <c r="D26" s="157" t="s">
        <v>36</v>
      </c>
      <c r="E26" s="157">
        <f>ROUND(E25*$E$4,2)</f>
        <v>578.08000000000004</v>
      </c>
      <c r="F26" s="157">
        <f>ROUND(F25*$F$4,2)</f>
        <v>555.70000000000005</v>
      </c>
      <c r="G26" s="157">
        <f>ROUND(G25*$G$4,2)</f>
        <v>28.9</v>
      </c>
      <c r="H26" s="157">
        <f>ROUND(H25*$H$4,2)</f>
        <v>18.850000000000001</v>
      </c>
      <c r="I26" s="157">
        <f>ROUND(I25*$I$4,2)</f>
        <v>44.46</v>
      </c>
      <c r="J26" s="157">
        <f>ROUND(J25*$J$4,2)</f>
        <v>289.04000000000002</v>
      </c>
      <c r="K26" s="157">
        <f>ROUND(K25*2%+3,2)</f>
        <v>114.14</v>
      </c>
      <c r="L26" s="157">
        <f>ROUND(L25*$L$4,2)</f>
        <v>7.23</v>
      </c>
      <c r="M26" s="165"/>
      <c r="N26" s="13"/>
      <c r="O26" s="13"/>
      <c r="P26" s="13"/>
      <c r="U26" s="31"/>
    </row>
    <row r="27" spans="1:21" s="15" customFormat="1" ht="20.100000000000001" customHeight="1">
      <c r="A27" s="13"/>
      <c r="B27" s="21"/>
      <c r="D27" s="157" t="s">
        <v>31</v>
      </c>
      <c r="E27" s="157">
        <v>23565</v>
      </c>
      <c r="F27" s="157">
        <v>27786</v>
      </c>
      <c r="G27" s="157">
        <v>23565</v>
      </c>
      <c r="H27" s="157">
        <v>23565</v>
      </c>
      <c r="I27" s="157">
        <v>27786</v>
      </c>
      <c r="J27" s="157">
        <v>23565</v>
      </c>
      <c r="K27" s="157">
        <v>27786</v>
      </c>
      <c r="L27" s="157">
        <v>23565</v>
      </c>
      <c r="M27" s="165"/>
      <c r="N27" s="13"/>
      <c r="O27" s="13"/>
      <c r="P27" s="13"/>
      <c r="U27" s="31"/>
    </row>
    <row r="28" spans="1:21" s="15" customFormat="1" ht="20.100000000000001" customHeight="1">
      <c r="A28" s="13"/>
      <c r="B28" s="21"/>
      <c r="D28" s="157" t="s">
        <v>37</v>
      </c>
      <c r="E28" s="157">
        <f>ROUND(E27*$E$4,2)</f>
        <v>3770.4</v>
      </c>
      <c r="F28" s="157">
        <f>ROUND(F27*$F$4,2)</f>
        <v>2778.6</v>
      </c>
      <c r="G28" s="157">
        <f>ROUND(G27*$G$4,2)</f>
        <v>188.52</v>
      </c>
      <c r="H28" s="157">
        <f>ROUND(H27*$H$4,2)</f>
        <v>94.26</v>
      </c>
      <c r="I28" s="157">
        <f>ROUND(I27*$I$4,2)</f>
        <v>222.29</v>
      </c>
      <c r="J28" s="157">
        <f>ROUND(J27*$J$4,2)</f>
        <v>1885.2</v>
      </c>
      <c r="K28" s="157">
        <f>ROUND(K27*2%,2)+3</f>
        <v>558.72</v>
      </c>
      <c r="L28" s="157">
        <f>ROUND(L27*$L$4,2)</f>
        <v>47.13</v>
      </c>
      <c r="M28" s="165"/>
      <c r="N28" s="13"/>
      <c r="O28" s="13"/>
      <c r="P28" s="13"/>
      <c r="U28" s="31"/>
    </row>
    <row r="29" spans="1:21" s="15" customFormat="1" ht="20.100000000000001" customHeight="1">
      <c r="A29" s="13"/>
      <c r="B29" s="21"/>
      <c r="M29" s="13"/>
      <c r="N29" s="13"/>
      <c r="O29" s="13"/>
      <c r="P29" s="13"/>
      <c r="U29" s="31"/>
    </row>
    <row r="30" spans="1:21" s="15" customFormat="1" ht="20.100000000000001" customHeight="1">
      <c r="A30" s="13"/>
      <c r="B30" s="21"/>
      <c r="U30" s="31"/>
    </row>
    <row r="31" spans="1:21" s="15" customFormat="1" ht="20.100000000000001" customHeight="1">
      <c r="A31" s="13"/>
      <c r="B31" s="21"/>
      <c r="U31" s="31"/>
    </row>
    <row r="32" spans="1:21" s="15" customFormat="1" ht="20.100000000000001" customHeight="1">
      <c r="A32" s="13"/>
      <c r="B32" s="21"/>
      <c r="U32" s="31"/>
    </row>
    <row r="33" spans="1:21" s="15" customFormat="1" ht="20.100000000000001" customHeight="1">
      <c r="A33" s="13"/>
      <c r="B33" s="21"/>
      <c r="U33" s="31"/>
    </row>
    <row r="34" spans="1:21" s="15" customFormat="1" ht="20.100000000000001" customHeight="1">
      <c r="A34" s="13"/>
      <c r="B34" s="21"/>
      <c r="U34" s="31"/>
    </row>
    <row r="35" spans="1:21" ht="20.100000000000001" customHeight="1">
      <c r="R35" s="15"/>
    </row>
  </sheetData>
  <mergeCells count="28">
    <mergeCell ref="N23:P23"/>
    <mergeCell ref="B18:D18"/>
    <mergeCell ref="E18:I18"/>
    <mergeCell ref="J18:L18"/>
    <mergeCell ref="N18:P18"/>
    <mergeCell ref="B19:D19"/>
    <mergeCell ref="E19:M19"/>
    <mergeCell ref="N19:P19"/>
    <mergeCell ref="B20:C20"/>
    <mergeCell ref="D20:I20"/>
    <mergeCell ref="E23:I23"/>
    <mergeCell ref="J23:L23"/>
    <mergeCell ref="M23:M24"/>
    <mergeCell ref="N3:P3"/>
    <mergeCell ref="Q3:Q5"/>
    <mergeCell ref="R3:R5"/>
    <mergeCell ref="S3:S5"/>
    <mergeCell ref="B14:D14"/>
    <mergeCell ref="E14:I14"/>
    <mergeCell ref="J14:L14"/>
    <mergeCell ref="N14:P14"/>
    <mergeCell ref="B1:M1"/>
    <mergeCell ref="B3:B5"/>
    <mergeCell ref="C3:C5"/>
    <mergeCell ref="D3:D5"/>
    <mergeCell ref="E3:I3"/>
    <mergeCell ref="J3:L3"/>
    <mergeCell ref="M3:M5"/>
  </mergeCells>
  <phoneticPr fontId="1" type="noConversion"/>
  <pageMargins left="0.34" right="0.17" top="0.36" bottom="0.75" header="0.17" footer="0.3"/>
  <pageSetup paperSize="9" scale="97" orientation="portrait" r:id="rId1"/>
  <ignoredErrors>
    <ignoredError sqref="M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32"/>
  <sheetViews>
    <sheetView workbookViewId="0">
      <selection activeCell="F26" sqref="F26"/>
    </sheetView>
  </sheetViews>
  <sheetFormatPr defaultColWidth="9.109375" defaultRowHeight="20.100000000000001" customHeight="1"/>
  <cols>
    <col min="1" max="1" width="1.33203125" style="139" customWidth="1"/>
    <col min="2" max="2" width="5.21875" style="2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customWidth="1"/>
    <col min="10" max="10" width="7.109375" style="12" customWidth="1"/>
    <col min="11" max="11" width="9.6640625" style="12" customWidth="1"/>
    <col min="12" max="12" width="9" style="12" customWidth="1"/>
    <col min="13" max="13" width="8.109375" style="22" customWidth="1"/>
    <col min="14" max="14" width="8.77734375" style="22" customWidth="1"/>
    <col min="15" max="16" width="8.6640625" style="22" customWidth="1"/>
    <col min="17" max="18" width="8.77734375" style="22" customWidth="1"/>
    <col min="19" max="19" width="8.77734375" style="12" customWidth="1"/>
    <col min="20" max="24" width="8.77734375" style="22" customWidth="1"/>
    <col min="25" max="25" width="9" style="15" customWidth="1"/>
    <col min="26" max="26" width="9" style="22" customWidth="1"/>
    <col min="27" max="27" width="5.21875" style="12" customWidth="1"/>
    <col min="28" max="28" width="9" style="12" bestFit="1" customWidth="1"/>
    <col min="29" max="29" width="5.21875" style="145" bestFit="1" customWidth="1"/>
    <col min="30" max="16384" width="9.109375" style="12"/>
  </cols>
  <sheetData>
    <row r="1" spans="1:29" ht="21">
      <c r="B1" s="240" t="s">
        <v>140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</row>
    <row r="2" spans="1:29" ht="14.4">
      <c r="B2" s="241" t="s">
        <v>144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</row>
    <row r="3" spans="1:29" ht="14.4">
      <c r="B3" s="242" t="s">
        <v>57</v>
      </c>
      <c r="C3" s="227" t="s">
        <v>58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03" t="s">
        <v>126</v>
      </c>
      <c r="V3" s="210"/>
      <c r="W3" s="211"/>
      <c r="X3" s="230" t="s">
        <v>116</v>
      </c>
      <c r="Y3" s="224" t="s">
        <v>62</v>
      </c>
      <c r="Z3" s="233" t="s">
        <v>87</v>
      </c>
      <c r="AA3" s="227" t="s">
        <v>88</v>
      </c>
      <c r="AB3" s="227" t="s">
        <v>63</v>
      </c>
    </row>
    <row r="4" spans="1:29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133">
        <v>0.16</v>
      </c>
      <c r="N4" s="133">
        <v>0.1</v>
      </c>
      <c r="O4" s="133">
        <v>8.0000000000000002E-3</v>
      </c>
      <c r="P4" s="133">
        <v>4.0000000000000001E-3</v>
      </c>
      <c r="Q4" s="133">
        <v>8.0000000000000002E-3</v>
      </c>
      <c r="R4" s="133">
        <v>0.08</v>
      </c>
      <c r="S4" s="138" t="s">
        <v>0</v>
      </c>
      <c r="T4" s="133">
        <v>2E-3</v>
      </c>
      <c r="U4" s="114">
        <v>0.05</v>
      </c>
      <c r="V4" s="114">
        <v>0.05</v>
      </c>
      <c r="W4" s="114">
        <v>0.1</v>
      </c>
      <c r="X4" s="231"/>
      <c r="Y4" s="225"/>
      <c r="Z4" s="234"/>
      <c r="AA4" s="201"/>
      <c r="AB4" s="201"/>
    </row>
    <row r="5" spans="1:29" ht="14.4">
      <c r="B5" s="244"/>
      <c r="C5" s="202"/>
      <c r="D5" s="202"/>
      <c r="E5" s="136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133" t="s">
        <v>53</v>
      </c>
      <c r="N5" s="133" t="s">
        <v>46</v>
      </c>
      <c r="O5" s="133" t="s">
        <v>51</v>
      </c>
      <c r="P5" s="133" t="s">
        <v>52</v>
      </c>
      <c r="Q5" s="133" t="s">
        <v>64</v>
      </c>
      <c r="R5" s="133" t="s">
        <v>53</v>
      </c>
      <c r="S5" s="138" t="s">
        <v>46</v>
      </c>
      <c r="T5" s="133" t="s">
        <v>51</v>
      </c>
      <c r="U5" s="119" t="s">
        <v>117</v>
      </c>
      <c r="V5" s="119" t="s">
        <v>128</v>
      </c>
      <c r="W5" s="119" t="s">
        <v>119</v>
      </c>
      <c r="X5" s="232"/>
      <c r="Y5" s="226"/>
      <c r="Z5" s="207"/>
      <c r="AA5" s="202"/>
      <c r="AB5" s="202"/>
    </row>
    <row r="6" spans="1:29" s="15" customFormat="1" ht="16.5" customHeight="1">
      <c r="A6" s="13"/>
      <c r="B6" s="14">
        <v>1</v>
      </c>
      <c r="C6" s="130" t="s">
        <v>54</v>
      </c>
      <c r="D6" s="130">
        <v>5000</v>
      </c>
      <c r="E6" s="130">
        <v>22</v>
      </c>
      <c r="F6" s="130">
        <v>22</v>
      </c>
      <c r="G6" s="130">
        <f>E6-F6</f>
        <v>0</v>
      </c>
      <c r="H6" s="130">
        <f>D6/21.75*G6</f>
        <v>0</v>
      </c>
      <c r="I6" s="130"/>
      <c r="J6" s="130"/>
      <c r="K6" s="130">
        <v>4000</v>
      </c>
      <c r="L6" s="130">
        <v>2200</v>
      </c>
      <c r="M6" s="130"/>
      <c r="N6" s="130">
        <f t="shared" ref="N6:N11" si="0">ROUND(MAX(N$22,MIN($L6,N$24))*N$4,2)/2</f>
        <v>277.85000000000002</v>
      </c>
      <c r="O6" s="130"/>
      <c r="P6" s="130"/>
      <c r="Q6" s="130">
        <f t="shared" ref="Q6:Q12" si="1">ROUND(MAX(Q$22,MIN($L6,Q$24))*Q$4,2)/2</f>
        <v>22.23</v>
      </c>
      <c r="R6" s="130">
        <f t="shared" ref="R6:R11" si="2">ROUND(MAX(R$22,MIN($L6,R$24))*R$4,2)</f>
        <v>289.04000000000002</v>
      </c>
      <c r="S6" s="130">
        <f t="shared" ref="S6:S11" si="3">ROUND(MAX(S$22,MIN($L6,S$24))*2%+3,2)</f>
        <v>114.14</v>
      </c>
      <c r="T6" s="130">
        <f>ROUND(MAX(T$22,MIN($L6,T$24))*T$4,2)</f>
        <v>7.23</v>
      </c>
      <c r="U6" s="130"/>
      <c r="V6" s="130"/>
      <c r="W6" s="130">
        <f t="shared" ref="W6:W7" si="4">U6+V6</f>
        <v>0</v>
      </c>
      <c r="X6" s="130">
        <f>R6+S6+T6</f>
        <v>410.41</v>
      </c>
      <c r="Y6" s="130">
        <f>5000+5000</f>
        <v>10000</v>
      </c>
      <c r="Z6" s="130">
        <f>K6-X6-Y6</f>
        <v>-6410.41</v>
      </c>
      <c r="AA6" s="130">
        <f>ROUND(MAX(Z6*{3;10;20;25;30;35;45}%-{0;21;141;266;441;716;1516}*10,),2)</f>
        <v>0</v>
      </c>
      <c r="AB6" s="130">
        <f>K6-X6-AA6</f>
        <v>3589.59</v>
      </c>
      <c r="AC6" s="16"/>
    </row>
    <row r="7" spans="1:29" s="15" customFormat="1" ht="14.4">
      <c r="A7" s="13"/>
      <c r="B7" s="14">
        <v>2</v>
      </c>
      <c r="C7" s="35" t="s">
        <v>112</v>
      </c>
      <c r="D7" s="130">
        <v>2200</v>
      </c>
      <c r="E7" s="130">
        <v>22</v>
      </c>
      <c r="F7" s="130">
        <v>22</v>
      </c>
      <c r="G7" s="130">
        <f t="shared" ref="G7" si="5">E7-F7</f>
        <v>0</v>
      </c>
      <c r="H7" s="130">
        <f>4000/21.75*G7</f>
        <v>0</v>
      </c>
      <c r="I7" s="130"/>
      <c r="J7" s="130"/>
      <c r="K7" s="130">
        <v>2200</v>
      </c>
      <c r="L7" s="130">
        <v>2200</v>
      </c>
      <c r="M7" s="130"/>
      <c r="N7" s="130">
        <f t="shared" si="0"/>
        <v>277.85000000000002</v>
      </c>
      <c r="O7" s="130"/>
      <c r="P7" s="130"/>
      <c r="Q7" s="130">
        <f t="shared" si="1"/>
        <v>22.23</v>
      </c>
      <c r="R7" s="130">
        <f t="shared" si="2"/>
        <v>289.04000000000002</v>
      </c>
      <c r="S7" s="130">
        <f t="shared" si="3"/>
        <v>114.14</v>
      </c>
      <c r="T7" s="130"/>
      <c r="U7" s="130"/>
      <c r="V7" s="130"/>
      <c r="W7" s="130">
        <f t="shared" si="4"/>
        <v>0</v>
      </c>
      <c r="X7" s="130">
        <f t="shared" ref="X7" si="6">R7+S7+T7</f>
        <v>403.18</v>
      </c>
      <c r="Y7" s="130">
        <v>5000</v>
      </c>
      <c r="Z7" s="130">
        <f t="shared" ref="Z7:Z11" si="7">K7-X7-Y7</f>
        <v>-3203.1800000000003</v>
      </c>
      <c r="AA7" s="130">
        <f>ROUND(MAX(Z7*{3;10;20;25;30;35;45}%-{0;21;141;266;441;716;1516}*10,),2)</f>
        <v>0</v>
      </c>
      <c r="AB7" s="130">
        <f t="shared" ref="AB7" si="8">K7-X7-AA7</f>
        <v>1796.82</v>
      </c>
      <c r="AC7" s="151" t="s">
        <v>132</v>
      </c>
    </row>
    <row r="8" spans="1:29" s="15" customFormat="1" ht="14.4">
      <c r="A8" s="13"/>
      <c r="B8" s="14">
        <v>3</v>
      </c>
      <c r="C8" s="35" t="s">
        <v>104</v>
      </c>
      <c r="D8" s="130">
        <v>5000</v>
      </c>
      <c r="E8" s="130">
        <v>22</v>
      </c>
      <c r="F8" s="130">
        <v>22</v>
      </c>
      <c r="G8" s="130">
        <f>E8-F8</f>
        <v>0</v>
      </c>
      <c r="H8" s="130">
        <f>4000/21.75*G8</f>
        <v>0</v>
      </c>
      <c r="I8" s="130"/>
      <c r="J8" s="130"/>
      <c r="K8" s="130">
        <f t="shared" ref="K8:K11" si="9">D8-H8+I8+J8</f>
        <v>5000</v>
      </c>
      <c r="L8" s="130">
        <v>2200</v>
      </c>
      <c r="M8" s="130"/>
      <c r="N8" s="130">
        <f t="shared" si="0"/>
        <v>277.85000000000002</v>
      </c>
      <c r="O8" s="130"/>
      <c r="P8" s="130"/>
      <c r="Q8" s="130">
        <f t="shared" si="1"/>
        <v>22.23</v>
      </c>
      <c r="R8" s="130">
        <f t="shared" si="2"/>
        <v>289.04000000000002</v>
      </c>
      <c r="S8" s="130">
        <f t="shared" si="3"/>
        <v>114.14</v>
      </c>
      <c r="T8" s="130">
        <f>ROUND(MAX(T$22,MIN($L8,T$24))*T$4,2)</f>
        <v>7.23</v>
      </c>
      <c r="U8" s="130">
        <f>$L8*U$4</f>
        <v>110</v>
      </c>
      <c r="V8" s="130"/>
      <c r="W8" s="130">
        <f>U8+V8</f>
        <v>110</v>
      </c>
      <c r="X8" s="130">
        <f>R8+S8+T8+W8</f>
        <v>520.41000000000008</v>
      </c>
      <c r="Y8" s="130">
        <f>5000</f>
        <v>5000</v>
      </c>
      <c r="Z8" s="130">
        <f t="shared" si="7"/>
        <v>-520.40999999999985</v>
      </c>
      <c r="AA8" s="130">
        <f>ROUND(MAX(Z8*{3;10;20;25;30;35;45}%-{0;21;141;266;441;716;1516}*10,),2)</f>
        <v>0</v>
      </c>
      <c r="AB8" s="130">
        <f>K8-X8-AA8</f>
        <v>4479.59</v>
      </c>
      <c r="AC8" s="146"/>
    </row>
    <row r="9" spans="1:29" s="15" customFormat="1" ht="14.4">
      <c r="A9" s="13"/>
      <c r="B9" s="14">
        <v>4</v>
      </c>
      <c r="C9" s="35" t="s">
        <v>103</v>
      </c>
      <c r="D9" s="130">
        <v>7000</v>
      </c>
      <c r="E9" s="130">
        <v>22</v>
      </c>
      <c r="F9" s="130">
        <v>22</v>
      </c>
      <c r="G9" s="130">
        <f>E9-F9</f>
        <v>0</v>
      </c>
      <c r="H9" s="130">
        <f>4000/21.75*G9</f>
        <v>0</v>
      </c>
      <c r="I9" s="130"/>
      <c r="J9" s="130"/>
      <c r="K9" s="130">
        <f t="shared" si="9"/>
        <v>7000</v>
      </c>
      <c r="L9" s="130">
        <v>2200</v>
      </c>
      <c r="M9" s="130"/>
      <c r="N9" s="130">
        <f t="shared" si="0"/>
        <v>277.85000000000002</v>
      </c>
      <c r="O9" s="130"/>
      <c r="P9" s="130"/>
      <c r="Q9" s="130">
        <f t="shared" si="1"/>
        <v>22.23</v>
      </c>
      <c r="R9" s="130">
        <f t="shared" si="2"/>
        <v>289.04000000000002</v>
      </c>
      <c r="S9" s="130">
        <f t="shared" si="3"/>
        <v>114.14</v>
      </c>
      <c r="T9" s="130">
        <f>ROUND(MAX(T$22,MIN($L9,T$24))*T$4,2)</f>
        <v>7.23</v>
      </c>
      <c r="U9" s="130"/>
      <c r="V9" s="130"/>
      <c r="W9" s="143">
        <f>U9+V9</f>
        <v>0</v>
      </c>
      <c r="X9" s="130">
        <f>R9+S9+T9+V9</f>
        <v>410.41</v>
      </c>
      <c r="Y9" s="130">
        <f>5000+2000</f>
        <v>7000</v>
      </c>
      <c r="Z9" s="130">
        <f>K9-X9-Y9</f>
        <v>-410.40999999999985</v>
      </c>
      <c r="AA9" s="130">
        <f>ROUND(MAX(Z9*{3;10;20;25;30;35;45}%-{0;21;141;266;441;716;1516}*10,),2)</f>
        <v>0</v>
      </c>
      <c r="AB9" s="144">
        <f>K9-X9-AA9</f>
        <v>6589.59</v>
      </c>
      <c r="AC9" s="148" t="s">
        <v>142</v>
      </c>
    </row>
    <row r="10" spans="1:29" s="15" customFormat="1" ht="14.4">
      <c r="A10" s="13"/>
      <c r="B10" s="14">
        <v>5</v>
      </c>
      <c r="C10" s="35" t="s">
        <v>124</v>
      </c>
      <c r="D10" s="130">
        <v>5500</v>
      </c>
      <c r="E10" s="130">
        <v>22</v>
      </c>
      <c r="F10" s="130">
        <v>22</v>
      </c>
      <c r="G10" s="130">
        <f t="shared" ref="G10:G11" si="10">E10-F10</f>
        <v>0</v>
      </c>
      <c r="H10" s="130">
        <f t="shared" ref="H10:H11" si="11">4000/21.75*G10</f>
        <v>0</v>
      </c>
      <c r="I10" s="130"/>
      <c r="J10" s="130"/>
      <c r="K10" s="130">
        <f t="shared" si="9"/>
        <v>5500</v>
      </c>
      <c r="L10" s="130">
        <v>5500</v>
      </c>
      <c r="M10" s="130"/>
      <c r="N10" s="130">
        <f t="shared" si="0"/>
        <v>277.85000000000002</v>
      </c>
      <c r="O10" s="130"/>
      <c r="P10" s="130"/>
      <c r="Q10" s="130">
        <f t="shared" si="1"/>
        <v>22.23</v>
      </c>
      <c r="R10" s="130">
        <f t="shared" si="2"/>
        <v>440</v>
      </c>
      <c r="S10" s="130">
        <f t="shared" si="3"/>
        <v>114.14</v>
      </c>
      <c r="T10" s="130"/>
      <c r="U10" s="130">
        <f>$L10*U$4</f>
        <v>275</v>
      </c>
      <c r="V10" s="130">
        <f>$L10*V$4</f>
        <v>275</v>
      </c>
      <c r="W10" s="130">
        <f>U10+V10</f>
        <v>550</v>
      </c>
      <c r="X10" s="143">
        <f t="shared" ref="X10:X12" si="12">R10+S10+T10+V10</f>
        <v>829.14</v>
      </c>
      <c r="Y10" s="130">
        <f>5000</f>
        <v>5000</v>
      </c>
      <c r="Z10" s="130">
        <f t="shared" si="7"/>
        <v>-329.14000000000033</v>
      </c>
      <c r="AA10" s="130">
        <f>ROUND(MAX(Z10*{3;10;20;25;30;35;45}%-{0;21;141;266;441;716;1516}*10,),2)</f>
        <v>0</v>
      </c>
      <c r="AB10" s="130">
        <f t="shared" ref="AB10:AB11" si="13">K10-X10-AA10</f>
        <v>4670.8599999999997</v>
      </c>
      <c r="AC10" s="151" t="s">
        <v>132</v>
      </c>
    </row>
    <row r="11" spans="1:29" s="15" customFormat="1" ht="14.4">
      <c r="A11" s="13"/>
      <c r="B11" s="14">
        <v>6</v>
      </c>
      <c r="C11" s="35" t="s">
        <v>125</v>
      </c>
      <c r="D11" s="130">
        <v>5500</v>
      </c>
      <c r="E11" s="130">
        <v>22</v>
      </c>
      <c r="F11" s="130">
        <v>22</v>
      </c>
      <c r="G11" s="130">
        <f t="shared" si="10"/>
        <v>0</v>
      </c>
      <c r="H11" s="130">
        <f t="shared" si="11"/>
        <v>0</v>
      </c>
      <c r="I11" s="130"/>
      <c r="J11" s="130"/>
      <c r="K11" s="130">
        <f t="shared" si="9"/>
        <v>5500</v>
      </c>
      <c r="L11" s="130">
        <v>5500</v>
      </c>
      <c r="M11" s="130"/>
      <c r="N11" s="130">
        <f t="shared" si="0"/>
        <v>277.85000000000002</v>
      </c>
      <c r="O11" s="130"/>
      <c r="P11" s="130"/>
      <c r="Q11" s="130">
        <f t="shared" si="1"/>
        <v>22.23</v>
      </c>
      <c r="R11" s="130">
        <f t="shared" si="2"/>
        <v>440</v>
      </c>
      <c r="S11" s="130">
        <f t="shared" si="3"/>
        <v>114.14</v>
      </c>
      <c r="T11" s="143">
        <f>ROUND(MAX(T$22,MIN($L11,T$24))*T$4,2)</f>
        <v>11</v>
      </c>
      <c r="U11" s="130">
        <f t="shared" ref="U11" si="14">$L11*U$4</f>
        <v>275</v>
      </c>
      <c r="V11" s="130">
        <f>$L11*V$4</f>
        <v>275</v>
      </c>
      <c r="W11" s="130">
        <f>U11+V11</f>
        <v>550</v>
      </c>
      <c r="X11" s="143">
        <f t="shared" si="12"/>
        <v>840.14</v>
      </c>
      <c r="Y11" s="130">
        <f>5000</f>
        <v>5000</v>
      </c>
      <c r="Z11" s="130">
        <f t="shared" si="7"/>
        <v>-340.14000000000033</v>
      </c>
      <c r="AA11" s="130">
        <f>ROUND(MAX(Z11*{3;10;20;25;30;35;45}%-{0;21;141;266;441;716;1516}*10,),2)</f>
        <v>0</v>
      </c>
      <c r="AB11" s="130">
        <f t="shared" si="13"/>
        <v>4659.8599999999997</v>
      </c>
      <c r="AC11" s="146"/>
    </row>
    <row r="12" spans="1:29" s="15" customFormat="1" ht="14.4">
      <c r="A12" s="13"/>
      <c r="B12" s="14">
        <v>7</v>
      </c>
      <c r="C12" s="35" t="s">
        <v>138</v>
      </c>
      <c r="D12" s="130">
        <v>2610.41</v>
      </c>
      <c r="E12" s="130">
        <v>22</v>
      </c>
      <c r="F12" s="130">
        <v>22</v>
      </c>
      <c r="G12" s="130">
        <f t="shared" ref="G12" si="15">E12-F12</f>
        <v>0</v>
      </c>
      <c r="H12" s="130">
        <f t="shared" ref="H12" si="16">4000/21.75*G12</f>
        <v>0</v>
      </c>
      <c r="I12" s="130"/>
      <c r="J12" s="130"/>
      <c r="K12" s="130">
        <f>D12-H12+I12+J12</f>
        <v>2610.41</v>
      </c>
      <c r="L12" s="143">
        <v>2200</v>
      </c>
      <c r="M12" s="130"/>
      <c r="N12" s="143">
        <f>ROUND(MAX(N$22,MIN($L12,N$24))*N$4,2)/2</f>
        <v>277.85000000000002</v>
      </c>
      <c r="O12" s="143"/>
      <c r="P12" s="143"/>
      <c r="Q12" s="143">
        <f t="shared" si="1"/>
        <v>22.23</v>
      </c>
      <c r="R12" s="143">
        <f>ROUND(MAX(R$22,MIN($L12,R$24))*R$4,2)</f>
        <v>289.04000000000002</v>
      </c>
      <c r="S12" s="143">
        <f>ROUND(MAX(S$22,MIN($L12,S$24))*2%+3,2)</f>
        <v>114.14</v>
      </c>
      <c r="T12" s="143">
        <f>ROUND(MAX(T$22,MIN($L12,T$24))*T$4,2)</f>
        <v>7.23</v>
      </c>
      <c r="U12" s="143"/>
      <c r="V12" s="143"/>
      <c r="W12" s="143">
        <f>U12+V12</f>
        <v>0</v>
      </c>
      <c r="X12" s="143">
        <f t="shared" si="12"/>
        <v>410.41</v>
      </c>
      <c r="Y12" s="143">
        <f>5000</f>
        <v>5000</v>
      </c>
      <c r="Z12" s="143">
        <f t="shared" ref="Z12" si="17">K12-X12-Y12</f>
        <v>-2800</v>
      </c>
      <c r="AA12" s="143">
        <f>ROUND(MAX(Z12*{3;10;20;25;30;35;45}%-{0;21;141;266;441;716;1516}*10,),2)</f>
        <v>0</v>
      </c>
      <c r="AB12" s="143">
        <f>K12-X12-AA12</f>
        <v>2200</v>
      </c>
      <c r="AC12" s="146"/>
    </row>
    <row r="13" spans="1:29" s="15" customFormat="1" ht="14.4">
      <c r="A13" s="13"/>
      <c r="B13" s="14"/>
      <c r="C13" s="35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46"/>
    </row>
    <row r="14" spans="1:29" s="15" customFormat="1" ht="13.8">
      <c r="A14" s="13"/>
      <c r="B14" s="228" t="s">
        <v>65</v>
      </c>
      <c r="C14" s="228"/>
      <c r="D14" s="208">
        <f>SUM(D6:D13)</f>
        <v>32810.410000000003</v>
      </c>
      <c r="E14" s="208"/>
      <c r="F14" s="208"/>
      <c r="G14" s="208"/>
      <c r="H14" s="208">
        <f>SUM(H6:H13)</f>
        <v>0</v>
      </c>
      <c r="I14" s="208">
        <f>SUM(I6:I13)</f>
        <v>0</v>
      </c>
      <c r="J14" s="208">
        <f>SUM(J6:J13)</f>
        <v>0</v>
      </c>
      <c r="K14" s="208">
        <f>SUM(K6:K13)</f>
        <v>31810.41</v>
      </c>
      <c r="L14" s="208"/>
      <c r="M14" s="130">
        <f t="shared" ref="M14:T14" si="18">SUM(M6:M13)</f>
        <v>0</v>
      </c>
      <c r="N14" s="130">
        <f t="shared" si="18"/>
        <v>1944.9499999999998</v>
      </c>
      <c r="O14" s="130">
        <f t="shared" si="18"/>
        <v>0</v>
      </c>
      <c r="P14" s="130">
        <f t="shared" si="18"/>
        <v>0</v>
      </c>
      <c r="Q14" s="130">
        <f t="shared" si="18"/>
        <v>155.60999999999999</v>
      </c>
      <c r="R14" s="130">
        <f t="shared" si="18"/>
        <v>2325.2000000000003</v>
      </c>
      <c r="S14" s="130">
        <f t="shared" si="18"/>
        <v>798.98</v>
      </c>
      <c r="T14" s="130">
        <f t="shared" si="18"/>
        <v>39.92</v>
      </c>
      <c r="U14" s="130">
        <f t="shared" ref="U14:W14" si="19">SUM(U6:U13)</f>
        <v>660</v>
      </c>
      <c r="V14" s="130">
        <f t="shared" si="19"/>
        <v>550</v>
      </c>
      <c r="W14" s="130">
        <f t="shared" si="19"/>
        <v>1210</v>
      </c>
      <c r="X14" s="224">
        <f>SUM(X6:X13)</f>
        <v>3824.1</v>
      </c>
      <c r="Y14" s="208"/>
      <c r="Z14" s="208"/>
      <c r="AA14" s="215">
        <f>SUM(AA6:AA13)</f>
        <v>0</v>
      </c>
      <c r="AB14" s="215">
        <f>SUM(AB6:AB13)</f>
        <v>27986.31</v>
      </c>
      <c r="AC14" s="146"/>
    </row>
    <row r="15" spans="1:29" s="15" customFormat="1" ht="13.8">
      <c r="A15" s="13"/>
      <c r="B15" s="228"/>
      <c r="C15" s="228"/>
      <c r="D15" s="208"/>
      <c r="E15" s="208"/>
      <c r="F15" s="208"/>
      <c r="G15" s="208"/>
      <c r="H15" s="208"/>
      <c r="I15" s="208"/>
      <c r="J15" s="208"/>
      <c r="K15" s="208"/>
      <c r="L15" s="208"/>
      <c r="M15" s="208">
        <f>SUM(M14:Q14)</f>
        <v>2100.56</v>
      </c>
      <c r="N15" s="208"/>
      <c r="O15" s="208"/>
      <c r="P15" s="208"/>
      <c r="Q15" s="208"/>
      <c r="R15" s="208">
        <f>SUM(R14:T14)</f>
        <v>3164.1000000000004</v>
      </c>
      <c r="S15" s="208"/>
      <c r="T15" s="208"/>
      <c r="U15" s="216">
        <f>U14+V14</f>
        <v>1210</v>
      </c>
      <c r="V15" s="217"/>
      <c r="W15" s="218"/>
      <c r="X15" s="225"/>
      <c r="Y15" s="208"/>
      <c r="Z15" s="208"/>
      <c r="AA15" s="215"/>
      <c r="AB15" s="215"/>
      <c r="AC15" s="146"/>
    </row>
    <row r="16" spans="1:29" s="15" customFormat="1" ht="13.8">
      <c r="A16" s="13"/>
      <c r="B16" s="228"/>
      <c r="C16" s="228"/>
      <c r="D16" s="208"/>
      <c r="E16" s="208"/>
      <c r="F16" s="208"/>
      <c r="G16" s="208"/>
      <c r="H16" s="208"/>
      <c r="I16" s="208"/>
      <c r="J16" s="208"/>
      <c r="K16" s="208"/>
      <c r="L16" s="208"/>
      <c r="M16" s="208">
        <f>M15+R15</f>
        <v>5264.66</v>
      </c>
      <c r="N16" s="208"/>
      <c r="O16" s="208"/>
      <c r="P16" s="208"/>
      <c r="Q16" s="208"/>
      <c r="R16" s="208"/>
      <c r="S16" s="208"/>
      <c r="T16" s="208"/>
      <c r="U16" s="219"/>
      <c r="V16" s="220"/>
      <c r="W16" s="221"/>
      <c r="X16" s="226"/>
      <c r="Y16" s="208"/>
      <c r="Z16" s="208"/>
      <c r="AA16" s="215"/>
      <c r="AB16" s="215"/>
      <c r="AC16" s="146"/>
    </row>
    <row r="17" spans="1:29" s="20" customFormat="1" ht="13.8">
      <c r="A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31"/>
      <c r="S17" s="131"/>
      <c r="T17" s="131"/>
      <c r="U17" s="131"/>
      <c r="V17" s="131"/>
      <c r="W17" s="152" t="s">
        <v>143</v>
      </c>
      <c r="X17" s="150"/>
      <c r="Y17" s="150"/>
      <c r="Z17" s="150"/>
      <c r="AA17" s="149"/>
      <c r="AB17" s="150">
        <f>AB14-AB9</f>
        <v>21396.720000000001</v>
      </c>
      <c r="AC17" s="147"/>
    </row>
    <row r="18" spans="1:29" s="15" customFormat="1" ht="14.4">
      <c r="A18" s="13"/>
      <c r="B18" s="212" t="s">
        <v>55</v>
      </c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146"/>
    </row>
    <row r="19" spans="1:29" s="15" customFormat="1" ht="13.8">
      <c r="A19" s="13"/>
      <c r="B19" s="21"/>
      <c r="AC19" s="146"/>
    </row>
    <row r="20" spans="1:29" s="15" customFormat="1" ht="14.4">
      <c r="A20" s="13"/>
      <c r="B20" s="213"/>
      <c r="C20" s="213"/>
      <c r="M20" s="209" t="s">
        <v>47</v>
      </c>
      <c r="N20" s="210"/>
      <c r="O20" s="210"/>
      <c r="P20" s="210"/>
      <c r="Q20" s="211"/>
      <c r="R20" s="209" t="s">
        <v>48</v>
      </c>
      <c r="S20" s="210"/>
      <c r="T20" s="211"/>
      <c r="U20" s="208" t="s">
        <v>56</v>
      </c>
      <c r="Z20" s="16"/>
      <c r="AC20" s="146"/>
    </row>
    <row r="21" spans="1:29" s="15" customFormat="1" ht="14.4">
      <c r="A21" s="13"/>
      <c r="B21" s="214"/>
      <c r="C21" s="214"/>
      <c r="M21" s="134" t="s">
        <v>53</v>
      </c>
      <c r="N21" s="134" t="s">
        <v>46</v>
      </c>
      <c r="O21" s="134" t="s">
        <v>51</v>
      </c>
      <c r="P21" s="134" t="s">
        <v>52</v>
      </c>
      <c r="Q21" s="134" t="s">
        <v>64</v>
      </c>
      <c r="R21" s="134" t="s">
        <v>53</v>
      </c>
      <c r="S21" s="135" t="s">
        <v>46</v>
      </c>
      <c r="T21" s="134" t="s">
        <v>51</v>
      </c>
      <c r="U21" s="208"/>
      <c r="AC21" s="146"/>
    </row>
    <row r="22" spans="1:29" s="15" customFormat="1" ht="14.4">
      <c r="A22" s="13"/>
      <c r="B22" s="21"/>
      <c r="L22" s="130" t="s">
        <v>67</v>
      </c>
      <c r="M22" s="130">
        <v>3613</v>
      </c>
      <c r="N22" s="130">
        <v>5557</v>
      </c>
      <c r="O22" s="130">
        <v>3613</v>
      </c>
      <c r="P22" s="130">
        <v>4713</v>
      </c>
      <c r="Q22" s="130">
        <v>5557</v>
      </c>
      <c r="R22" s="130">
        <v>3613</v>
      </c>
      <c r="S22" s="130">
        <v>5557</v>
      </c>
      <c r="T22" s="130">
        <v>3613</v>
      </c>
      <c r="U22" s="130"/>
      <c r="AC22" s="146"/>
    </row>
    <row r="23" spans="1:29" s="15" customFormat="1" ht="14.4">
      <c r="A23" s="13"/>
      <c r="B23" s="21"/>
      <c r="L23" s="130" t="s">
        <v>68</v>
      </c>
      <c r="M23" s="130">
        <f>ROUND(M22*$M$4,2)</f>
        <v>578.08000000000004</v>
      </c>
      <c r="N23" s="130">
        <f>ROUND(N22*$N$4,2)</f>
        <v>555.70000000000005</v>
      </c>
      <c r="O23" s="130">
        <f>ROUND(O22*$O$4,2)</f>
        <v>28.9</v>
      </c>
      <c r="P23" s="130">
        <f>ROUND(P22*$P$4,2)</f>
        <v>18.850000000000001</v>
      </c>
      <c r="Q23" s="130">
        <f>ROUND(Q22*$Q$4,2)</f>
        <v>44.46</v>
      </c>
      <c r="R23" s="130">
        <f>ROUND(R22*$R$4,2)</f>
        <v>289.04000000000002</v>
      </c>
      <c r="S23" s="130">
        <f>ROUND(S22*2%+3,2)</f>
        <v>114.14</v>
      </c>
      <c r="T23" s="130">
        <f>ROUND(T22*$T$4,2)</f>
        <v>7.23</v>
      </c>
      <c r="U23" s="130">
        <f>SUM(M23:T23)</f>
        <v>1636.4000000000003</v>
      </c>
      <c r="AC23" s="146"/>
    </row>
    <row r="24" spans="1:29" s="15" customFormat="1" ht="14.4">
      <c r="A24" s="13"/>
      <c r="B24" s="21"/>
      <c r="L24" s="130" t="s">
        <v>69</v>
      </c>
      <c r="M24" s="130">
        <v>23565</v>
      </c>
      <c r="N24" s="130">
        <v>27786</v>
      </c>
      <c r="O24" s="130">
        <v>23565</v>
      </c>
      <c r="P24" s="130">
        <v>23565</v>
      </c>
      <c r="Q24" s="130">
        <v>27786</v>
      </c>
      <c r="R24" s="130">
        <v>23565</v>
      </c>
      <c r="S24" s="130">
        <v>27786</v>
      </c>
      <c r="T24" s="130">
        <v>23565</v>
      </c>
      <c r="U24" s="130"/>
      <c r="AC24" s="146"/>
    </row>
    <row r="25" spans="1:29" s="15" customFormat="1" ht="14.4">
      <c r="A25" s="13"/>
      <c r="B25" s="21"/>
      <c r="L25" s="130" t="s">
        <v>70</v>
      </c>
      <c r="M25" s="130">
        <f>ROUND(M24*$M$4,2)</f>
        <v>3770.4</v>
      </c>
      <c r="N25" s="130">
        <f>ROUND(N24*$N$4,2)</f>
        <v>2778.6</v>
      </c>
      <c r="O25" s="130">
        <f>ROUND(O24*$O$4,2)</f>
        <v>188.52</v>
      </c>
      <c r="P25" s="130">
        <f>ROUND(P24*$P$4,2)</f>
        <v>94.26</v>
      </c>
      <c r="Q25" s="130">
        <f>ROUND(Q24*$Q$4,2)</f>
        <v>222.29</v>
      </c>
      <c r="R25" s="130">
        <f>ROUND(R24*$R$4,2)</f>
        <v>1885.2</v>
      </c>
      <c r="S25" s="130">
        <f>ROUND(S24*2%,2)+3</f>
        <v>558.72</v>
      </c>
      <c r="T25" s="130">
        <f>ROUND(T24*$T$4,2)</f>
        <v>47.13</v>
      </c>
      <c r="U25" s="130">
        <f>SUM(M25:T25)</f>
        <v>9545.119999999999</v>
      </c>
      <c r="AC25" s="146"/>
    </row>
    <row r="26" spans="1:29" s="15" customFormat="1" ht="13.8">
      <c r="A26" s="13"/>
      <c r="B26" s="21"/>
      <c r="AC26" s="146"/>
    </row>
    <row r="27" spans="1:29" s="15" customFormat="1" ht="13.8">
      <c r="A27" s="13"/>
      <c r="B27" s="21"/>
      <c r="AC27" s="146"/>
    </row>
    <row r="28" spans="1:29" s="15" customFormat="1" ht="13.8">
      <c r="A28" s="13"/>
      <c r="B28" s="21"/>
      <c r="AC28" s="146"/>
    </row>
    <row r="29" spans="1:29" s="15" customFormat="1" ht="13.8">
      <c r="A29" s="13"/>
      <c r="B29" s="21"/>
      <c r="AC29" s="146"/>
    </row>
    <row r="30" spans="1:29" s="15" customFormat="1" ht="13.8">
      <c r="A30" s="13"/>
      <c r="B30" s="21"/>
      <c r="AC30" s="146"/>
    </row>
    <row r="31" spans="1:29" s="15" customFormat="1" ht="13.8">
      <c r="A31" s="13"/>
      <c r="B31" s="21"/>
      <c r="AC31" s="146"/>
    </row>
    <row r="32" spans="1:29" ht="13.8">
      <c r="AA32" s="15"/>
    </row>
  </sheetData>
  <mergeCells count="43">
    <mergeCell ref="B1:AB1"/>
    <mergeCell ref="B2:AB2"/>
    <mergeCell ref="B3:B5"/>
    <mergeCell ref="C3:C5"/>
    <mergeCell ref="D3:D5"/>
    <mergeCell ref="E3:H4"/>
    <mergeCell ref="I3:I5"/>
    <mergeCell ref="J3:J5"/>
    <mergeCell ref="K3:K5"/>
    <mergeCell ref="L3:L5"/>
    <mergeCell ref="AA3:AA5"/>
    <mergeCell ref="AB3:AB5"/>
    <mergeCell ref="U3:W3"/>
    <mergeCell ref="X3:X5"/>
    <mergeCell ref="Y3:Y5"/>
    <mergeCell ref="Z3:Z5"/>
    <mergeCell ref="M3:Q3"/>
    <mergeCell ref="R3:T3"/>
    <mergeCell ref="B14:C16"/>
    <mergeCell ref="D14:D16"/>
    <mergeCell ref="E14:E16"/>
    <mergeCell ref="F14:F16"/>
    <mergeCell ref="G14:G16"/>
    <mergeCell ref="B18:AB18"/>
    <mergeCell ref="K14:K16"/>
    <mergeCell ref="L14:L16"/>
    <mergeCell ref="X14:X16"/>
    <mergeCell ref="Y14:Y16"/>
    <mergeCell ref="Z14:Z16"/>
    <mergeCell ref="AA14:AA16"/>
    <mergeCell ref="AB14:AB16"/>
    <mergeCell ref="M15:Q15"/>
    <mergeCell ref="R15:T15"/>
    <mergeCell ref="U15:W16"/>
    <mergeCell ref="M16:T16"/>
    <mergeCell ref="H14:H16"/>
    <mergeCell ref="I14:I16"/>
    <mergeCell ref="J14:J16"/>
    <mergeCell ref="B20:C20"/>
    <mergeCell ref="M20:Q20"/>
    <mergeCell ref="R20:T20"/>
    <mergeCell ref="U20:U21"/>
    <mergeCell ref="B21:C21"/>
  </mergeCells>
  <phoneticPr fontId="1" type="noConversion"/>
  <pageMargins left="0.24" right="0.17" top="0.47" bottom="0.75" header="0.19" footer="0.3"/>
  <pageSetup paperSize="9" scale="42" orientation="portrait" horizontalDpi="180" verticalDpi="180" r:id="rId1"/>
  <ignoredErrors>
    <ignoredError sqref="Y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9"/>
  <sheetViews>
    <sheetView workbookViewId="0">
      <selection activeCell="O31" sqref="O31"/>
    </sheetView>
  </sheetViews>
  <sheetFormatPr defaultColWidth="9.109375" defaultRowHeight="20.100000000000001" customHeight="1"/>
  <cols>
    <col min="1" max="1" width="1.33203125" style="139" customWidth="1"/>
    <col min="2" max="2" width="5.21875" style="21" bestFit="1" customWidth="1"/>
    <col min="3" max="3" width="7.21875" style="12" customWidth="1"/>
    <col min="4" max="4" width="9.77734375" style="12" hidden="1" customWidth="1"/>
    <col min="5" max="5" width="8.33203125" style="12" hidden="1" customWidth="1"/>
    <col min="6" max="6" width="9.6640625" style="12" hidden="1" customWidth="1"/>
    <col min="7" max="8" width="9" style="12" hidden="1" customWidth="1"/>
    <col min="9" max="9" width="5.21875" style="12" hidden="1" customWidth="1"/>
    <col min="10" max="10" width="7.109375" style="12" hidden="1" customWidth="1"/>
    <col min="11" max="11" width="10.109375" style="12" customWidth="1"/>
    <col min="12" max="12" width="9" style="12" hidden="1" customWidth="1"/>
    <col min="13" max="18" width="8.77734375" style="22" customWidth="1"/>
    <col min="19" max="19" width="8.77734375" style="12" customWidth="1"/>
    <col min="20" max="20" width="8.77734375" style="22" customWidth="1"/>
    <col min="21" max="21" width="9" style="15" customWidth="1"/>
    <col min="22" max="22" width="9" style="22" hidden="1" customWidth="1"/>
    <col min="23" max="23" width="6.6640625" style="12" hidden="1" customWidth="1"/>
    <col min="24" max="26" width="10.77734375" style="12" customWidth="1"/>
    <col min="27" max="16384" width="9.109375" style="12"/>
  </cols>
  <sheetData>
    <row r="1" spans="1:26" ht="21">
      <c r="B1" s="240" t="s">
        <v>141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</row>
    <row r="2" spans="1:26" ht="13.8"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</row>
    <row r="3" spans="1:26" ht="14.4">
      <c r="B3" s="242" t="s">
        <v>57</v>
      </c>
      <c r="C3" s="227" t="s">
        <v>58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66" t="s">
        <v>78</v>
      </c>
      <c r="V3" s="233" t="s">
        <v>87</v>
      </c>
      <c r="W3" s="227" t="s">
        <v>88</v>
      </c>
      <c r="X3" s="227" t="s">
        <v>63</v>
      </c>
      <c r="Y3" s="269" t="s">
        <v>101</v>
      </c>
      <c r="Z3" s="269" t="s">
        <v>102</v>
      </c>
    </row>
    <row r="4" spans="1:26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133">
        <v>0.16</v>
      </c>
      <c r="N4" s="133">
        <v>0.1</v>
      </c>
      <c r="O4" s="133">
        <v>8.0000000000000002E-3</v>
      </c>
      <c r="P4" s="133">
        <v>4.0000000000000001E-3</v>
      </c>
      <c r="Q4" s="133">
        <v>8.0000000000000002E-3</v>
      </c>
      <c r="R4" s="133">
        <v>0.08</v>
      </c>
      <c r="S4" s="138" t="s">
        <v>0</v>
      </c>
      <c r="T4" s="133">
        <v>2E-3</v>
      </c>
      <c r="U4" s="267"/>
      <c r="V4" s="234"/>
      <c r="W4" s="201"/>
      <c r="X4" s="201"/>
      <c r="Y4" s="270"/>
      <c r="Z4" s="270"/>
    </row>
    <row r="5" spans="1:26" ht="14.4">
      <c r="B5" s="244"/>
      <c r="C5" s="202"/>
      <c r="D5" s="202"/>
      <c r="E5" s="136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133" t="s">
        <v>53</v>
      </c>
      <c r="N5" s="133" t="s">
        <v>46</v>
      </c>
      <c r="O5" s="133" t="s">
        <v>51</v>
      </c>
      <c r="P5" s="133" t="s">
        <v>52</v>
      </c>
      <c r="Q5" s="133" t="s">
        <v>64</v>
      </c>
      <c r="R5" s="133" t="s">
        <v>53</v>
      </c>
      <c r="S5" s="138" t="s">
        <v>46</v>
      </c>
      <c r="T5" s="133" t="s">
        <v>51</v>
      </c>
      <c r="U5" s="268"/>
      <c r="V5" s="207"/>
      <c r="W5" s="202"/>
      <c r="X5" s="202"/>
      <c r="Y5" s="271"/>
      <c r="Z5" s="271"/>
    </row>
    <row r="6" spans="1:26" s="15" customFormat="1" ht="14.4">
      <c r="A6" s="13"/>
      <c r="B6" s="14">
        <v>1</v>
      </c>
      <c r="C6" s="130" t="s">
        <v>54</v>
      </c>
      <c r="D6" s="130">
        <v>7000</v>
      </c>
      <c r="E6" s="130">
        <v>22</v>
      </c>
      <c r="F6" s="130">
        <v>22</v>
      </c>
      <c r="G6" s="130">
        <f>E6-F6</f>
        <v>0</v>
      </c>
      <c r="H6" s="130">
        <f>D6/21.75*G6</f>
        <v>0</v>
      </c>
      <c r="I6" s="130"/>
      <c r="J6" s="130"/>
      <c r="K6" s="130">
        <f>D6-H6+I6+J6</f>
        <v>7000</v>
      </c>
      <c r="L6" s="130">
        <v>2200</v>
      </c>
      <c r="M6" s="130"/>
      <c r="N6" s="130">
        <f>ROUND(MAX(N$19,MIN($L6,N$21))*N$4,2)/2</f>
        <v>277.85000000000002</v>
      </c>
      <c r="O6" s="130"/>
      <c r="P6" s="130"/>
      <c r="Q6" s="130">
        <f>ROUND(MAX(Q$19,MIN($L6,Q$21))*Q$4,2)/2</f>
        <v>22.23</v>
      </c>
      <c r="R6" s="130">
        <f>ROUND(MAX(R$19,MIN($L6,R$21))*R$4,2)</f>
        <v>289.04000000000002</v>
      </c>
      <c r="S6" s="130">
        <f>ROUND(MAX(S$19,MIN($L6,S$21))*2%+3,2)</f>
        <v>114.14</v>
      </c>
      <c r="T6" s="130">
        <f>ROUND(MAX(T$19,MIN($L6,T$21))*T$4,2)</f>
        <v>7.23</v>
      </c>
      <c r="U6" s="130">
        <f>R6+S6+T6</f>
        <v>410.41</v>
      </c>
      <c r="V6" s="130">
        <f>5000-5000-U6</f>
        <v>-410.41</v>
      </c>
      <c r="W6" s="130">
        <f>ROUND(MAX(V6*{3;10;20;25;30;35;45}%-{0;21;141;266;441;716;1516}*10,),2)</f>
        <v>0</v>
      </c>
      <c r="X6" s="130">
        <f t="shared" ref="X6:X7" si="0">K6-U6</f>
        <v>6589.59</v>
      </c>
      <c r="Y6" s="130">
        <v>4589.59</v>
      </c>
      <c r="Z6" s="130">
        <f>X6-Y6</f>
        <v>2000</v>
      </c>
    </row>
    <row r="7" spans="1:26" s="15" customFormat="1" ht="14.4">
      <c r="A7" s="13"/>
      <c r="B7" s="14">
        <v>2</v>
      </c>
      <c r="C7" s="35" t="s">
        <v>112</v>
      </c>
      <c r="D7" s="130">
        <v>4000</v>
      </c>
      <c r="E7" s="130">
        <v>22</v>
      </c>
      <c r="F7" s="130">
        <v>22</v>
      </c>
      <c r="G7" s="130">
        <f t="shared" ref="G7" si="1">E7-F7</f>
        <v>0</v>
      </c>
      <c r="H7" s="130">
        <f>4000/21.75*G7</f>
        <v>0</v>
      </c>
      <c r="I7" s="130"/>
      <c r="J7" s="130"/>
      <c r="K7" s="130">
        <v>2200</v>
      </c>
      <c r="L7" s="130">
        <v>2200</v>
      </c>
      <c r="M7" s="130"/>
      <c r="N7" s="130">
        <f>ROUND(MAX(N$19,MIN($L7,N$21))*N$4,2)/2</f>
        <v>277.85000000000002</v>
      </c>
      <c r="O7" s="130"/>
      <c r="P7" s="130"/>
      <c r="Q7" s="130">
        <f>ROUND(MAX(Q$19,MIN($L7,Q$21))*Q$4,2)/2</f>
        <v>22.23</v>
      </c>
      <c r="R7" s="130">
        <f>ROUND(MAX(R$19,MIN($L7,R$21))*R$4,2)</f>
        <v>289.04000000000002</v>
      </c>
      <c r="S7" s="130">
        <f>ROUND(MAX(S$19,MIN($L7,S$21))*2%+3,2)</f>
        <v>114.14</v>
      </c>
      <c r="T7" s="130"/>
      <c r="U7" s="130">
        <f t="shared" ref="U7" si="2">R7+S7+T7</f>
        <v>403.18</v>
      </c>
      <c r="V7" s="130">
        <f t="shared" ref="V7:V8" si="3">5000-5000-U7</f>
        <v>-403.18</v>
      </c>
      <c r="W7" s="130">
        <f>ROUND(MAX(V7*{3;10;20;25;30;35;45}%-{0;21;141;266;441;716;1516}*10,),2)</f>
        <v>0</v>
      </c>
      <c r="X7" s="130">
        <f t="shared" si="0"/>
        <v>1796.82</v>
      </c>
      <c r="Y7" s="130">
        <v>3589.59</v>
      </c>
      <c r="Z7" s="130"/>
    </row>
    <row r="8" spans="1:26" s="15" customFormat="1" ht="14.4">
      <c r="A8" s="13"/>
      <c r="B8" s="14">
        <v>3</v>
      </c>
      <c r="C8" s="35" t="s">
        <v>104</v>
      </c>
      <c r="D8" s="130">
        <v>5000</v>
      </c>
      <c r="E8" s="130">
        <v>22</v>
      </c>
      <c r="F8" s="130">
        <v>22</v>
      </c>
      <c r="G8" s="130">
        <f>E8-F8</f>
        <v>0</v>
      </c>
      <c r="H8" s="130">
        <f>4000/21.75*G8</f>
        <v>0</v>
      </c>
      <c r="I8" s="130"/>
      <c r="J8" s="130"/>
      <c r="K8" s="130">
        <f t="shared" ref="K8" si="4">D8-H8+I8+J8</f>
        <v>5000</v>
      </c>
      <c r="L8" s="130">
        <v>2200</v>
      </c>
      <c r="M8" s="130"/>
      <c r="N8" s="130">
        <f>ROUND(MAX(N$19,MIN($L8,N$21))*N$4,2)/2</f>
        <v>277.85000000000002</v>
      </c>
      <c r="O8" s="130"/>
      <c r="P8" s="130"/>
      <c r="Q8" s="130">
        <f>ROUND(MAX(Q$19,MIN($L8,Q$21))*Q$4,2)/2</f>
        <v>22.23</v>
      </c>
      <c r="R8" s="130">
        <f>ROUND(MAX(R$19,MIN($L8,R$21))*R$4,2)</f>
        <v>289.04000000000002</v>
      </c>
      <c r="S8" s="130">
        <f>ROUND(MAX(S$19,MIN($L8,S$21))*2%+3,2)</f>
        <v>114.14</v>
      </c>
      <c r="T8" s="130">
        <f>ROUND(MAX(T$19,MIN($L8,T$21))*T$4,2)</f>
        <v>7.23</v>
      </c>
      <c r="U8" s="130">
        <f>R8+S8+T8+110</f>
        <v>520.41000000000008</v>
      </c>
      <c r="V8" s="130">
        <f t="shared" si="3"/>
        <v>-520.41000000000008</v>
      </c>
      <c r="W8" s="130">
        <f>ROUND(MAX(V8*{3;10;20;25;30;35;45}%-{0;21;141;266;441;716;1516}*10,),2)</f>
        <v>0</v>
      </c>
      <c r="X8" s="130">
        <f>K8-U8</f>
        <v>4479.59</v>
      </c>
      <c r="Y8" s="130">
        <v>4479.59</v>
      </c>
      <c r="Z8" s="130"/>
    </row>
    <row r="9" spans="1:26" s="15" customFormat="1" ht="14.4">
      <c r="A9" s="13"/>
      <c r="B9" s="14"/>
      <c r="C9" s="35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:26" s="15" customFormat="1" ht="14.4">
      <c r="A10" s="13"/>
      <c r="B10" s="14"/>
      <c r="C10" s="35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6" s="15" customFormat="1" ht="13.8">
      <c r="A11" s="13"/>
      <c r="B11" s="228" t="s">
        <v>65</v>
      </c>
      <c r="C11" s="228"/>
      <c r="D11" s="215">
        <f>SUM(D6:D10)</f>
        <v>16000</v>
      </c>
      <c r="E11" s="132"/>
      <c r="F11" s="132"/>
      <c r="G11" s="132"/>
      <c r="H11" s="215">
        <f>SUM(H6:H10)</f>
        <v>0</v>
      </c>
      <c r="I11" s="215">
        <f>SUM(I6:I10)</f>
        <v>0</v>
      </c>
      <c r="J11" s="215">
        <f>SUM(J6:J10)</f>
        <v>0</v>
      </c>
      <c r="K11" s="215">
        <f>SUM(K6:K10)</f>
        <v>14200</v>
      </c>
      <c r="L11" s="215"/>
      <c r="M11" s="130">
        <f t="shared" ref="M11:T11" si="5">SUM(M6:M10)</f>
        <v>0</v>
      </c>
      <c r="N11" s="130">
        <f t="shared" si="5"/>
        <v>833.55000000000007</v>
      </c>
      <c r="O11" s="130">
        <f t="shared" si="5"/>
        <v>0</v>
      </c>
      <c r="P11" s="130">
        <f t="shared" si="5"/>
        <v>0</v>
      </c>
      <c r="Q11" s="130">
        <f t="shared" si="5"/>
        <v>66.69</v>
      </c>
      <c r="R11" s="130">
        <f t="shared" si="5"/>
        <v>867.12000000000012</v>
      </c>
      <c r="S11" s="130">
        <f t="shared" si="5"/>
        <v>342.42</v>
      </c>
      <c r="T11" s="130">
        <f t="shared" si="5"/>
        <v>14.46</v>
      </c>
      <c r="U11" s="208"/>
      <c r="V11" s="208"/>
      <c r="W11" s="215">
        <f>SUM(W6:W10)</f>
        <v>0</v>
      </c>
      <c r="X11" s="215">
        <f>SUM(X6:X10)</f>
        <v>12866</v>
      </c>
      <c r="Y11" s="208">
        <f t="shared" ref="Y11:Z11" si="6">SUM(Y6:Y10)</f>
        <v>12658.77</v>
      </c>
      <c r="Z11" s="208">
        <f t="shared" si="6"/>
        <v>2000</v>
      </c>
    </row>
    <row r="12" spans="1:26" s="15" customFormat="1" ht="13.8">
      <c r="A12" s="13"/>
      <c r="B12" s="228"/>
      <c r="C12" s="228"/>
      <c r="D12" s="215"/>
      <c r="E12" s="132"/>
      <c r="F12" s="132"/>
      <c r="G12" s="132"/>
      <c r="H12" s="215"/>
      <c r="I12" s="215"/>
      <c r="J12" s="215"/>
      <c r="K12" s="215"/>
      <c r="L12" s="215"/>
      <c r="M12" s="215">
        <f>SUM(M11:Q11)</f>
        <v>900.24</v>
      </c>
      <c r="N12" s="215"/>
      <c r="O12" s="215"/>
      <c r="P12" s="215"/>
      <c r="Q12" s="215"/>
      <c r="R12" s="215">
        <f>SUM(R11:T11)</f>
        <v>1224.0000000000002</v>
      </c>
      <c r="S12" s="215"/>
      <c r="T12" s="215"/>
      <c r="U12" s="208"/>
      <c r="V12" s="208"/>
      <c r="W12" s="215"/>
      <c r="X12" s="215"/>
      <c r="Y12" s="208"/>
      <c r="Z12" s="208"/>
    </row>
    <row r="13" spans="1:26" s="15" customFormat="1" ht="13.8">
      <c r="A13" s="13"/>
      <c r="B13" s="228"/>
      <c r="C13" s="228"/>
      <c r="D13" s="215"/>
      <c r="E13" s="132"/>
      <c r="F13" s="132"/>
      <c r="G13" s="132"/>
      <c r="H13" s="215"/>
      <c r="I13" s="215"/>
      <c r="J13" s="215"/>
      <c r="K13" s="215"/>
      <c r="L13" s="215"/>
      <c r="M13" s="215">
        <f>M12+R12</f>
        <v>2124.2400000000002</v>
      </c>
      <c r="N13" s="215"/>
      <c r="O13" s="215"/>
      <c r="P13" s="215"/>
      <c r="Q13" s="215"/>
      <c r="R13" s="215"/>
      <c r="S13" s="215"/>
      <c r="T13" s="215"/>
      <c r="U13" s="208"/>
      <c r="V13" s="208"/>
      <c r="W13" s="215"/>
      <c r="X13" s="215"/>
      <c r="Y13" s="208"/>
      <c r="Z13" s="208"/>
    </row>
    <row r="14" spans="1:26" s="20" customFormat="1" ht="13.8">
      <c r="A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:26" s="15" customFormat="1" ht="14.4">
      <c r="A15" s="13"/>
      <c r="B15" s="212" t="s">
        <v>55</v>
      </c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</row>
    <row r="16" spans="1:26" s="15" customFormat="1" ht="14.4">
      <c r="A16" s="13"/>
      <c r="B16" s="213" t="s">
        <v>66</v>
      </c>
      <c r="C16" s="213"/>
    </row>
    <row r="17" spans="1:23" s="15" customFormat="1" ht="14.4">
      <c r="A17" s="13"/>
      <c r="B17" s="214">
        <f>K11+M12</f>
        <v>15100.24</v>
      </c>
      <c r="C17" s="214"/>
      <c r="M17" s="209" t="s">
        <v>47</v>
      </c>
      <c r="N17" s="210"/>
      <c r="O17" s="210"/>
      <c r="P17" s="210"/>
      <c r="Q17" s="211"/>
      <c r="R17" s="209" t="s">
        <v>48</v>
      </c>
      <c r="S17" s="210"/>
      <c r="T17" s="211"/>
      <c r="U17" s="208" t="s">
        <v>56</v>
      </c>
    </row>
    <row r="18" spans="1:23" s="15" customFormat="1" ht="14.4">
      <c r="A18" s="13"/>
      <c r="M18" s="134" t="s">
        <v>53</v>
      </c>
      <c r="N18" s="134" t="s">
        <v>46</v>
      </c>
      <c r="O18" s="134" t="s">
        <v>51</v>
      </c>
      <c r="P18" s="134" t="s">
        <v>52</v>
      </c>
      <c r="Q18" s="134" t="s">
        <v>64</v>
      </c>
      <c r="R18" s="134" t="s">
        <v>53</v>
      </c>
      <c r="S18" s="135" t="s">
        <v>46</v>
      </c>
      <c r="T18" s="134" t="s">
        <v>51</v>
      </c>
      <c r="U18" s="208"/>
    </row>
    <row r="19" spans="1:23" s="15" customFormat="1" ht="14.4">
      <c r="A19" s="13"/>
      <c r="B19" s="21"/>
      <c r="L19" s="130" t="s">
        <v>67</v>
      </c>
      <c r="M19" s="130">
        <v>3613</v>
      </c>
      <c r="N19" s="130">
        <v>5557</v>
      </c>
      <c r="O19" s="130">
        <v>3613</v>
      </c>
      <c r="P19" s="130">
        <v>4713</v>
      </c>
      <c r="Q19" s="130">
        <v>5557</v>
      </c>
      <c r="R19" s="130">
        <v>3613</v>
      </c>
      <c r="S19" s="130">
        <v>5557</v>
      </c>
      <c r="T19" s="130">
        <v>3613</v>
      </c>
      <c r="U19" s="130"/>
    </row>
    <row r="20" spans="1:23" s="15" customFormat="1" ht="14.4">
      <c r="A20" s="13"/>
      <c r="B20" s="21"/>
      <c r="L20" s="130" t="s">
        <v>68</v>
      </c>
      <c r="M20" s="130">
        <f>ROUND(M19*$M$4,2)</f>
        <v>578.08000000000004</v>
      </c>
      <c r="N20" s="130">
        <f>ROUND(N19*$N$4,2)</f>
        <v>555.70000000000005</v>
      </c>
      <c r="O20" s="130">
        <f>ROUND(O19*$O$4,2)</f>
        <v>28.9</v>
      </c>
      <c r="P20" s="130">
        <f>ROUND(P19*$P$4,2)</f>
        <v>18.850000000000001</v>
      </c>
      <c r="Q20" s="130">
        <f>ROUND(Q19*$Q$4,2)</f>
        <v>44.46</v>
      </c>
      <c r="R20" s="130">
        <f>ROUND(R19*$R$4,2)</f>
        <v>289.04000000000002</v>
      </c>
      <c r="S20" s="130">
        <f>ROUND(S19*2%+3,2)</f>
        <v>114.14</v>
      </c>
      <c r="T20" s="130">
        <f>ROUND(T19*$T$4,2)</f>
        <v>7.23</v>
      </c>
      <c r="U20" s="130">
        <f>SUM(M20:T20)</f>
        <v>1636.4000000000003</v>
      </c>
    </row>
    <row r="21" spans="1:23" s="15" customFormat="1" ht="14.4">
      <c r="A21" s="13"/>
      <c r="B21" s="21"/>
      <c r="L21" s="130" t="s">
        <v>69</v>
      </c>
      <c r="M21" s="130">
        <v>23565</v>
      </c>
      <c r="N21" s="130">
        <v>27786</v>
      </c>
      <c r="O21" s="130">
        <v>23565</v>
      </c>
      <c r="P21" s="130">
        <v>23565</v>
      </c>
      <c r="Q21" s="130">
        <v>27786</v>
      </c>
      <c r="R21" s="130">
        <v>23565</v>
      </c>
      <c r="S21" s="130">
        <v>27786</v>
      </c>
      <c r="T21" s="130">
        <v>23565</v>
      </c>
      <c r="U21" s="130"/>
    </row>
    <row r="22" spans="1:23" s="15" customFormat="1" ht="14.4">
      <c r="A22" s="13"/>
      <c r="B22" s="21"/>
      <c r="L22" s="130" t="s">
        <v>70</v>
      </c>
      <c r="M22" s="130">
        <f>ROUND(M21*$M$4,2)</f>
        <v>3770.4</v>
      </c>
      <c r="N22" s="130">
        <f>ROUND(N21*$N$4,2)</f>
        <v>2778.6</v>
      </c>
      <c r="O22" s="130">
        <f>ROUND(O21*$O$4,2)</f>
        <v>188.52</v>
      </c>
      <c r="P22" s="130">
        <f>ROUND(P21*$P$4,2)</f>
        <v>94.26</v>
      </c>
      <c r="Q22" s="130">
        <f>ROUND(Q21*$Q$4,2)</f>
        <v>222.29</v>
      </c>
      <c r="R22" s="130">
        <f>ROUND(R21*$R$4,2)</f>
        <v>1885.2</v>
      </c>
      <c r="S22" s="130">
        <f>ROUND(S21*2%,2)+3</f>
        <v>558.72</v>
      </c>
      <c r="T22" s="130">
        <f>ROUND(T21*$T$4,2)</f>
        <v>47.13</v>
      </c>
      <c r="U22" s="130">
        <f>SUM(M22:T22)</f>
        <v>9545.119999999999</v>
      </c>
    </row>
    <row r="23" spans="1:23" s="15" customFormat="1" ht="13.8">
      <c r="A23" s="13"/>
      <c r="B23" s="21"/>
    </row>
    <row r="24" spans="1:23" s="15" customFormat="1" ht="13.8">
      <c r="A24" s="13"/>
      <c r="B24" s="21"/>
    </row>
    <row r="25" spans="1:23" s="15" customFormat="1" ht="13.8">
      <c r="A25" s="13"/>
      <c r="B25" s="21"/>
    </row>
    <row r="26" spans="1:23" s="15" customFormat="1" ht="13.8">
      <c r="A26" s="13"/>
      <c r="B26" s="21"/>
    </row>
    <row r="27" spans="1:23" s="15" customFormat="1" ht="13.8">
      <c r="A27" s="13"/>
      <c r="B27" s="21"/>
    </row>
    <row r="28" spans="1:23" s="15" customFormat="1" ht="13.8">
      <c r="A28" s="13"/>
      <c r="B28" s="21"/>
    </row>
    <row r="29" spans="1:23" ht="13.8">
      <c r="W29" s="15"/>
    </row>
  </sheetData>
  <mergeCells count="40">
    <mergeCell ref="B1:X1"/>
    <mergeCell ref="B2:X2"/>
    <mergeCell ref="B3:B5"/>
    <mergeCell ref="C3:C5"/>
    <mergeCell ref="D3:D5"/>
    <mergeCell ref="E3:H4"/>
    <mergeCell ref="I3:I5"/>
    <mergeCell ref="J3:J5"/>
    <mergeCell ref="K3:K5"/>
    <mergeCell ref="L3:L5"/>
    <mergeCell ref="K11:K13"/>
    <mergeCell ref="L11:L13"/>
    <mergeCell ref="U11:U13"/>
    <mergeCell ref="M3:Q3"/>
    <mergeCell ref="R3:T3"/>
    <mergeCell ref="U3:U5"/>
    <mergeCell ref="M12:Q12"/>
    <mergeCell ref="R12:T12"/>
    <mergeCell ref="M13:T13"/>
    <mergeCell ref="B11:C13"/>
    <mergeCell ref="D11:D13"/>
    <mergeCell ref="H11:H13"/>
    <mergeCell ref="I11:I13"/>
    <mergeCell ref="J11:J13"/>
    <mergeCell ref="Y3:Y5"/>
    <mergeCell ref="Z3:Z5"/>
    <mergeCell ref="V3:V5"/>
    <mergeCell ref="W3:W5"/>
    <mergeCell ref="X3:X5"/>
    <mergeCell ref="V11:V13"/>
    <mergeCell ref="W11:W13"/>
    <mergeCell ref="X11:X13"/>
    <mergeCell ref="Y11:Y13"/>
    <mergeCell ref="Z11:Z13"/>
    <mergeCell ref="B15:X15"/>
    <mergeCell ref="B16:C16"/>
    <mergeCell ref="B17:C17"/>
    <mergeCell ref="M17:Q17"/>
    <mergeCell ref="R17:T17"/>
    <mergeCell ref="U17:U18"/>
  </mergeCells>
  <phoneticPr fontId="1" type="noConversion"/>
  <pageMargins left="0.38" right="0.18" top="0.24" bottom="0.75" header="0.19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34"/>
  <sheetViews>
    <sheetView workbookViewId="0">
      <selection activeCell="K23" sqref="K23"/>
    </sheetView>
  </sheetViews>
  <sheetFormatPr defaultColWidth="9.109375" defaultRowHeight="20.100000000000001" customHeight="1"/>
  <cols>
    <col min="1" max="1" width="1.33203125" style="139" customWidth="1"/>
    <col min="2" max="2" width="4.88671875" style="21" bestFit="1" customWidth="1"/>
    <col min="3" max="3" width="7" style="12" customWidth="1"/>
    <col min="4" max="4" width="9" style="12" customWidth="1"/>
    <col min="5" max="5" width="9.77734375" style="22" customWidth="1"/>
    <col min="6" max="6" width="9.77734375" style="22" bestFit="1" customWidth="1"/>
    <col min="7" max="8" width="9.77734375" style="22" customWidth="1"/>
    <col min="9" max="10" width="9.77734375" style="22" bestFit="1" customWidth="1"/>
    <col min="11" max="11" width="9.77734375" style="12" bestFit="1" customWidth="1"/>
    <col min="12" max="12" width="9.77734375" style="22" customWidth="1"/>
    <col min="13" max="13" width="9.77734375" style="15" customWidth="1"/>
    <col min="14" max="14" width="9.77734375" style="22" bestFit="1" customWidth="1"/>
    <col min="15" max="15" width="9.77734375" style="12" bestFit="1" customWidth="1"/>
    <col min="16" max="16" width="9.77734375" style="22" customWidth="1"/>
    <col min="17" max="17" width="9.33203125" style="22" customWidth="1"/>
    <col min="18" max="18" width="8.44140625" style="12" customWidth="1"/>
    <col min="19" max="19" width="10" style="12" customWidth="1"/>
    <col min="20" max="20" width="3.77734375" style="12" customWidth="1"/>
    <col min="21" max="21" width="5.44140625" style="24" customWidth="1"/>
    <col min="22" max="22" width="5.44140625" style="12" customWidth="1"/>
    <col min="23" max="24" width="5.21875" style="12" customWidth="1"/>
    <col min="25" max="26" width="6.44140625" style="12" customWidth="1"/>
    <col min="27" max="27" width="6.6640625" style="12" customWidth="1"/>
    <col min="28" max="28" width="5.44140625" style="12" customWidth="1"/>
    <col min="29" max="16384" width="9.109375" style="12"/>
  </cols>
  <sheetData>
    <row r="1" spans="1:21" ht="30" customHeight="1">
      <c r="B1" s="240" t="s">
        <v>139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137"/>
      <c r="O1" s="137"/>
      <c r="P1" s="137"/>
      <c r="Q1" s="23"/>
      <c r="R1" s="23"/>
      <c r="S1" s="23"/>
    </row>
    <row r="2" spans="1:21" ht="20.100000000000001" customHeight="1">
      <c r="B2" s="25" t="s">
        <v>145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1" ht="20.100000000000001" customHeight="1">
      <c r="B3" s="242" t="s">
        <v>32</v>
      </c>
      <c r="C3" s="227" t="s">
        <v>22</v>
      </c>
      <c r="D3" s="227" t="s">
        <v>33</v>
      </c>
      <c r="E3" s="229" t="s">
        <v>34</v>
      </c>
      <c r="F3" s="229"/>
      <c r="G3" s="229"/>
      <c r="H3" s="229"/>
      <c r="I3" s="229"/>
      <c r="J3" s="229" t="s">
        <v>23</v>
      </c>
      <c r="K3" s="229"/>
      <c r="L3" s="229"/>
      <c r="M3" s="224" t="s">
        <v>30</v>
      </c>
      <c r="N3" s="248" t="s">
        <v>120</v>
      </c>
      <c r="O3" s="229"/>
      <c r="P3" s="229"/>
      <c r="Q3" s="249"/>
      <c r="R3" s="250"/>
      <c r="S3" s="250"/>
    </row>
    <row r="4" spans="1:21" ht="20.100000000000001" customHeight="1">
      <c r="B4" s="243"/>
      <c r="C4" s="201"/>
      <c r="D4" s="201"/>
      <c r="E4" s="133">
        <v>0.16</v>
      </c>
      <c r="F4" s="133">
        <v>0.1</v>
      </c>
      <c r="G4" s="133">
        <v>8.0000000000000002E-3</v>
      </c>
      <c r="H4" s="133">
        <v>4.0000000000000001E-3</v>
      </c>
      <c r="I4" s="133">
        <v>8.0000000000000002E-3</v>
      </c>
      <c r="J4" s="133">
        <v>0.08</v>
      </c>
      <c r="K4" s="138" t="s">
        <v>0</v>
      </c>
      <c r="L4" s="133">
        <v>2E-3</v>
      </c>
      <c r="M4" s="225"/>
      <c r="N4" s="114">
        <v>0.05</v>
      </c>
      <c r="O4" s="114">
        <v>0.05</v>
      </c>
      <c r="P4" s="114">
        <v>0.1</v>
      </c>
      <c r="Q4" s="249"/>
      <c r="R4" s="250"/>
      <c r="S4" s="250"/>
    </row>
    <row r="5" spans="1:21" ht="20.100000000000001" customHeight="1">
      <c r="B5" s="244"/>
      <c r="C5" s="202"/>
      <c r="D5" s="202"/>
      <c r="E5" s="133" t="s">
        <v>24</v>
      </c>
      <c r="F5" s="133" t="s">
        <v>25</v>
      </c>
      <c r="G5" s="133" t="s">
        <v>26</v>
      </c>
      <c r="H5" s="133" t="s">
        <v>27</v>
      </c>
      <c r="I5" s="133" t="s">
        <v>28</v>
      </c>
      <c r="J5" s="133" t="s">
        <v>24</v>
      </c>
      <c r="K5" s="138" t="s">
        <v>25</v>
      </c>
      <c r="L5" s="133" t="s">
        <v>26</v>
      </c>
      <c r="M5" s="226"/>
      <c r="N5" s="140" t="s">
        <v>117</v>
      </c>
      <c r="O5" s="113" t="s">
        <v>118</v>
      </c>
      <c r="P5" s="140" t="s">
        <v>119</v>
      </c>
      <c r="Q5" s="249"/>
      <c r="R5" s="250"/>
      <c r="S5" s="250"/>
    </row>
    <row r="6" spans="1:21" s="15" customFormat="1" ht="20.100000000000001" customHeight="1">
      <c r="A6" s="13"/>
      <c r="B6" s="14">
        <v>1</v>
      </c>
      <c r="C6" s="130" t="s">
        <v>29</v>
      </c>
      <c r="D6" s="130">
        <v>2200</v>
      </c>
      <c r="E6" s="130"/>
      <c r="F6" s="130">
        <f t="shared" ref="F6:F12" si="0">ROUND(MAX(F$24,MIN($D6,F$26))*F$4,2)/2</f>
        <v>277.85000000000002</v>
      </c>
      <c r="G6" s="130"/>
      <c r="H6" s="130"/>
      <c r="I6" s="130">
        <f t="shared" ref="I6:I12" si="1">ROUND(MAX(I$24,MIN($D6,I$26))*I$4,2)/2</f>
        <v>22.23</v>
      </c>
      <c r="J6" s="130">
        <f t="shared" ref="J6:J12" si="2">ROUND(MAX(J$24,MIN($D6,J$26))*J$4,2)</f>
        <v>289.04000000000002</v>
      </c>
      <c r="K6" s="130">
        <f t="shared" ref="K6:K12" si="3">ROUND(MAX(K$24,MIN($D6,K$26))*2%+3,2)</f>
        <v>114.14</v>
      </c>
      <c r="L6" s="130">
        <f>ROUND(MAX(L$24,MIN($D6,L$26))*L$4,2)</f>
        <v>7.23</v>
      </c>
      <c r="M6" s="130">
        <f>SUM(E6:L6)</f>
        <v>710.49000000000012</v>
      </c>
      <c r="N6" s="130"/>
      <c r="O6" s="130"/>
      <c r="P6" s="130">
        <f>N6+O6</f>
        <v>0</v>
      </c>
      <c r="Q6" s="142"/>
      <c r="R6" s="13"/>
      <c r="S6" s="13"/>
      <c r="U6" s="27"/>
    </row>
    <row r="7" spans="1:21" s="15" customFormat="1" ht="20.100000000000001" customHeight="1">
      <c r="A7" s="13"/>
      <c r="B7" s="14">
        <v>2</v>
      </c>
      <c r="C7" s="34" t="s">
        <v>104</v>
      </c>
      <c r="D7" s="130">
        <v>2200</v>
      </c>
      <c r="E7" s="130"/>
      <c r="F7" s="130">
        <f t="shared" si="0"/>
        <v>277.85000000000002</v>
      </c>
      <c r="G7" s="130"/>
      <c r="H7" s="130"/>
      <c r="I7" s="130">
        <f t="shared" si="1"/>
        <v>22.23</v>
      </c>
      <c r="J7" s="130">
        <f t="shared" si="2"/>
        <v>289.04000000000002</v>
      </c>
      <c r="K7" s="130">
        <f t="shared" si="3"/>
        <v>114.14</v>
      </c>
      <c r="L7" s="130">
        <f>ROUND(MAX(L$24,MIN($D7,L$26))*L$4,2)</f>
        <v>7.23</v>
      </c>
      <c r="M7" s="130">
        <f t="shared" ref="M7:M9" si="4">SUM(E7:L7)</f>
        <v>710.49000000000012</v>
      </c>
      <c r="N7" s="130">
        <f>D7*N4</f>
        <v>110</v>
      </c>
      <c r="O7" s="130"/>
      <c r="P7" s="130">
        <f t="shared" ref="P7:P9" si="5">N7+O7</f>
        <v>110</v>
      </c>
      <c r="Q7" s="142"/>
      <c r="R7" s="13"/>
      <c r="S7" s="13"/>
      <c r="U7" s="27"/>
    </row>
    <row r="8" spans="1:21" s="15" customFormat="1" ht="20.100000000000001" customHeight="1">
      <c r="A8" s="13"/>
      <c r="B8" s="14">
        <v>3</v>
      </c>
      <c r="C8" s="34" t="s">
        <v>103</v>
      </c>
      <c r="D8" s="130">
        <v>2200</v>
      </c>
      <c r="E8" s="130"/>
      <c r="F8" s="130">
        <f t="shared" si="0"/>
        <v>277.85000000000002</v>
      </c>
      <c r="G8" s="130"/>
      <c r="H8" s="130"/>
      <c r="I8" s="130">
        <f t="shared" si="1"/>
        <v>22.23</v>
      </c>
      <c r="J8" s="130">
        <f t="shared" si="2"/>
        <v>289.04000000000002</v>
      </c>
      <c r="K8" s="130">
        <f t="shared" si="3"/>
        <v>114.14</v>
      </c>
      <c r="L8" s="130">
        <f>ROUND(MAX(L$24,MIN($D8,L$26))*L$4,2)</f>
        <v>7.23</v>
      </c>
      <c r="M8" s="130">
        <f t="shared" si="4"/>
        <v>710.49000000000012</v>
      </c>
      <c r="N8" s="130"/>
      <c r="O8" s="130"/>
      <c r="P8" s="130">
        <f t="shared" si="5"/>
        <v>0</v>
      </c>
      <c r="Q8" s="142"/>
      <c r="R8" s="13"/>
      <c r="S8" s="13"/>
      <c r="U8" s="27"/>
    </row>
    <row r="9" spans="1:21" s="15" customFormat="1" ht="20.100000000000001" customHeight="1">
      <c r="A9" s="13"/>
      <c r="B9" s="14">
        <v>4</v>
      </c>
      <c r="C9" s="34" t="s">
        <v>112</v>
      </c>
      <c r="D9" s="130">
        <v>2200</v>
      </c>
      <c r="E9" s="130"/>
      <c r="F9" s="130">
        <f t="shared" si="0"/>
        <v>277.85000000000002</v>
      </c>
      <c r="G9" s="130"/>
      <c r="H9" s="130"/>
      <c r="I9" s="130">
        <f t="shared" si="1"/>
        <v>22.23</v>
      </c>
      <c r="J9" s="130">
        <f t="shared" si="2"/>
        <v>289.04000000000002</v>
      </c>
      <c r="K9" s="130">
        <f t="shared" si="3"/>
        <v>114.14</v>
      </c>
      <c r="L9" s="130"/>
      <c r="M9" s="130">
        <f t="shared" si="4"/>
        <v>703.2600000000001</v>
      </c>
      <c r="N9" s="130"/>
      <c r="O9" s="130"/>
      <c r="P9" s="130">
        <f t="shared" si="5"/>
        <v>0</v>
      </c>
      <c r="Q9" s="28"/>
      <c r="R9" s="13"/>
      <c r="S9" s="13"/>
      <c r="U9" s="27"/>
    </row>
    <row r="10" spans="1:21" s="15" customFormat="1" ht="20.100000000000001" customHeight="1">
      <c r="A10" s="13"/>
      <c r="B10" s="14">
        <v>5</v>
      </c>
      <c r="C10" s="115" t="s">
        <v>121</v>
      </c>
      <c r="D10" s="130">
        <v>5500</v>
      </c>
      <c r="E10" s="130"/>
      <c r="F10" s="130">
        <f t="shared" si="0"/>
        <v>277.85000000000002</v>
      </c>
      <c r="G10" s="130"/>
      <c r="H10" s="130"/>
      <c r="I10" s="130">
        <f t="shared" si="1"/>
        <v>22.23</v>
      </c>
      <c r="J10" s="130">
        <f t="shared" si="2"/>
        <v>440</v>
      </c>
      <c r="K10" s="130">
        <f t="shared" si="3"/>
        <v>114.14</v>
      </c>
      <c r="L10" s="130"/>
      <c r="M10" s="130">
        <f>SUM(E10:L10)</f>
        <v>854.22</v>
      </c>
      <c r="N10" s="130">
        <f>D10*N4</f>
        <v>275</v>
      </c>
      <c r="O10" s="130">
        <f>D10*O4</f>
        <v>275</v>
      </c>
      <c r="P10" s="130">
        <f t="shared" ref="P10:P11" si="6">N10+O10</f>
        <v>550</v>
      </c>
      <c r="Q10" s="83"/>
      <c r="R10" s="13"/>
      <c r="S10" s="13"/>
      <c r="U10" s="27"/>
    </row>
    <row r="11" spans="1:21" s="15" customFormat="1" ht="20.100000000000001" customHeight="1">
      <c r="A11" s="13"/>
      <c r="B11" s="14">
        <v>6</v>
      </c>
      <c r="C11" s="115" t="s">
        <v>122</v>
      </c>
      <c r="D11" s="130">
        <v>5500</v>
      </c>
      <c r="E11" s="130"/>
      <c r="F11" s="130">
        <f t="shared" si="0"/>
        <v>277.85000000000002</v>
      </c>
      <c r="G11" s="130"/>
      <c r="H11" s="130"/>
      <c r="I11" s="130">
        <f t="shared" si="1"/>
        <v>22.23</v>
      </c>
      <c r="J11" s="130">
        <f t="shared" si="2"/>
        <v>440</v>
      </c>
      <c r="K11" s="130">
        <f t="shared" si="3"/>
        <v>114.14</v>
      </c>
      <c r="L11" s="130">
        <f>ROUND(MAX(L$24,MIN($D11,L$26))*L$4,2)</f>
        <v>11</v>
      </c>
      <c r="M11" s="130">
        <f>SUM(E11:L11)</f>
        <v>865.22</v>
      </c>
      <c r="N11" s="130">
        <f>D11*N4</f>
        <v>275</v>
      </c>
      <c r="O11" s="130">
        <f>D11*O4</f>
        <v>275</v>
      </c>
      <c r="P11" s="130">
        <f t="shared" si="6"/>
        <v>550</v>
      </c>
      <c r="Q11" s="83"/>
      <c r="R11" s="13"/>
      <c r="S11" s="13"/>
      <c r="U11" s="27"/>
    </row>
    <row r="12" spans="1:21" s="15" customFormat="1" ht="20.100000000000001" customHeight="1">
      <c r="A12" s="13"/>
      <c r="B12" s="14">
        <v>7</v>
      </c>
      <c r="C12" s="115" t="s">
        <v>138</v>
      </c>
      <c r="D12" s="130">
        <v>2200</v>
      </c>
      <c r="E12" s="130"/>
      <c r="F12" s="130">
        <f t="shared" si="0"/>
        <v>277.85000000000002</v>
      </c>
      <c r="G12" s="130"/>
      <c r="H12" s="130"/>
      <c r="I12" s="130">
        <f t="shared" si="1"/>
        <v>22.23</v>
      </c>
      <c r="J12" s="130">
        <f t="shared" si="2"/>
        <v>289.04000000000002</v>
      </c>
      <c r="K12" s="130">
        <f t="shared" si="3"/>
        <v>114.14</v>
      </c>
      <c r="L12" s="130">
        <f>ROUND(MAX(L$24,MIN($D12,L$26))*L$4,2)</f>
        <v>7.23</v>
      </c>
      <c r="M12" s="130">
        <f>SUM(E12:L12)</f>
        <v>710.49000000000012</v>
      </c>
      <c r="N12" s="130"/>
      <c r="O12" s="130"/>
      <c r="P12" s="130"/>
      <c r="Q12" s="83"/>
      <c r="R12" s="13"/>
      <c r="S12" s="13"/>
      <c r="U12" s="27"/>
    </row>
    <row r="13" spans="1:21" s="15" customFormat="1" ht="20.100000000000001" customHeight="1">
      <c r="A13" s="13"/>
      <c r="B13" s="251" t="s">
        <v>39</v>
      </c>
      <c r="C13" s="252"/>
      <c r="D13" s="253"/>
      <c r="E13" s="254">
        <f>SUM(E6:I12)</f>
        <v>2100.56</v>
      </c>
      <c r="F13" s="255"/>
      <c r="G13" s="255"/>
      <c r="H13" s="255"/>
      <c r="I13" s="256"/>
      <c r="J13" s="254">
        <f>SUM(J6:L12)</f>
        <v>3164.1</v>
      </c>
      <c r="K13" s="255"/>
      <c r="L13" s="256"/>
      <c r="M13" s="130">
        <f>SUM(M6:M12)</f>
        <v>5264.6600000000008</v>
      </c>
      <c r="N13" s="254">
        <f>SUM(P6:P12)</f>
        <v>1210</v>
      </c>
      <c r="O13" s="255"/>
      <c r="P13" s="256"/>
      <c r="Q13" s="28"/>
      <c r="R13" s="13"/>
      <c r="S13" s="13"/>
      <c r="U13" s="27"/>
    </row>
    <row r="14" spans="1:21" s="15" customFormat="1" ht="20.100000000000001" customHeight="1">
      <c r="A14" s="13"/>
      <c r="B14" s="14">
        <v>8</v>
      </c>
      <c r="C14" s="130" t="s">
        <v>43</v>
      </c>
      <c r="D14" s="130">
        <v>2200</v>
      </c>
      <c r="E14" s="130"/>
      <c r="F14" s="130">
        <f>ROUND(MAX(F$24,MIN($D14,F$26))*F$4,2)/2</f>
        <v>277.85000000000002</v>
      </c>
      <c r="G14" s="130"/>
      <c r="H14" s="130"/>
      <c r="I14" s="130">
        <f>ROUND(MAX(I$24,MIN($D14,I$26))*I$4,2)/2</f>
        <v>22.23</v>
      </c>
      <c r="J14" s="130">
        <f>ROUND(MAX(J$24,MIN($D14,J$26))*J$4,2)</f>
        <v>289.04000000000002</v>
      </c>
      <c r="K14" s="130">
        <f>ROUND(MAX(K$24,MIN($D14,K$26))*2%+3,2)</f>
        <v>114.14</v>
      </c>
      <c r="L14" s="130">
        <f>ROUND(MAX(L$24,MIN($D14,L$26))*L$4,2)</f>
        <v>7.23</v>
      </c>
      <c r="M14" s="130">
        <f t="shared" ref="M14:M16" si="7">SUM(E14:L14)</f>
        <v>710.49000000000012</v>
      </c>
      <c r="N14" s="130"/>
      <c r="O14" s="130"/>
      <c r="P14" s="130"/>
      <c r="Q14" s="83" t="s">
        <v>107</v>
      </c>
      <c r="R14" s="13"/>
      <c r="S14" s="13"/>
      <c r="U14" s="27"/>
    </row>
    <row r="15" spans="1:21" s="15" customFormat="1" ht="20.100000000000001" customHeight="1">
      <c r="A15" s="13"/>
      <c r="B15" s="14">
        <v>9</v>
      </c>
      <c r="C15" s="130" t="s">
        <v>40</v>
      </c>
      <c r="D15" s="130">
        <v>2200</v>
      </c>
      <c r="E15" s="130"/>
      <c r="F15" s="130">
        <f>ROUND(MAX(F$24,MIN($D15,F$26))*F$4,2)/2</f>
        <v>277.85000000000002</v>
      </c>
      <c r="G15" s="130"/>
      <c r="H15" s="130"/>
      <c r="I15" s="130">
        <f>ROUND(MAX(I$24,MIN($D15,I$26))*I$4,2)/2</f>
        <v>22.23</v>
      </c>
      <c r="J15" s="130">
        <f>ROUND(MAX(J$24,MIN($D15,J$26))*J$4,2)</f>
        <v>289.04000000000002</v>
      </c>
      <c r="K15" s="130">
        <f>ROUND(MAX(K$24,MIN($D15,K$26))*2%+3,2)</f>
        <v>114.14</v>
      </c>
      <c r="L15" s="130"/>
      <c r="M15" s="130">
        <f t="shared" si="7"/>
        <v>703.2600000000001</v>
      </c>
      <c r="N15" s="130"/>
      <c r="O15" s="130"/>
      <c r="P15" s="130"/>
      <c r="Q15" s="83" t="s">
        <v>107</v>
      </c>
      <c r="R15" s="13"/>
      <c r="S15" s="13"/>
      <c r="U15" s="27"/>
    </row>
    <row r="16" spans="1:21" s="15" customFormat="1" ht="20.100000000000001" customHeight="1">
      <c r="A16" s="13"/>
      <c r="B16" s="14">
        <v>10</v>
      </c>
      <c r="C16" s="130" t="s">
        <v>41</v>
      </c>
      <c r="D16" s="130">
        <v>2200</v>
      </c>
      <c r="E16" s="130"/>
      <c r="F16" s="130">
        <f>ROUND(MAX(F$24,MIN($D16,F$26))*F$4,2)/2</f>
        <v>277.85000000000002</v>
      </c>
      <c r="G16" s="130"/>
      <c r="H16" s="130"/>
      <c r="I16" s="130">
        <f>ROUND(MAX(I$24,MIN($D16,I$26))*I$4,2)/2</f>
        <v>22.23</v>
      </c>
      <c r="J16" s="130">
        <f>ROUND(MAX(J$24,MIN($D16,J$26))*J$4,2)</f>
        <v>289.04000000000002</v>
      </c>
      <c r="K16" s="130">
        <f>ROUND(MAX(K$24,MIN($D16,K$26))*2%+3,2)</f>
        <v>114.14</v>
      </c>
      <c r="L16" s="130">
        <f>ROUND(MAX(L$24,MIN($D16,L$26))*L$4,2)</f>
        <v>7.23</v>
      </c>
      <c r="M16" s="130">
        <f t="shared" si="7"/>
        <v>710.49000000000012</v>
      </c>
      <c r="N16" s="130"/>
      <c r="O16" s="130"/>
      <c r="P16" s="130"/>
      <c r="Q16" s="83" t="s">
        <v>107</v>
      </c>
      <c r="R16" s="13"/>
      <c r="S16" s="13"/>
      <c r="U16" s="27"/>
    </row>
    <row r="17" spans="1:21" s="15" customFormat="1" ht="15" customHeight="1">
      <c r="A17" s="13"/>
      <c r="B17" s="261" t="s">
        <v>39</v>
      </c>
      <c r="C17" s="262"/>
      <c r="D17" s="263"/>
      <c r="E17" s="254">
        <f>SUM(E14:I16)</f>
        <v>900.24000000000012</v>
      </c>
      <c r="F17" s="255"/>
      <c r="G17" s="255"/>
      <c r="H17" s="255"/>
      <c r="I17" s="256"/>
      <c r="J17" s="254">
        <f>SUM(J14:L16)</f>
        <v>1224.0000000000002</v>
      </c>
      <c r="K17" s="255"/>
      <c r="L17" s="256"/>
      <c r="M17" s="130">
        <f>SUM(M14:M16)</f>
        <v>2124.2400000000002</v>
      </c>
      <c r="N17" s="254">
        <f>SUM(P10:P11)</f>
        <v>1100</v>
      </c>
      <c r="O17" s="255"/>
      <c r="P17" s="256"/>
      <c r="Q17" s="142"/>
      <c r="R17" s="30"/>
      <c r="S17" s="30"/>
      <c r="U17" s="31"/>
    </row>
    <row r="18" spans="1:21" s="15" customFormat="1" ht="15" customHeight="1">
      <c r="A18" s="13"/>
      <c r="B18" s="261" t="s">
        <v>44</v>
      </c>
      <c r="C18" s="262"/>
      <c r="D18" s="263"/>
      <c r="E18" s="257">
        <f>M13+M17</f>
        <v>7388.9000000000015</v>
      </c>
      <c r="F18" s="258"/>
      <c r="G18" s="258"/>
      <c r="H18" s="258"/>
      <c r="I18" s="258"/>
      <c r="J18" s="258"/>
      <c r="K18" s="258"/>
      <c r="L18" s="258"/>
      <c r="M18" s="259"/>
      <c r="N18" s="215">
        <f>N13+N17</f>
        <v>2310</v>
      </c>
      <c r="O18" s="215"/>
      <c r="P18" s="215"/>
      <c r="Q18" s="116">
        <f>E18+N18</f>
        <v>9698.9000000000015</v>
      </c>
      <c r="R18" s="30"/>
      <c r="S18" s="30"/>
      <c r="U18" s="31"/>
    </row>
    <row r="19" spans="1:21" s="15" customFormat="1" ht="9.75" customHeight="1">
      <c r="A19" s="13"/>
      <c r="B19" s="252"/>
      <c r="C19" s="252"/>
      <c r="D19" s="264"/>
      <c r="E19" s="264"/>
      <c r="F19" s="264"/>
      <c r="G19" s="264"/>
      <c r="H19" s="264"/>
      <c r="I19" s="264"/>
      <c r="J19" s="30"/>
      <c r="K19" s="30"/>
      <c r="L19" s="30"/>
      <c r="M19" s="30"/>
      <c r="N19" s="30"/>
      <c r="O19" s="30"/>
      <c r="P19" s="30"/>
      <c r="Q19" s="30"/>
      <c r="R19" s="30"/>
      <c r="S19" s="30"/>
      <c r="U19" s="31"/>
    </row>
    <row r="20" spans="1:21" s="15" customFormat="1" ht="20.100000000000001" customHeight="1">
      <c r="A20" s="13"/>
      <c r="B20" s="32" t="s">
        <v>35</v>
      </c>
      <c r="C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31"/>
    </row>
    <row r="21" spans="1:21" s="15" customFormat="1" ht="20.100000000000001" customHeight="1">
      <c r="A21" s="13"/>
      <c r="B21" s="21"/>
      <c r="U21" s="31"/>
    </row>
    <row r="22" spans="1:21" s="15" customFormat="1" ht="20.100000000000001" customHeight="1">
      <c r="A22" s="13"/>
      <c r="B22" s="21"/>
      <c r="E22" s="209" t="s">
        <v>34</v>
      </c>
      <c r="F22" s="210"/>
      <c r="G22" s="210"/>
      <c r="H22" s="210"/>
      <c r="I22" s="211"/>
      <c r="J22" s="209" t="s">
        <v>23</v>
      </c>
      <c r="K22" s="210"/>
      <c r="L22" s="211"/>
      <c r="M22" s="265"/>
      <c r="N22" s="260"/>
      <c r="O22" s="260"/>
      <c r="P22" s="260"/>
      <c r="U22" s="31"/>
    </row>
    <row r="23" spans="1:21" s="15" customFormat="1" ht="20.100000000000001" customHeight="1">
      <c r="A23" s="13"/>
      <c r="B23" s="21"/>
      <c r="E23" s="134" t="s">
        <v>24</v>
      </c>
      <c r="F23" s="134" t="s">
        <v>25</v>
      </c>
      <c r="G23" s="134" t="s">
        <v>26</v>
      </c>
      <c r="H23" s="134" t="s">
        <v>27</v>
      </c>
      <c r="I23" s="134" t="s">
        <v>28</v>
      </c>
      <c r="J23" s="134" t="s">
        <v>24</v>
      </c>
      <c r="K23" s="135" t="s">
        <v>25</v>
      </c>
      <c r="L23" s="134" t="s">
        <v>26</v>
      </c>
      <c r="M23" s="265"/>
      <c r="N23" s="141"/>
      <c r="O23" s="139"/>
      <c r="P23" s="141"/>
      <c r="U23" s="31"/>
    </row>
    <row r="24" spans="1:21" s="15" customFormat="1" ht="20.100000000000001" customHeight="1">
      <c r="A24" s="13"/>
      <c r="B24" s="21"/>
      <c r="D24" s="130" t="s">
        <v>38</v>
      </c>
      <c r="E24" s="130">
        <v>3613</v>
      </c>
      <c r="F24" s="130">
        <v>5557</v>
      </c>
      <c r="G24" s="130">
        <v>3613</v>
      </c>
      <c r="H24" s="130">
        <v>4713</v>
      </c>
      <c r="I24" s="130">
        <v>5557</v>
      </c>
      <c r="J24" s="130">
        <v>3613</v>
      </c>
      <c r="K24" s="130">
        <v>5557</v>
      </c>
      <c r="L24" s="130">
        <v>3613</v>
      </c>
      <c r="M24" s="142"/>
      <c r="N24" s="13"/>
      <c r="O24" s="13"/>
      <c r="P24" s="13"/>
      <c r="U24" s="31"/>
    </row>
    <row r="25" spans="1:21" s="15" customFormat="1" ht="20.100000000000001" customHeight="1">
      <c r="A25" s="13"/>
      <c r="B25" s="21"/>
      <c r="D25" s="130" t="s">
        <v>36</v>
      </c>
      <c r="E25" s="130">
        <f>ROUND(E24*$E$4,2)</f>
        <v>578.08000000000004</v>
      </c>
      <c r="F25" s="130">
        <f>ROUND(F24*$F$4,2)</f>
        <v>555.70000000000005</v>
      </c>
      <c r="G25" s="130">
        <f>ROUND(G24*$G$4,2)</f>
        <v>28.9</v>
      </c>
      <c r="H25" s="130">
        <f>ROUND(H24*$H$4,2)</f>
        <v>18.850000000000001</v>
      </c>
      <c r="I25" s="130">
        <f>ROUND(I24*$I$4,2)</f>
        <v>44.46</v>
      </c>
      <c r="J25" s="130">
        <f>ROUND(J24*$J$4,2)</f>
        <v>289.04000000000002</v>
      </c>
      <c r="K25" s="130">
        <f>ROUND(K24*2%+3,2)</f>
        <v>114.14</v>
      </c>
      <c r="L25" s="130">
        <f>ROUND(L24*$L$4,2)</f>
        <v>7.23</v>
      </c>
      <c r="M25" s="142"/>
      <c r="N25" s="13"/>
      <c r="O25" s="13"/>
      <c r="P25" s="13"/>
      <c r="U25" s="31"/>
    </row>
    <row r="26" spans="1:21" s="15" customFormat="1" ht="20.100000000000001" customHeight="1">
      <c r="A26" s="13"/>
      <c r="B26" s="21"/>
      <c r="D26" s="130" t="s">
        <v>31</v>
      </c>
      <c r="E26" s="130">
        <v>23565</v>
      </c>
      <c r="F26" s="130">
        <v>27786</v>
      </c>
      <c r="G26" s="130">
        <v>23565</v>
      </c>
      <c r="H26" s="130">
        <v>23565</v>
      </c>
      <c r="I26" s="130">
        <v>27786</v>
      </c>
      <c r="J26" s="130">
        <v>23565</v>
      </c>
      <c r="K26" s="130">
        <v>27786</v>
      </c>
      <c r="L26" s="130">
        <v>23565</v>
      </c>
      <c r="M26" s="142"/>
      <c r="N26" s="13"/>
      <c r="O26" s="13"/>
      <c r="P26" s="13"/>
      <c r="U26" s="31"/>
    </row>
    <row r="27" spans="1:21" s="15" customFormat="1" ht="20.100000000000001" customHeight="1">
      <c r="A27" s="13"/>
      <c r="B27" s="21"/>
      <c r="D27" s="130" t="s">
        <v>37</v>
      </c>
      <c r="E27" s="130">
        <f>ROUND(E26*$E$4,2)</f>
        <v>3770.4</v>
      </c>
      <c r="F27" s="130">
        <f>ROUND(F26*$F$4,2)</f>
        <v>2778.6</v>
      </c>
      <c r="G27" s="130">
        <f>ROUND(G26*$G$4,2)</f>
        <v>188.52</v>
      </c>
      <c r="H27" s="130">
        <f>ROUND(H26*$H$4,2)</f>
        <v>94.26</v>
      </c>
      <c r="I27" s="130">
        <f>ROUND(I26*$I$4,2)</f>
        <v>222.29</v>
      </c>
      <c r="J27" s="130">
        <f>ROUND(J26*$J$4,2)</f>
        <v>1885.2</v>
      </c>
      <c r="K27" s="130">
        <f>ROUND(K26*2%,2)+3</f>
        <v>558.72</v>
      </c>
      <c r="L27" s="130">
        <f>ROUND(L26*$L$4,2)</f>
        <v>47.13</v>
      </c>
      <c r="M27" s="142"/>
      <c r="N27" s="13"/>
      <c r="O27" s="13"/>
      <c r="P27" s="13"/>
      <c r="U27" s="31"/>
    </row>
    <row r="28" spans="1:21" s="15" customFormat="1" ht="20.100000000000001" customHeight="1">
      <c r="A28" s="13"/>
      <c r="B28" s="21"/>
      <c r="M28" s="13"/>
      <c r="N28" s="13"/>
      <c r="O28" s="13"/>
      <c r="P28" s="13"/>
      <c r="U28" s="31"/>
    </row>
    <row r="29" spans="1:21" s="15" customFormat="1" ht="20.100000000000001" customHeight="1">
      <c r="A29" s="13"/>
      <c r="B29" s="21"/>
      <c r="U29" s="31"/>
    </row>
    <row r="30" spans="1:21" s="15" customFormat="1" ht="20.100000000000001" customHeight="1">
      <c r="A30" s="13"/>
      <c r="B30" s="21"/>
      <c r="U30" s="31"/>
    </row>
    <row r="31" spans="1:21" s="15" customFormat="1" ht="20.100000000000001" customHeight="1">
      <c r="A31" s="13"/>
      <c r="B31" s="21"/>
      <c r="U31" s="31"/>
    </row>
    <row r="32" spans="1:21" s="15" customFormat="1" ht="20.100000000000001" customHeight="1">
      <c r="A32" s="13"/>
      <c r="B32" s="21"/>
      <c r="U32" s="31"/>
    </row>
    <row r="33" spans="1:21" s="15" customFormat="1" ht="20.100000000000001" customHeight="1">
      <c r="A33" s="13"/>
      <c r="B33" s="21"/>
      <c r="U33" s="31"/>
    </row>
    <row r="34" spans="1:21" ht="20.100000000000001" customHeight="1">
      <c r="R34" s="15"/>
    </row>
  </sheetData>
  <mergeCells count="28">
    <mergeCell ref="B1:M1"/>
    <mergeCell ref="B3:B5"/>
    <mergeCell ref="C3:C5"/>
    <mergeCell ref="D3:D5"/>
    <mergeCell ref="E3:I3"/>
    <mergeCell ref="J3:L3"/>
    <mergeCell ref="M3:M5"/>
    <mergeCell ref="N3:P3"/>
    <mergeCell ref="Q3:Q5"/>
    <mergeCell ref="R3:R5"/>
    <mergeCell ref="S3:S5"/>
    <mergeCell ref="B13:D13"/>
    <mergeCell ref="E13:I13"/>
    <mergeCell ref="J13:L13"/>
    <mergeCell ref="N13:P13"/>
    <mergeCell ref="N22:P22"/>
    <mergeCell ref="B17:D17"/>
    <mergeCell ref="E17:I17"/>
    <mergeCell ref="J17:L17"/>
    <mergeCell ref="N17:P17"/>
    <mergeCell ref="B18:D18"/>
    <mergeCell ref="E18:M18"/>
    <mergeCell ref="N18:P18"/>
    <mergeCell ref="B19:C19"/>
    <mergeCell ref="D19:I19"/>
    <mergeCell ref="E22:I22"/>
    <mergeCell ref="J22:L22"/>
    <mergeCell ref="M22:M23"/>
  </mergeCells>
  <phoneticPr fontId="1" type="noConversion"/>
  <pageMargins left="0.34" right="0.17" top="0.36" bottom="0.75" header="0.17" footer="0.3"/>
  <pageSetup paperSize="9"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I31"/>
  <sheetViews>
    <sheetView workbookViewId="0">
      <selection activeCell="D20" sqref="D20"/>
    </sheetView>
  </sheetViews>
  <sheetFormatPr defaultColWidth="9.109375" defaultRowHeight="20.100000000000001" customHeight="1"/>
  <cols>
    <col min="1" max="1" width="1.33203125" style="107" customWidth="1"/>
    <col min="2" max="2" width="5.21875" style="21" customWidth="1"/>
    <col min="3" max="3" width="7.21875" style="12" customWidth="1"/>
    <col min="4" max="4" width="9.77734375" style="12" customWidth="1"/>
    <col min="5" max="5" width="8.33203125" style="12" customWidth="1"/>
    <col min="6" max="6" width="9.6640625" style="12" customWidth="1"/>
    <col min="7" max="8" width="9" style="12" customWidth="1"/>
    <col min="9" max="9" width="5.21875" style="12" customWidth="1"/>
    <col min="10" max="10" width="7.109375" style="12" customWidth="1"/>
    <col min="11" max="11" width="9.6640625" style="12" customWidth="1"/>
    <col min="12" max="12" width="9" style="12" customWidth="1"/>
    <col min="13" max="13" width="8.109375" style="22" customWidth="1"/>
    <col min="14" max="14" width="8.77734375" style="22" customWidth="1"/>
    <col min="15" max="16" width="8.6640625" style="22" customWidth="1"/>
    <col min="17" max="18" width="8.77734375" style="22" customWidth="1"/>
    <col min="19" max="19" width="8.77734375" style="12" customWidth="1"/>
    <col min="20" max="24" width="8.77734375" style="22" customWidth="1"/>
    <col min="25" max="25" width="9" style="15" customWidth="1"/>
    <col min="26" max="26" width="9" style="22" customWidth="1"/>
    <col min="27" max="27" width="5.21875" style="12" customWidth="1"/>
    <col min="28" max="28" width="9" style="12" bestFit="1" customWidth="1"/>
    <col min="29" max="29" width="5.21875" style="125" bestFit="1" customWidth="1"/>
    <col min="30" max="30" width="9.109375" style="12"/>
    <col min="31" max="31" width="11.88671875" style="12" bestFit="1" customWidth="1"/>
    <col min="32" max="32" width="9.109375" style="12" customWidth="1"/>
    <col min="33" max="16384" width="9.109375" style="12"/>
  </cols>
  <sheetData>
    <row r="1" spans="1:35" ht="21">
      <c r="B1" s="240" t="s">
        <v>115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</row>
    <row r="2" spans="1:35" ht="14.4">
      <c r="B2" s="241" t="s">
        <v>49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</row>
    <row r="3" spans="1:35" ht="14.4">
      <c r="B3" s="242" t="s">
        <v>57</v>
      </c>
      <c r="C3" s="227" t="s">
        <v>58</v>
      </c>
      <c r="D3" s="227" t="s">
        <v>59</v>
      </c>
      <c r="E3" s="245" t="s">
        <v>74</v>
      </c>
      <c r="F3" s="246"/>
      <c r="G3" s="246"/>
      <c r="H3" s="246"/>
      <c r="I3" s="227" t="s">
        <v>60</v>
      </c>
      <c r="J3" s="247" t="s">
        <v>77</v>
      </c>
      <c r="K3" s="227" t="s">
        <v>50</v>
      </c>
      <c r="L3" s="227" t="s">
        <v>61</v>
      </c>
      <c r="M3" s="229" t="s">
        <v>47</v>
      </c>
      <c r="N3" s="229"/>
      <c r="O3" s="229"/>
      <c r="P3" s="229"/>
      <c r="Q3" s="229"/>
      <c r="R3" s="229" t="s">
        <v>48</v>
      </c>
      <c r="S3" s="229"/>
      <c r="T3" s="229"/>
      <c r="U3" s="203" t="s">
        <v>126</v>
      </c>
      <c r="V3" s="210"/>
      <c r="W3" s="211"/>
      <c r="X3" s="230" t="s">
        <v>116</v>
      </c>
      <c r="Y3" s="224" t="s">
        <v>62</v>
      </c>
      <c r="Z3" s="233" t="s">
        <v>87</v>
      </c>
      <c r="AA3" s="227" t="s">
        <v>88</v>
      </c>
      <c r="AB3" s="227" t="s">
        <v>63</v>
      </c>
    </row>
    <row r="4" spans="1:35" ht="13.8">
      <c r="B4" s="243"/>
      <c r="C4" s="201"/>
      <c r="D4" s="201"/>
      <c r="E4" s="246"/>
      <c r="F4" s="246"/>
      <c r="G4" s="246"/>
      <c r="H4" s="246"/>
      <c r="I4" s="201"/>
      <c r="J4" s="201"/>
      <c r="K4" s="201"/>
      <c r="L4" s="201"/>
      <c r="M4" s="104">
        <v>0.16</v>
      </c>
      <c r="N4" s="104">
        <v>0.1</v>
      </c>
      <c r="O4" s="104">
        <v>8.0000000000000002E-3</v>
      </c>
      <c r="P4" s="104">
        <v>4.0000000000000001E-3</v>
      </c>
      <c r="Q4" s="104">
        <v>8.0000000000000002E-3</v>
      </c>
      <c r="R4" s="104">
        <v>0.08</v>
      </c>
      <c r="S4" s="101" t="s">
        <v>0</v>
      </c>
      <c r="T4" s="104">
        <v>2E-3</v>
      </c>
      <c r="U4" s="114">
        <v>0.05</v>
      </c>
      <c r="V4" s="114">
        <v>0.05</v>
      </c>
      <c r="W4" s="114">
        <v>0.1</v>
      </c>
      <c r="X4" s="231"/>
      <c r="Y4" s="225"/>
      <c r="Z4" s="234"/>
      <c r="AA4" s="201"/>
      <c r="AB4" s="201"/>
    </row>
    <row r="5" spans="1:35" ht="14.4">
      <c r="B5" s="244"/>
      <c r="C5" s="202"/>
      <c r="D5" s="202"/>
      <c r="E5" s="100" t="s">
        <v>45</v>
      </c>
      <c r="F5" s="33" t="s">
        <v>71</v>
      </c>
      <c r="G5" s="33" t="s">
        <v>72</v>
      </c>
      <c r="H5" s="33" t="s">
        <v>73</v>
      </c>
      <c r="I5" s="202"/>
      <c r="J5" s="202"/>
      <c r="K5" s="202"/>
      <c r="L5" s="202"/>
      <c r="M5" s="104" t="s">
        <v>53</v>
      </c>
      <c r="N5" s="104" t="s">
        <v>46</v>
      </c>
      <c r="O5" s="104" t="s">
        <v>51</v>
      </c>
      <c r="P5" s="104" t="s">
        <v>52</v>
      </c>
      <c r="Q5" s="104" t="s">
        <v>64</v>
      </c>
      <c r="R5" s="104" t="s">
        <v>53</v>
      </c>
      <c r="S5" s="101" t="s">
        <v>46</v>
      </c>
      <c r="T5" s="104" t="s">
        <v>51</v>
      </c>
      <c r="U5" s="119" t="s">
        <v>127</v>
      </c>
      <c r="V5" s="119" t="s">
        <v>128</v>
      </c>
      <c r="W5" s="119" t="s">
        <v>129</v>
      </c>
      <c r="X5" s="232"/>
      <c r="Y5" s="226"/>
      <c r="Z5" s="207"/>
      <c r="AA5" s="202"/>
      <c r="AB5" s="202"/>
      <c r="AE5" s="123" t="s">
        <v>137</v>
      </c>
      <c r="AF5" s="123" t="s">
        <v>136</v>
      </c>
      <c r="AG5" s="123" t="s">
        <v>133</v>
      </c>
      <c r="AH5" s="123" t="s">
        <v>134</v>
      </c>
      <c r="AI5" s="124" t="s">
        <v>135</v>
      </c>
    </row>
    <row r="6" spans="1:35" s="15" customFormat="1" ht="14.4">
      <c r="A6" s="13"/>
      <c r="B6" s="14">
        <v>1</v>
      </c>
      <c r="C6" s="103" t="s">
        <v>54</v>
      </c>
      <c r="D6" s="103">
        <v>5000</v>
      </c>
      <c r="E6" s="103">
        <v>22</v>
      </c>
      <c r="F6" s="103">
        <v>22</v>
      </c>
      <c r="G6" s="103">
        <f>E6-F6</f>
        <v>0</v>
      </c>
      <c r="H6" s="103">
        <f>D6/21.75*G6</f>
        <v>0</v>
      </c>
      <c r="I6" s="103"/>
      <c r="J6" s="103"/>
      <c r="K6" s="103">
        <f>D6-H6+I6+J6</f>
        <v>5000</v>
      </c>
      <c r="L6" s="103">
        <v>2200</v>
      </c>
      <c r="M6" s="103"/>
      <c r="N6" s="103">
        <f>ROUND(MAX(N$21,MIN($L6,N$23))*N$4,2)/2</f>
        <v>277.85000000000002</v>
      </c>
      <c r="O6" s="103"/>
      <c r="P6" s="103"/>
      <c r="Q6" s="103">
        <f>ROUND(MAX(Q$21,MIN($L6,Q$23))*Q$4,2)/2</f>
        <v>22.23</v>
      </c>
      <c r="R6" s="103">
        <f>ROUND(MAX(R$21,MIN($L6,R$23))*R$4,2)</f>
        <v>289.04000000000002</v>
      </c>
      <c r="S6" s="103">
        <f>ROUND(MAX(S$21,MIN($L6,S$23))*2%+3,2)</f>
        <v>114.14</v>
      </c>
      <c r="T6" s="103">
        <f>ROUND(MAX(T$21,MIN($L6,T$23))*T$4,2)</f>
        <v>7.23</v>
      </c>
      <c r="U6" s="117"/>
      <c r="V6" s="117"/>
      <c r="W6" s="117">
        <f t="shared" ref="W6:W8" si="0">U6+V6</f>
        <v>0</v>
      </c>
      <c r="X6" s="103">
        <f>R6+S6+T6</f>
        <v>410.41</v>
      </c>
      <c r="Y6" s="103">
        <f>5000</f>
        <v>5000</v>
      </c>
      <c r="Z6" s="103">
        <f>K6-X6-Y6</f>
        <v>-410.40999999999985</v>
      </c>
      <c r="AA6" s="103">
        <f>ROUND(MAX(Z6*{3;10;20;25;30;35;45}%-{0;21;141;266;441;716;1516}*10,),2)</f>
        <v>0</v>
      </c>
      <c r="AB6" s="103">
        <f>K6-X6-AA6</f>
        <v>4589.59</v>
      </c>
      <c r="AC6" s="126"/>
      <c r="AE6" s="122">
        <f>SUM(M6:T6)</f>
        <v>710.49000000000012</v>
      </c>
      <c r="AF6" s="122">
        <v>2200</v>
      </c>
      <c r="AG6" s="122">
        <v>70</v>
      </c>
      <c r="AH6" s="122">
        <f>AE6+AF6+AG6</f>
        <v>2980.4900000000002</v>
      </c>
      <c r="AI6" s="122">
        <f>AH6*2</f>
        <v>5960.9800000000005</v>
      </c>
    </row>
    <row r="7" spans="1:35" s="15" customFormat="1" ht="14.4">
      <c r="A7" s="13"/>
      <c r="B7" s="14">
        <v>2</v>
      </c>
      <c r="C7" s="35" t="s">
        <v>112</v>
      </c>
      <c r="D7" s="103">
        <v>4000</v>
      </c>
      <c r="E7" s="103">
        <v>22</v>
      </c>
      <c r="F7" s="103">
        <v>22</v>
      </c>
      <c r="G7" s="103">
        <f t="shared" ref="G7" si="1">E7-F7</f>
        <v>0</v>
      </c>
      <c r="H7" s="103">
        <f>4000/21.75*G7</f>
        <v>0</v>
      </c>
      <c r="I7" s="103"/>
      <c r="J7" s="103"/>
      <c r="K7" s="103">
        <f t="shared" ref="K7:K8" si="2">D7-H7+I7+J7</f>
        <v>4000</v>
      </c>
      <c r="L7" s="103">
        <v>2200</v>
      </c>
      <c r="M7" s="103"/>
      <c r="N7" s="103">
        <f>ROUND(MAX(N$21,MIN($L7,N$23))*N$4,2)/2</f>
        <v>277.85000000000002</v>
      </c>
      <c r="O7" s="103"/>
      <c r="P7" s="103"/>
      <c r="Q7" s="103">
        <f>ROUND(MAX(Q$21,MIN($L7,Q$23))*Q$4,2)/2</f>
        <v>22.23</v>
      </c>
      <c r="R7" s="103">
        <f>ROUND(MAX(R$21,MIN($L7,R$23))*R$4,2)</f>
        <v>289.04000000000002</v>
      </c>
      <c r="S7" s="103">
        <f>ROUND(MAX(S$21,MIN($L7,S$23))*2%+3,2)</f>
        <v>114.14</v>
      </c>
      <c r="T7" s="103"/>
      <c r="U7" s="117"/>
      <c r="V7" s="117"/>
      <c r="W7" s="117">
        <f t="shared" si="0"/>
        <v>0</v>
      </c>
      <c r="X7" s="103">
        <f t="shared" ref="X7" si="3">R7+S7+T7</f>
        <v>403.18</v>
      </c>
      <c r="Y7" s="103">
        <v>5000</v>
      </c>
      <c r="Z7" s="117">
        <f t="shared" ref="Z7:Z11" si="4">K7-X7-Y7</f>
        <v>-1403.1799999999998</v>
      </c>
      <c r="AA7" s="103">
        <f>ROUND(MAX(Z7*{3;10;20;25;30;35;45}%-{0;21;141;266;441;716;1516}*10,),2)</f>
        <v>0</v>
      </c>
      <c r="AB7" s="103">
        <f t="shared" ref="AB7" si="5">K7-X7-AA7</f>
        <v>3596.82</v>
      </c>
      <c r="AC7" s="127" t="s">
        <v>132</v>
      </c>
    </row>
    <row r="8" spans="1:35" s="15" customFormat="1" ht="14.4">
      <c r="A8" s="13"/>
      <c r="B8" s="14">
        <v>3</v>
      </c>
      <c r="C8" s="35" t="s">
        <v>104</v>
      </c>
      <c r="D8" s="103">
        <v>5000</v>
      </c>
      <c r="E8" s="103">
        <v>22</v>
      </c>
      <c r="F8" s="103">
        <v>22</v>
      </c>
      <c r="G8" s="103">
        <f>E8-F8</f>
        <v>0</v>
      </c>
      <c r="H8" s="103">
        <f>4000/21.75*G8</f>
        <v>0</v>
      </c>
      <c r="I8" s="103"/>
      <c r="J8" s="103"/>
      <c r="K8" s="103">
        <f t="shared" si="2"/>
        <v>5000</v>
      </c>
      <c r="L8" s="103">
        <v>2200</v>
      </c>
      <c r="M8" s="103"/>
      <c r="N8" s="103">
        <f>ROUND(MAX(N$21,MIN($L8,N$23))*N$4,2)/2</f>
        <v>277.85000000000002</v>
      </c>
      <c r="O8" s="103"/>
      <c r="P8" s="103"/>
      <c r="Q8" s="103">
        <f>ROUND(MAX(Q$21,MIN($L8,Q$23))*Q$4,2)/2</f>
        <v>22.23</v>
      </c>
      <c r="R8" s="103">
        <f>ROUND(MAX(R$21,MIN($L8,R$23))*R$4,2)</f>
        <v>289.04000000000002</v>
      </c>
      <c r="S8" s="103">
        <f>ROUND(MAX(S$21,MIN($L8,S$23))*2%+3,2)</f>
        <v>114.14</v>
      </c>
      <c r="T8" s="103">
        <f>ROUND(MAX(T$21,MIN($L8,T$23))*T$4,2)</f>
        <v>7.23</v>
      </c>
      <c r="U8" s="117">
        <f>$L8*U$4</f>
        <v>110</v>
      </c>
      <c r="V8" s="117"/>
      <c r="W8" s="117">
        <f t="shared" si="0"/>
        <v>110</v>
      </c>
      <c r="X8" s="117">
        <f>R8+S8+T8+U8</f>
        <v>520.41000000000008</v>
      </c>
      <c r="Y8" s="103">
        <f>5000</f>
        <v>5000</v>
      </c>
      <c r="Z8" s="117">
        <f t="shared" si="4"/>
        <v>-520.40999999999985</v>
      </c>
      <c r="AA8" s="103">
        <f>ROUND(MAX(Z8*{3;10;20;25;30;35;45}%-{0;21;141;266;441;716;1516}*10,),2)</f>
        <v>0</v>
      </c>
      <c r="AB8" s="103">
        <f>K8-X8-AA8</f>
        <v>4479.59</v>
      </c>
      <c r="AC8" s="128"/>
    </row>
    <row r="9" spans="1:35" s="15" customFormat="1" ht="14.4">
      <c r="A9" s="13"/>
      <c r="B9" s="14">
        <v>4</v>
      </c>
      <c r="C9" s="35" t="s">
        <v>131</v>
      </c>
      <c r="D9" s="120">
        <f>4000/21.75*10</f>
        <v>1839.0804597701149</v>
      </c>
      <c r="E9" s="120"/>
      <c r="F9" s="120"/>
      <c r="G9" s="120"/>
      <c r="H9" s="120"/>
      <c r="I9" s="120"/>
      <c r="J9" s="120"/>
      <c r="K9" s="120">
        <f>4000/21.75*10</f>
        <v>1839.0804597701149</v>
      </c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>
        <f>5000</f>
        <v>5000</v>
      </c>
      <c r="Z9" s="120">
        <f t="shared" ref="Z9" si="6">K9-X9-Y9</f>
        <v>-3160.9195402298851</v>
      </c>
      <c r="AA9" s="120">
        <f>ROUND(MAX(Z9*{3;10;20;25;30;35;45}%-{0;21;141;266;441;716;1516}*10,),2)</f>
        <v>0</v>
      </c>
      <c r="AB9" s="120">
        <f>K9-X9-AA9</f>
        <v>1839.0804597701149</v>
      </c>
      <c r="AC9" s="128"/>
    </row>
    <row r="10" spans="1:35" s="15" customFormat="1" ht="14.4">
      <c r="A10" s="13"/>
      <c r="B10" s="14">
        <v>5</v>
      </c>
      <c r="C10" s="35" t="s">
        <v>124</v>
      </c>
      <c r="D10" s="117">
        <v>5500</v>
      </c>
      <c r="E10" s="117">
        <v>22</v>
      </c>
      <c r="F10" s="117">
        <v>22</v>
      </c>
      <c r="G10" s="117">
        <f t="shared" ref="G10:G11" si="7">E10-F10</f>
        <v>0</v>
      </c>
      <c r="H10" s="117">
        <f t="shared" ref="H10:H11" si="8">4000/21.75*G10</f>
        <v>0</v>
      </c>
      <c r="I10" s="117"/>
      <c r="J10" s="117"/>
      <c r="K10" s="117">
        <v>5500</v>
      </c>
      <c r="L10" s="117">
        <v>5500</v>
      </c>
      <c r="M10" s="117"/>
      <c r="N10" s="117">
        <f>ROUND(MAX(N$21,MIN($L10,N$23))*N$4,2)/2</f>
        <v>277.85000000000002</v>
      </c>
      <c r="O10" s="117"/>
      <c r="P10" s="117"/>
      <c r="Q10" s="117">
        <f>ROUND(MAX(Q$21,MIN($L10,Q$23))*Q$4,2)/2</f>
        <v>22.23</v>
      </c>
      <c r="R10" s="117">
        <f>ROUND(MAX(R$21,MIN($L10,R$23))*R$4,2)</f>
        <v>440</v>
      </c>
      <c r="S10" s="117">
        <f t="shared" ref="S10:S11" si="9">ROUND(MAX(S$21,MIN($L10,S$23))*2%+3,2)</f>
        <v>114.14</v>
      </c>
      <c r="T10" s="117"/>
      <c r="U10" s="117">
        <f>$L10*U$4</f>
        <v>275</v>
      </c>
      <c r="V10" s="117">
        <f>$L10*V$4</f>
        <v>275</v>
      </c>
      <c r="W10" s="117">
        <f>U10+V10</f>
        <v>550</v>
      </c>
      <c r="X10" s="117">
        <f>R10+S10+T10+V10</f>
        <v>829.14</v>
      </c>
      <c r="Y10" s="117">
        <f>5000</f>
        <v>5000</v>
      </c>
      <c r="Z10" s="117">
        <f t="shared" si="4"/>
        <v>-329.14000000000033</v>
      </c>
      <c r="AA10" s="117">
        <f>ROUND(MAX(Z10*{3;10;20;25;30;35;45}%-{0;21;141;266;441;716;1516}*10,),2)</f>
        <v>0</v>
      </c>
      <c r="AB10" s="117">
        <f t="shared" ref="AB10:AB11" si="10">K10-X10-AA10</f>
        <v>4670.8599999999997</v>
      </c>
      <c r="AC10" s="127" t="s">
        <v>132</v>
      </c>
    </row>
    <row r="11" spans="1:35" s="15" customFormat="1" ht="14.4">
      <c r="A11" s="13"/>
      <c r="B11" s="14">
        <v>6</v>
      </c>
      <c r="C11" s="35" t="s">
        <v>125</v>
      </c>
      <c r="D11" s="117">
        <v>5500</v>
      </c>
      <c r="E11" s="117">
        <v>22</v>
      </c>
      <c r="F11" s="117">
        <v>22</v>
      </c>
      <c r="G11" s="117">
        <f t="shared" si="7"/>
        <v>0</v>
      </c>
      <c r="H11" s="117">
        <f t="shared" si="8"/>
        <v>0</v>
      </c>
      <c r="I11" s="117"/>
      <c r="J11" s="117"/>
      <c r="K11" s="117">
        <v>5500</v>
      </c>
      <c r="L11" s="117">
        <v>5500</v>
      </c>
      <c r="M11" s="117"/>
      <c r="N11" s="117">
        <f>ROUND(MAX(N$21,MIN($L11,N$23))*N$4,2)/2</f>
        <v>277.85000000000002</v>
      </c>
      <c r="O11" s="117"/>
      <c r="P11" s="117"/>
      <c r="Q11" s="117">
        <f>ROUND(MAX(Q$21,MIN($L11,Q$23))*Q$4,2)/2</f>
        <v>22.23</v>
      </c>
      <c r="R11" s="117">
        <f>ROUND(MAX(R$21,MIN($L11,R$23))*R$4,2)</f>
        <v>440</v>
      </c>
      <c r="S11" s="117">
        <f t="shared" si="9"/>
        <v>114.14</v>
      </c>
      <c r="T11" s="117">
        <v>11</v>
      </c>
      <c r="U11" s="117">
        <f t="shared" ref="U11" si="11">$L11*U$4</f>
        <v>275</v>
      </c>
      <c r="V11" s="117">
        <f>$L11*V$4</f>
        <v>275</v>
      </c>
      <c r="W11" s="117">
        <f>U11+V11</f>
        <v>550</v>
      </c>
      <c r="X11" s="117">
        <f>R11+S11+T11+V11</f>
        <v>840.14</v>
      </c>
      <c r="Y11" s="117">
        <f>5000</f>
        <v>5000</v>
      </c>
      <c r="Z11" s="117">
        <f t="shared" si="4"/>
        <v>-340.14000000000033</v>
      </c>
      <c r="AA11" s="117">
        <f>ROUND(MAX(Z11*{3;10;20;25;30;35;45}%-{0;21;141;266;441;716;1516}*10,),2)</f>
        <v>0</v>
      </c>
      <c r="AB11" s="117">
        <f t="shared" si="10"/>
        <v>4659.8599999999997</v>
      </c>
      <c r="AC11" s="128"/>
    </row>
    <row r="12" spans="1:35" s="15" customFormat="1" ht="14.4">
      <c r="A12" s="13"/>
      <c r="B12" s="14"/>
      <c r="C12" s="35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17"/>
      <c r="V12" s="117"/>
      <c r="W12" s="117"/>
      <c r="X12" s="117"/>
      <c r="Y12" s="103"/>
      <c r="Z12" s="103"/>
      <c r="AA12" s="103"/>
      <c r="AB12" s="103"/>
      <c r="AC12" s="128"/>
    </row>
    <row r="13" spans="1:35" s="15" customFormat="1" ht="13.8">
      <c r="A13" s="13"/>
      <c r="B13" s="228" t="s">
        <v>65</v>
      </c>
      <c r="C13" s="228"/>
      <c r="D13" s="208">
        <f>SUM(D6:D12)</f>
        <v>26839.080459770114</v>
      </c>
      <c r="E13" s="208"/>
      <c r="F13" s="208"/>
      <c r="G13" s="208"/>
      <c r="H13" s="208">
        <f>SUM(H6:H12)</f>
        <v>0</v>
      </c>
      <c r="I13" s="208">
        <f>SUM(I6:I12)</f>
        <v>0</v>
      </c>
      <c r="J13" s="208">
        <f>SUM(J6:J12)</f>
        <v>0</v>
      </c>
      <c r="K13" s="208">
        <f>SUM(K6:K12)</f>
        <v>26839.080459770114</v>
      </c>
      <c r="L13" s="208"/>
      <c r="M13" s="117">
        <f>SUM(M6:M12)</f>
        <v>0</v>
      </c>
      <c r="N13" s="117">
        <f t="shared" ref="N13:R13" si="12">SUM(N6:N12)</f>
        <v>1389.25</v>
      </c>
      <c r="O13" s="117">
        <f t="shared" si="12"/>
        <v>0</v>
      </c>
      <c r="P13" s="117">
        <f t="shared" si="12"/>
        <v>0</v>
      </c>
      <c r="Q13" s="117">
        <f t="shared" si="12"/>
        <v>111.15</v>
      </c>
      <c r="R13" s="117">
        <f t="shared" si="12"/>
        <v>1747.1200000000001</v>
      </c>
      <c r="S13" s="117">
        <f>SUM(S6:S12)</f>
        <v>570.70000000000005</v>
      </c>
      <c r="T13" s="117">
        <f>SUM(T6:T12)</f>
        <v>25.46</v>
      </c>
      <c r="U13" s="117">
        <f t="shared" ref="U13:W13" si="13">SUM(U6:U12)</f>
        <v>660</v>
      </c>
      <c r="V13" s="117">
        <f t="shared" si="13"/>
        <v>550</v>
      </c>
      <c r="W13" s="117">
        <f t="shared" si="13"/>
        <v>1210</v>
      </c>
      <c r="X13" s="224">
        <f>SUM(X6:X12)</f>
        <v>3003.2799999999997</v>
      </c>
      <c r="Y13" s="208"/>
      <c r="Z13" s="208"/>
      <c r="AA13" s="215">
        <f>SUM(AA6:AA12)</f>
        <v>0</v>
      </c>
      <c r="AB13" s="215">
        <f>SUM(AB6:AB12)</f>
        <v>23835.800459770115</v>
      </c>
      <c r="AC13" s="128"/>
    </row>
    <row r="14" spans="1:35" s="15" customFormat="1" ht="13.8">
      <c r="A14" s="13"/>
      <c r="B14" s="228"/>
      <c r="C14" s="228"/>
      <c r="D14" s="208"/>
      <c r="E14" s="208"/>
      <c r="F14" s="208"/>
      <c r="G14" s="208"/>
      <c r="H14" s="208"/>
      <c r="I14" s="208"/>
      <c r="J14" s="208"/>
      <c r="K14" s="208"/>
      <c r="L14" s="208"/>
      <c r="M14" s="208">
        <f>SUM(M13:Q13)</f>
        <v>1500.4</v>
      </c>
      <c r="N14" s="208"/>
      <c r="O14" s="208"/>
      <c r="P14" s="208"/>
      <c r="Q14" s="208"/>
      <c r="R14" s="208">
        <f>SUM(R13:T13)</f>
        <v>2343.2800000000002</v>
      </c>
      <c r="S14" s="208"/>
      <c r="T14" s="208"/>
      <c r="U14" s="216">
        <f>U13+V13</f>
        <v>1210</v>
      </c>
      <c r="V14" s="217"/>
      <c r="W14" s="218"/>
      <c r="X14" s="225"/>
      <c r="Y14" s="208"/>
      <c r="Z14" s="208"/>
      <c r="AA14" s="215"/>
      <c r="AB14" s="215"/>
      <c r="AC14" s="128"/>
    </row>
    <row r="15" spans="1:35" s="15" customFormat="1" ht="13.8">
      <c r="A15" s="13"/>
      <c r="B15" s="228"/>
      <c r="C15" s="228"/>
      <c r="D15" s="208"/>
      <c r="E15" s="208"/>
      <c r="F15" s="208"/>
      <c r="G15" s="208"/>
      <c r="H15" s="208"/>
      <c r="I15" s="208"/>
      <c r="J15" s="208"/>
      <c r="K15" s="208"/>
      <c r="L15" s="208"/>
      <c r="M15" s="208">
        <f>M14+R14</f>
        <v>3843.6800000000003</v>
      </c>
      <c r="N15" s="208"/>
      <c r="O15" s="208"/>
      <c r="P15" s="208"/>
      <c r="Q15" s="208"/>
      <c r="R15" s="208"/>
      <c r="S15" s="208"/>
      <c r="T15" s="208"/>
      <c r="U15" s="219"/>
      <c r="V15" s="220"/>
      <c r="W15" s="221"/>
      <c r="X15" s="226"/>
      <c r="Y15" s="208"/>
      <c r="Z15" s="208"/>
      <c r="AA15" s="215"/>
      <c r="AB15" s="215"/>
      <c r="AC15" s="128"/>
    </row>
    <row r="16" spans="1:35" s="20" customFormat="1" ht="13.8">
      <c r="A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06"/>
      <c r="S16" s="106"/>
      <c r="T16" s="106"/>
      <c r="U16" s="118"/>
      <c r="V16" s="118"/>
      <c r="W16" s="118"/>
      <c r="X16" s="106"/>
      <c r="Y16" s="106"/>
      <c r="Z16" s="106"/>
      <c r="AA16" s="106"/>
      <c r="AB16" s="106"/>
      <c r="AC16" s="129"/>
    </row>
    <row r="17" spans="1:29" s="15" customFormat="1" ht="14.4">
      <c r="A17" s="13"/>
      <c r="B17" s="212" t="s">
        <v>55</v>
      </c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128"/>
    </row>
    <row r="18" spans="1:29" s="15" customFormat="1" ht="13.8">
      <c r="A18" s="13"/>
      <c r="B18" s="21"/>
      <c r="AC18" s="128"/>
    </row>
    <row r="19" spans="1:29" s="15" customFormat="1" ht="14.4">
      <c r="A19" s="13"/>
      <c r="B19" s="213"/>
      <c r="C19" s="213"/>
      <c r="M19" s="209" t="s">
        <v>47</v>
      </c>
      <c r="N19" s="210"/>
      <c r="O19" s="210"/>
      <c r="P19" s="210"/>
      <c r="Q19" s="211"/>
      <c r="R19" s="209" t="s">
        <v>48</v>
      </c>
      <c r="S19" s="210"/>
      <c r="T19" s="211"/>
      <c r="U19" s="208" t="s">
        <v>56</v>
      </c>
      <c r="Z19" s="16"/>
      <c r="AC19" s="128"/>
    </row>
    <row r="20" spans="1:29" s="15" customFormat="1" ht="14.4">
      <c r="A20" s="13"/>
      <c r="B20" s="214"/>
      <c r="C20" s="214"/>
      <c r="M20" s="105" t="s">
        <v>53</v>
      </c>
      <c r="N20" s="105" t="s">
        <v>46</v>
      </c>
      <c r="O20" s="105" t="s">
        <v>51</v>
      </c>
      <c r="P20" s="105" t="s">
        <v>52</v>
      </c>
      <c r="Q20" s="105" t="s">
        <v>64</v>
      </c>
      <c r="R20" s="105" t="s">
        <v>53</v>
      </c>
      <c r="S20" s="99" t="s">
        <v>46</v>
      </c>
      <c r="T20" s="105" t="s">
        <v>51</v>
      </c>
      <c r="U20" s="208"/>
      <c r="AC20" s="128"/>
    </row>
    <row r="21" spans="1:29" s="15" customFormat="1" ht="14.4">
      <c r="A21" s="13"/>
      <c r="B21" s="21"/>
      <c r="L21" s="103" t="s">
        <v>67</v>
      </c>
      <c r="M21" s="103">
        <v>3613</v>
      </c>
      <c r="N21" s="103">
        <v>5557</v>
      </c>
      <c r="O21" s="103">
        <v>3613</v>
      </c>
      <c r="P21" s="103">
        <v>4713</v>
      </c>
      <c r="Q21" s="103">
        <v>5557</v>
      </c>
      <c r="R21" s="103">
        <v>3613</v>
      </c>
      <c r="S21" s="103">
        <v>5557</v>
      </c>
      <c r="T21" s="103">
        <v>3613</v>
      </c>
      <c r="U21" s="103"/>
      <c r="AC21" s="128"/>
    </row>
    <row r="22" spans="1:29" s="15" customFormat="1" ht="14.4">
      <c r="A22" s="13"/>
      <c r="B22" s="21"/>
      <c r="L22" s="103" t="s">
        <v>68</v>
      </c>
      <c r="M22" s="103">
        <f>ROUND(M21*$M$4,2)</f>
        <v>578.08000000000004</v>
      </c>
      <c r="N22" s="103">
        <f>ROUND(N21*$N$4,2)</f>
        <v>555.70000000000005</v>
      </c>
      <c r="O22" s="103">
        <f>ROUND(O21*$O$4,2)</f>
        <v>28.9</v>
      </c>
      <c r="P22" s="103">
        <f>ROUND(P21*$P$4,2)</f>
        <v>18.850000000000001</v>
      </c>
      <c r="Q22" s="103">
        <f>ROUND(Q21*$Q$4,2)</f>
        <v>44.46</v>
      </c>
      <c r="R22" s="103">
        <f>ROUND(R21*$R$4,2)</f>
        <v>289.04000000000002</v>
      </c>
      <c r="S22" s="103">
        <f>ROUND(S21*2%+3,2)</f>
        <v>114.14</v>
      </c>
      <c r="T22" s="103">
        <f>ROUND(T21*$T$4,2)</f>
        <v>7.23</v>
      </c>
      <c r="U22" s="103">
        <f>SUM(M22:T22)</f>
        <v>1636.4000000000003</v>
      </c>
      <c r="AC22" s="128"/>
    </row>
    <row r="23" spans="1:29" s="15" customFormat="1" ht="14.4">
      <c r="A23" s="13"/>
      <c r="B23" s="21"/>
      <c r="L23" s="103" t="s">
        <v>69</v>
      </c>
      <c r="M23" s="103">
        <v>23565</v>
      </c>
      <c r="N23" s="103">
        <v>27786</v>
      </c>
      <c r="O23" s="103">
        <v>23565</v>
      </c>
      <c r="P23" s="103">
        <v>23565</v>
      </c>
      <c r="Q23" s="103">
        <v>27786</v>
      </c>
      <c r="R23" s="103">
        <v>23565</v>
      </c>
      <c r="S23" s="103">
        <v>27786</v>
      </c>
      <c r="T23" s="103">
        <v>23565</v>
      </c>
      <c r="U23" s="103"/>
      <c r="AC23" s="128"/>
    </row>
    <row r="24" spans="1:29" s="15" customFormat="1" ht="14.4">
      <c r="A24" s="13"/>
      <c r="B24" s="21"/>
      <c r="L24" s="103" t="s">
        <v>70</v>
      </c>
      <c r="M24" s="103">
        <f>ROUND(M23*$M$4,2)</f>
        <v>3770.4</v>
      </c>
      <c r="N24" s="103">
        <f>ROUND(N23*$N$4,2)</f>
        <v>2778.6</v>
      </c>
      <c r="O24" s="103">
        <f>ROUND(O23*$O$4,2)</f>
        <v>188.52</v>
      </c>
      <c r="P24" s="103">
        <f>ROUND(P23*$P$4,2)</f>
        <v>94.26</v>
      </c>
      <c r="Q24" s="103">
        <f>ROUND(Q23*$Q$4,2)</f>
        <v>222.29</v>
      </c>
      <c r="R24" s="103">
        <f>ROUND(R23*$R$4,2)</f>
        <v>1885.2</v>
      </c>
      <c r="S24" s="103">
        <f>ROUND(S23*2%,2)+3</f>
        <v>558.72</v>
      </c>
      <c r="T24" s="103">
        <f>ROUND(T23*$T$4,2)</f>
        <v>47.13</v>
      </c>
      <c r="U24" s="103">
        <f>SUM(M24:T24)</f>
        <v>9545.119999999999</v>
      </c>
      <c r="AC24" s="128"/>
    </row>
    <row r="25" spans="1:29" s="15" customFormat="1" ht="13.8">
      <c r="A25" s="13"/>
      <c r="B25" s="21"/>
      <c r="AC25" s="128"/>
    </row>
    <row r="26" spans="1:29" s="15" customFormat="1" ht="13.8">
      <c r="A26" s="13"/>
      <c r="B26" s="21"/>
      <c r="AC26" s="128"/>
    </row>
    <row r="27" spans="1:29" s="15" customFormat="1" ht="13.8">
      <c r="A27" s="13"/>
      <c r="B27" s="21"/>
      <c r="AC27" s="128"/>
    </row>
    <row r="28" spans="1:29" s="15" customFormat="1" ht="13.8">
      <c r="A28" s="13"/>
      <c r="B28" s="21"/>
      <c r="AC28" s="128"/>
    </row>
    <row r="29" spans="1:29" s="15" customFormat="1" ht="13.8">
      <c r="A29" s="13"/>
      <c r="B29" s="21"/>
      <c r="AC29" s="128"/>
    </row>
    <row r="30" spans="1:29" s="15" customFormat="1" ht="13.8">
      <c r="A30" s="13"/>
      <c r="B30" s="21"/>
      <c r="AC30" s="128"/>
    </row>
    <row r="31" spans="1:29" ht="13.8">
      <c r="AA31" s="15"/>
    </row>
  </sheetData>
  <mergeCells count="43">
    <mergeCell ref="AA3:AA5"/>
    <mergeCell ref="AB3:AB5"/>
    <mergeCell ref="X3:X5"/>
    <mergeCell ref="B1:AB1"/>
    <mergeCell ref="B2:AB2"/>
    <mergeCell ref="B3:B5"/>
    <mergeCell ref="C3:C5"/>
    <mergeCell ref="D3:D5"/>
    <mergeCell ref="E3:H4"/>
    <mergeCell ref="I3:I5"/>
    <mergeCell ref="J3:J5"/>
    <mergeCell ref="K3:K5"/>
    <mergeCell ref="L3:L5"/>
    <mergeCell ref="U3:W3"/>
    <mergeCell ref="K13:K15"/>
    <mergeCell ref="M3:Q3"/>
    <mergeCell ref="R3:T3"/>
    <mergeCell ref="Y3:Y5"/>
    <mergeCell ref="Z3:Z5"/>
    <mergeCell ref="L13:L15"/>
    <mergeCell ref="Y13:Y15"/>
    <mergeCell ref="Z13:Z15"/>
    <mergeCell ref="U14:W15"/>
    <mergeCell ref="X13:X15"/>
    <mergeCell ref="B13:C15"/>
    <mergeCell ref="D13:D15"/>
    <mergeCell ref="H13:H15"/>
    <mergeCell ref="I13:I15"/>
    <mergeCell ref="J13:J15"/>
    <mergeCell ref="E13:E15"/>
    <mergeCell ref="F13:F15"/>
    <mergeCell ref="G13:G15"/>
    <mergeCell ref="AA13:AA15"/>
    <mergeCell ref="AB13:AB15"/>
    <mergeCell ref="M14:Q14"/>
    <mergeCell ref="R14:T14"/>
    <mergeCell ref="M15:T15"/>
    <mergeCell ref="B17:AB17"/>
    <mergeCell ref="B19:C19"/>
    <mergeCell ref="M19:Q19"/>
    <mergeCell ref="R19:T19"/>
    <mergeCell ref="U19:U20"/>
    <mergeCell ref="B20:C20"/>
  </mergeCells>
  <phoneticPr fontId="1" type="noConversion"/>
  <pageMargins left="0.24" right="0.17" top="0.47" bottom="0.75" header="0.19" footer="0.3"/>
  <pageSetup paperSize="9" scale="71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7月工资表</vt:lpstr>
      <vt:lpstr>7月社保和公积金明细表</vt:lpstr>
      <vt:lpstr>6月工资表</vt:lpstr>
      <vt:lpstr>6月汇总工资表</vt:lpstr>
      <vt:lpstr>6月社保和公积金明细表</vt:lpstr>
      <vt:lpstr>5月工资表</vt:lpstr>
      <vt:lpstr>5月汇总工资表</vt:lpstr>
      <vt:lpstr>5月社保和公积金明细表</vt:lpstr>
      <vt:lpstr>4月工资表</vt:lpstr>
      <vt:lpstr>4月汇总工资表</vt:lpstr>
      <vt:lpstr>4月社保和公积金明细表</vt:lpstr>
      <vt:lpstr>3月汇总工资表</vt:lpstr>
      <vt:lpstr>3月工资表</vt:lpstr>
      <vt:lpstr>3月社保明细表</vt:lpstr>
      <vt:lpstr>2月汇总工资表</vt:lpstr>
      <vt:lpstr>2月工资表</vt:lpstr>
      <vt:lpstr>2月社保明细表</vt:lpstr>
      <vt:lpstr>1月工资表</vt:lpstr>
      <vt:lpstr>1月汇总工资表</vt:lpstr>
      <vt:lpstr>1月社保明细表</vt:lpstr>
      <vt:lpstr>劳务费个税计算</vt:lpstr>
      <vt:lpstr>'1月工资表'!Print_Area</vt:lpstr>
      <vt:lpstr>'1月汇总工资表'!Print_Area</vt:lpstr>
      <vt:lpstr>'1月社保明细表'!Print_Area</vt:lpstr>
      <vt:lpstr>'2月工资表'!Print_Area</vt:lpstr>
      <vt:lpstr>'2月汇总工资表'!Print_Area</vt:lpstr>
      <vt:lpstr>'2月社保明细表'!Print_Area</vt:lpstr>
      <vt:lpstr>'3月工资表'!Print_Area</vt:lpstr>
      <vt:lpstr>'3月汇总工资表'!Print_Area</vt:lpstr>
      <vt:lpstr>'3月社保明细表'!Print_Area</vt:lpstr>
      <vt:lpstr>'4月工资表'!Print_Area</vt:lpstr>
      <vt:lpstr>'4月汇总工资表'!Print_Area</vt:lpstr>
      <vt:lpstr>'4月社保和公积金明细表'!Print_Area</vt:lpstr>
      <vt:lpstr>'5月工资表'!Print_Area</vt:lpstr>
      <vt:lpstr>'5月汇总工资表'!Print_Area</vt:lpstr>
      <vt:lpstr>'5月社保和公积金明细表'!Print_Area</vt:lpstr>
      <vt:lpstr>'6月工资表'!Print_Area</vt:lpstr>
      <vt:lpstr>'6月汇总工资表'!Print_Area</vt:lpstr>
      <vt:lpstr>'6月社保和公积金明细表'!Print_Area</vt:lpstr>
      <vt:lpstr>'7月工资表'!Print_Area</vt:lpstr>
      <vt:lpstr>'7月社保和公积金明细表'!Print_Area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C_Unrestricted</cp:keywords>
  <cp:lastModifiedBy/>
  <dcterms:created xsi:type="dcterms:W3CDTF">2015-06-05T18:19:34Z</dcterms:created>
  <dcterms:modified xsi:type="dcterms:W3CDTF">2020-08-08T02:35:12Z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Document_Confidentiality">
    <vt:lpwstr>Unrestricted</vt:lpwstr>
  </property>
</Properties>
</file>