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05A6B1CE-3F41-4B51-ABEE-674BC6DD3BFF}" xr6:coauthVersionLast="47" xr6:coauthVersionMax="47" xr10:uidLastSave="{00000000-0000-0000-0000-000000000000}"/>
  <bookViews>
    <workbookView xWindow="-108" yWindow="-108" windowWidth="23256" windowHeight="12456" tabRatio="648" activeTab="3"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AN77" i="3" a="1"/>
  <c r="AX94" i="3" a="1"/>
  <c r="T52" i="3" a="1"/>
  <c r="Q76" i="2" a="1"/>
  <c r="T63" i="3" a="1"/>
  <c r="N105" i="2" a="1"/>
  <c r="AN68" i="3" a="1"/>
  <c r="AN60" i="3" a="1"/>
  <c r="AK106" i="3" a="1"/>
  <c r="AN71" i="3" a="1"/>
  <c r="Q50" i="3" a="1"/>
  <c r="AN75" i="3" a="1"/>
  <c r="Q77" i="2" a="1"/>
  <c r="K9" i="2" a="1"/>
  <c r="AN72" i="3" a="1"/>
  <c r="T51" i="3" a="1"/>
  <c r="D9" i="2" a="1"/>
  <c r="T62" i="3" a="1"/>
  <c r="AX91" i="3" a="1"/>
  <c r="AM120" i="3" a="1"/>
  <c r="AM121" i="3" a="1"/>
  <c r="N136" i="2" a="1"/>
  <c r="AN59" i="3" a="1"/>
  <c r="AN73" i="3" a="1"/>
  <c r="Q106" i="2" a="1"/>
  <c r="J109" i="3" a="1"/>
  <c r="AM119" i="3" a="1"/>
  <c r="M9" i="2" a="1"/>
  <c r="Q137" i="2" a="1"/>
  <c r="E89" i="3" a="1"/>
  <c r="G9" i="2" a="1"/>
  <c r="J88" i="3" a="1"/>
  <c r="N9" i="2" a="1"/>
  <c r="AN67" i="3" a="1"/>
  <c r="E88" i="3" a="1"/>
  <c r="N75" i="2" a="1"/>
  <c r="AK58" i="3" a="1"/>
  <c r="AN107" i="3" a="1"/>
  <c r="Q107" i="2" a="1"/>
  <c r="A16" i="2" a="1"/>
  <c r="T61" i="3" a="1"/>
  <c r="O9" i="2" a="1"/>
  <c r="J89" i="3" a="1"/>
  <c r="Q138" i="2" a="1"/>
  <c r="AN76" i="3" a="1"/>
  <c r="AX89" i="3" a="1"/>
  <c r="AN108"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<sst xmlns="http://schemas.openxmlformats.org/spreadsheetml/2006/main" count="2661" uniqueCount="1251">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</sst>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jp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jp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jp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49</xdr:col>
      <xdr:colOff>12043</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69</xdr:col>
      <xdr:colOff>13295</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42</xdr:col>
      <xdr:colOff>260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6"/>
        <a:stretch>
          <a:fillRect/>
        </a:stretch>
      </xdr:blipFill>
      <xdr:spPr>
        <a:xfrm>
          <a:off x="14615849" y="1708889"/>
          <a:ext cx="2631292" cy="2566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8</xdr:col>
      <xdr:colOff>204258</xdr:colOff>
      <xdr:row>11</xdr:row>
      <xdr:rowOff>23284</xdr:rowOff>
    </xdr:from>
    <xdr:ext cx="2176992" cy="1443566"/>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233458" y="2118784"/>
          <a:ext cx="2176992" cy="1443566"/>
        </a:xfrm>
        <a:prstGeom prst="rect">
          <a:avLst/>
        </a:prstGeom>
        <a:noFill/>
      </xdr:spPr>
    </xdr:pic>
    <xdr:clientData fLocksWithSheet="0"/>
  </xdr:oneCellAnchor>
  <xdr:oneCellAnchor>
    <xdr:from>
      <xdr:col>8</xdr:col>
      <xdr:colOff>180975</xdr:colOff>
      <xdr:row>18</xdr:row>
      <xdr:rowOff>161924</xdr:rowOff>
    </xdr:from>
    <xdr:ext cx="2191809" cy="1514475"/>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210175" y="3590924"/>
          <a:ext cx="2191809" cy="1514475"/>
        </a:xfrm>
        <a:prstGeom prst="rect">
          <a:avLst/>
        </a:prstGeom>
        <a:noFill/>
      </xdr:spPr>
    </xdr:pic>
    <xdr:clientData fLocksWithSheet="0"/>
  </xdr:oneCellAnchor>
  <xdr:oneCellAnchor>
    <xdr:from>
      <xdr:col>17</xdr:col>
      <xdr:colOff>438150</xdr:colOff>
      <xdr:row>14</xdr:row>
      <xdr:rowOff>66675</xdr:rowOff>
    </xdr:from>
    <xdr:ext cx="2676525" cy="17060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125200" y="2733675"/>
          <a:ext cx="2676525" cy="1706033"/>
        </a:xfrm>
        <a:prstGeom prst="rect">
          <a:avLst/>
        </a:prstGeom>
        <a:noFill/>
      </xdr:spPr>
    </xdr:pic>
    <xdr:clientData fLocksWithSheet="0"/>
  </xdr:oneCellAnchor>
  <xdr:oneCellAnchor>
    <xdr:from>
      <xdr:col>15</xdr:col>
      <xdr:colOff>347134</xdr:colOff>
      <xdr:row>18</xdr:row>
      <xdr:rowOff>81490</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9776884" y="3510490"/>
          <a:ext cx="2159000" cy="1569391"/>
        </a:xfrm>
        <a:prstGeom prst="rect">
          <a:avLst/>
        </a:prstGeom>
        <a:noFill/>
      </xdr:spPr>
    </xdr:pic>
    <xdr:clientData fLocksWithSheet="0"/>
  </xdr:oneCellAnchor>
  <xdr:twoCellAnchor>
    <xdr:from>
      <xdr:col>18</xdr:col>
      <xdr:colOff>622300</xdr:colOff>
      <xdr:row>13</xdr:row>
      <xdr:rowOff>38100</xdr:rowOff>
    </xdr:from>
    <xdr:to>
      <xdr:col>21</xdr:col>
      <xdr:colOff>387350</xdr:colOff>
      <xdr:row>14</xdr:row>
      <xdr:rowOff>63500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11938000" y="2514600"/>
          <a:ext cx="16510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18</xdr:col>
      <xdr:colOff>173565</xdr:colOff>
      <xdr:row>1</xdr:row>
      <xdr:rowOff>104775</xdr:rowOff>
    </xdr:from>
    <xdr:to>
      <xdr:col>21</xdr:col>
      <xdr:colOff>623864</xdr:colOff>
      <xdr:row>10</xdr:row>
      <xdr:rowOff>127108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89265" y="295275"/>
          <a:ext cx="2336249" cy="1736833"/>
        </a:xfrm>
        <a:prstGeom prst="rect">
          <a:avLst/>
        </a:prstGeom>
      </xdr:spPr>
    </xdr:pic>
    <xdr:clientData/>
  </xdr:twoCellAnchor>
  <xdr:twoCellAnchor editAs="oneCell">
    <xdr:from>
      <xdr:col>8</xdr:col>
      <xdr:colOff>209551</xdr:colOff>
      <xdr:row>1</xdr:row>
      <xdr:rowOff>41410</xdr:rowOff>
    </xdr:from>
    <xdr:to>
      <xdr:col>11</xdr:col>
      <xdr:colOff>400051</xdr:colOff>
      <xdr:row>11</xdr:row>
      <xdr:rowOff>6925</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5238751" y="231910"/>
          <a:ext cx="2076450" cy="1870515"/>
        </a:xfrm>
        <a:prstGeom prst="rect">
          <a:avLst/>
        </a:prstGeom>
      </xdr:spPr>
    </xdr:pic>
    <xdr:clientData/>
  </xdr:twoCellAnchor>
  <xdr:twoCellAnchor editAs="oneCell">
    <xdr:from>
      <xdr:col>13</xdr:col>
      <xdr:colOff>65615</xdr:colOff>
      <xdr:row>1</xdr:row>
      <xdr:rowOff>28575</xdr:rowOff>
    </xdr:from>
    <xdr:to>
      <xdr:col>17</xdr:col>
      <xdr:colOff>619124</xdr:colOff>
      <xdr:row>18</xdr:row>
      <xdr:rowOff>44655</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30077"/>
        <a:stretch/>
      </xdr:blipFill>
      <xdr:spPr>
        <a:xfrm>
          <a:off x="8238065" y="219075"/>
          <a:ext cx="3068109" cy="3254580"/>
        </a:xfrm>
        <a:prstGeom prst="rect">
          <a:avLst/>
        </a:prstGeom>
      </xdr:spPr>
    </xdr:pic>
    <xdr:clientData/>
  </xdr:twoCellAnchor>
  <xdr:twoCellAnchor editAs="oneCell">
    <xdr:from>
      <xdr:col>3</xdr:col>
      <xdr:colOff>51570</xdr:colOff>
      <xdr:row>4</xdr:row>
      <xdr:rowOff>135130</xdr:rowOff>
    </xdr:from>
    <xdr:to>
      <xdr:col>8</xdr:col>
      <xdr:colOff>86511</xdr:colOff>
      <xdr:row>21</xdr:row>
      <xdr:rowOff>19050</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4354"/>
        <a:stretch/>
      </xdr:blipFill>
      <xdr:spPr>
        <a:xfrm>
          <a:off x="1937520" y="897130"/>
          <a:ext cx="3178191" cy="3122420"/>
        </a:xfrm>
        <a:prstGeom prst="rect">
          <a:avLst/>
        </a:prstGeom>
      </xdr:spPr>
    </xdr:pic>
    <xdr:clientData/>
  </xdr:twoCellAnchor>
  <xdr:twoCellAnchor editAs="oneCell">
    <xdr:from>
      <xdr:col>23</xdr:col>
      <xdr:colOff>70733</xdr:colOff>
      <xdr:row>1</xdr:row>
      <xdr:rowOff>107024</xdr:rowOff>
    </xdr:from>
    <xdr:to>
      <xdr:col>31</xdr:col>
      <xdr:colOff>551413</xdr:colOff>
      <xdr:row>26</xdr:row>
      <xdr:rowOff>135466</xdr:rowOff>
    </xdr:to>
    <xdr:pic>
      <xdr:nvPicPr>
        <xdr:cNvPr id="19" name="Picture 18">
          <a:extLst>
            <a:ext uri="{FF2B5EF4-FFF2-40B4-BE49-F238E27FC236}">
              <a16:creationId xmlns:a16="http://schemas.microsoft.com/office/drawing/2014/main" id="{5FE98C5E-1A63-930D-4CD9-19E308A5CC04}"/>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14591"/>
        <a:stretch/>
      </xdr:blipFill>
      <xdr:spPr>
        <a:xfrm>
          <a:off x="14481000" y="301757"/>
          <a:ext cx="5492946" cy="4896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opLeftCell="O1" zoomScale="38" zoomScaleNormal="70" workbookViewId="0">
      <selection activeCell="AU62" sqref="AU62"/>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x14ac:dyDescent="0.3">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x14ac:dyDescent="0.3">
      <c r="B3" s="32" t="s">
        <v>76</v>
      </c>
      <c r="C3" s="313" t="s">
        <v>420</v>
      </c>
      <c r="D3" s="314"/>
      <c r="E3" s="313" t="s">
        <v>419</v>
      </c>
      <c r="F3" s="314"/>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01">
        <v>130</v>
      </c>
      <c r="D4" s="302"/>
      <c r="E4" s="301"/>
      <c r="F4" s="302"/>
      <c r="G4" s="301"/>
      <c r="H4" s="302"/>
      <c r="I4" s="317"/>
      <c r="J4" s="317"/>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03" t="s">
        <v>1238</v>
      </c>
      <c r="D5" s="303"/>
      <c r="E5" s="303"/>
      <c r="F5" s="303"/>
      <c r="G5" s="303"/>
      <c r="H5" s="315"/>
      <c r="I5" s="315"/>
      <c r="J5" s="315"/>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6"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8" t="s">
        <v>2</v>
      </c>
      <c r="B7" s="298"/>
      <c r="C7" s="298" t="s">
        <v>1</v>
      </c>
      <c r="D7" s="298"/>
      <c r="E7" s="298" t="s">
        <v>131</v>
      </c>
      <c r="F7" s="298"/>
      <c r="G7" s="318" t="s">
        <v>127</v>
      </c>
      <c r="H7" s="318"/>
      <c r="I7" s="318"/>
      <c r="J7" s="318"/>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x14ac:dyDescent="0.35">
      <c r="A8" s="311" t="s">
        <v>1240</v>
      </c>
      <c r="B8" s="311"/>
      <c r="C8" s="307" t="s">
        <v>1241</v>
      </c>
      <c r="D8" s="308"/>
      <c r="E8" s="296" t="s">
        <v>1234</v>
      </c>
      <c r="F8" s="297"/>
      <c r="G8" s="296" t="s">
        <v>1235</v>
      </c>
      <c r="H8" s="310"/>
      <c r="I8" s="310"/>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x14ac:dyDescent="0.35">
      <c r="A10" s="299" t="s">
        <v>139</v>
      </c>
      <c r="B10" s="299"/>
      <c r="C10" s="299"/>
      <c r="D10" s="299" t="s">
        <v>8</v>
      </c>
      <c r="E10" s="299"/>
      <c r="F10" s="299"/>
      <c r="G10" s="299"/>
      <c r="H10" s="299"/>
      <c r="I10" s="299"/>
      <c r="J10" s="299" t="str">
        <f ca="1">IF(OR(A17="EQ",A17="CHECK"),"YES","NO")</f>
        <v>YES</v>
      </c>
      <c r="K10" s="299"/>
      <c r="L10" s="22"/>
      <c r="M10" s="325" t="s">
        <v>126</v>
      </c>
      <c r="N10" s="326"/>
      <c r="O10" s="326"/>
      <c r="P10" s="326"/>
      <c r="Q10" s="326"/>
      <c r="R10" s="326"/>
      <c r="S10" s="326"/>
      <c r="T10" s="326"/>
      <c r="U10" s="326"/>
      <c r="V10" s="326"/>
      <c r="W10" s="326"/>
      <c r="X10" s="326"/>
      <c r="Y10" s="326"/>
      <c r="Z10" s="326"/>
      <c r="AA10" s="327"/>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x14ac:dyDescent="0.3">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05" t="str">
        <f ca="1">IF(SUMPRODUCT(--ISERROR(C12:C16))&gt;0,"REJECT",
IF(COUNTIF(C12:C16,"BLANK"),"BLANK",
IF(COUNTIF(C12:C16,"REJECT"),"REJECT",
IF(COUNTIF(C12:C16,"CHECK"),"CHECK","EQ"))))</f>
        <v>EQ</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19" t="s">
        <v>1215</v>
      </c>
      <c r="B25" s="320"/>
      <c r="C25" s="320"/>
      <c r="D25" s="320"/>
      <c r="E25" s="320"/>
      <c r="F25" s="320"/>
      <c r="G25" s="320"/>
      <c r="H25" s="321"/>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9" t="s">
        <v>111</v>
      </c>
      <c r="CO25" s="309"/>
      <c r="CP25" s="25" t="s">
        <v>110</v>
      </c>
      <c r="CX25" s="44"/>
    </row>
    <row r="26" spans="1:102" ht="15.75" customHeight="1" thickBot="1" x14ac:dyDescent="0.35">
      <c r="A26" s="322"/>
      <c r="B26" s="323"/>
      <c r="C26" s="323"/>
      <c r="D26" s="323"/>
      <c r="E26" s="323"/>
      <c r="F26" s="323"/>
      <c r="G26" s="323"/>
      <c r="H26" s="324"/>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2" t="s">
        <v>327</v>
      </c>
      <c r="B27" s="312"/>
      <c r="C27" s="312"/>
      <c r="D27" s="312"/>
      <c r="E27" s="312"/>
      <c r="F27" s="312"/>
      <c r="G27" s="312"/>
      <c r="H27" s="312"/>
      <c r="I27" s="312"/>
      <c r="J27" s="312"/>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x14ac:dyDescent="0.3">
      <c r="A28" s="312"/>
      <c r="B28" s="312"/>
      <c r="C28" s="312"/>
      <c r="D28" s="312"/>
      <c r="E28" s="312"/>
      <c r="F28" s="312"/>
      <c r="G28" s="312"/>
      <c r="H28" s="312"/>
      <c r="I28" s="312"/>
      <c r="J28" s="312"/>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x14ac:dyDescent="0.3">
      <c r="A29" s="312"/>
      <c r="B29" s="312"/>
      <c r="C29" s="312"/>
      <c r="D29" s="312"/>
      <c r="E29" s="312"/>
      <c r="F29" s="312"/>
      <c r="G29" s="312"/>
      <c r="H29" s="312"/>
      <c r="I29" s="312"/>
      <c r="J29" s="312"/>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2"/>
      <c r="B30" s="312"/>
      <c r="C30" s="312"/>
      <c r="D30" s="312"/>
      <c r="E30" s="312"/>
      <c r="F30" s="312"/>
      <c r="G30" s="312"/>
      <c r="H30" s="312"/>
      <c r="I30" s="312"/>
      <c r="J30" s="312"/>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x14ac:dyDescent="0.3">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328"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8"/>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8" t="s">
        <v>143</v>
      </c>
      <c r="R63" s="298"/>
      <c r="S63" s="11" t="s">
        <v>56</v>
      </c>
      <c r="U63" s="328"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8"/>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8"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8"/>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8"/>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10"/>
      <c r="BK73" s="310"/>
      <c r="BL73" s="310"/>
      <c r="BM73" s="310"/>
      <c r="BN73" s="310"/>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10"/>
      <c r="BK74" s="310"/>
      <c r="BL74" s="310"/>
      <c r="BM74" s="310"/>
      <c r="BN74" s="310"/>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10"/>
      <c r="BK75" s="310"/>
      <c r="BL75" s="310"/>
      <c r="BM75" s="310"/>
      <c r="BN75" s="310"/>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10"/>
      <c r="BK76" s="310"/>
      <c r="BL76" s="310"/>
      <c r="BM76" s="310"/>
      <c r="BN76" s="310"/>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10"/>
      <c r="BK77" s="310"/>
      <c r="BL77" s="310"/>
      <c r="BM77" s="310"/>
      <c r="BN77" s="310"/>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6" t="s">
        <v>1242</v>
      </c>
      <c r="BJ78" s="310"/>
      <c r="BK78" s="310"/>
      <c r="BL78" s="310"/>
      <c r="BM78" s="310"/>
      <c r="BN78" s="310"/>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10"/>
      <c r="BK79" s="310"/>
      <c r="BL79" s="310"/>
      <c r="BM79" s="310"/>
      <c r="BN79" s="310"/>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1250</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9"/>
      <c r="CE83" s="329"/>
      <c r="CF83" s="329"/>
      <c r="CG83" s="329"/>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10"/>
      <c r="AK109" s="310"/>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10"/>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10"/>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10"/>
      <c r="AK121" s="310"/>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31"/>
      <c r="BN127" s="332"/>
      <c r="BO127" s="332"/>
      <c r="BP127" s="333"/>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10"/>
      <c r="AU130" s="310"/>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30" t="str">
        <f>IF(BO133="Yes","Fill out Bolted Member and Welded Inserts tabs",
IF(OR(BO134="Yes",BO135="Yes"),"Fill out Welded Inserts tab","AIP or EV might activate Welded Inserts tab"))</f>
        <v>Fill out Welded Inserts tab</v>
      </c>
      <c r="BJ137" s="330"/>
      <c r="BK137" s="330"/>
      <c r="BL137" s="330"/>
      <c r="BM137" s="330"/>
      <c r="BN137" s="330"/>
      <c r="BO137" s="330"/>
      <c r="BP137" s="330"/>
      <c r="BQ137" s="330"/>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30"/>
      <c r="BJ138" s="330"/>
      <c r="BK138" s="330"/>
      <c r="BL138" s="330"/>
      <c r="BM138" s="330"/>
      <c r="BN138" s="330"/>
      <c r="BO138" s="330"/>
      <c r="BP138" s="330"/>
      <c r="BQ138" s="330"/>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30" t="str">
        <f>IF(G8="IC - Internal Combustion","IC: EV protection columns disabled","EV: Complete EV protection columns to the right")</f>
        <v>IC: EV protection columns disabled</v>
      </c>
      <c r="BJ140" s="330"/>
      <c r="BK140" s="330"/>
      <c r="BL140" s="330"/>
      <c r="BM140" s="330"/>
      <c r="BN140" s="330"/>
      <c r="BO140" s="330"/>
      <c r="BP140" s="330"/>
      <c r="BQ140" s="330"/>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30"/>
      <c r="BJ141" s="330"/>
      <c r="BK141" s="330"/>
      <c r="BL141" s="330"/>
      <c r="BM141" s="330"/>
      <c r="BN141" s="330"/>
      <c r="BO141" s="330"/>
      <c r="BP141" s="330"/>
      <c r="BQ141" s="330"/>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30" t="str">
        <f>IF(G8="IC - Internal Combustion","IC: EV Acc. tab disabled, complete all other tabs","EV: Complete all other tabs")</f>
        <v>IC: EV Acc. tab disabled, complete all other tabs</v>
      </c>
      <c r="BJ143" s="330"/>
      <c r="BK143" s="330"/>
      <c r="BL143" s="330"/>
      <c r="BM143" s="330"/>
      <c r="BN143" s="330"/>
      <c r="BO143" s="330"/>
      <c r="BP143" s="330"/>
      <c r="BQ143" s="330"/>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30"/>
      <c r="BJ144" s="330"/>
      <c r="BK144" s="330"/>
      <c r="BL144" s="330"/>
      <c r="BM144" s="330"/>
      <c r="BN144" s="330"/>
      <c r="BO144" s="330"/>
      <c r="BP144" s="330"/>
      <c r="BQ144" s="330"/>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EQ</v>
      </c>
      <c r="BJ150" s="299"/>
      <c r="BK150" s="299" t="s">
        <v>296</v>
      </c>
      <c r="BL150" s="299"/>
      <c r="BM150" s="299"/>
      <c r="BN150" s="299"/>
      <c r="BO150" s="299"/>
      <c r="BP150" s="299"/>
      <c r="BQ150" s="299"/>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EQ</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YES</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40" t="s">
        <v>526</v>
      </c>
      <c r="B1" s="340"/>
      <c r="C1" s="340"/>
      <c r="D1" s="340"/>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40"/>
      <c r="B2" s="340"/>
      <c r="C2" s="340"/>
      <c r="D2" s="340"/>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40"/>
      <c r="B3" s="340"/>
      <c r="C3" s="340"/>
      <c r="D3" s="340"/>
      <c r="E3" s="298" t="s">
        <v>534</v>
      </c>
      <c r="F3" s="298"/>
      <c r="G3" s="336">
        <f>IF($A$25="mm",200*10^9,29*10^6)</f>
        <v>29000000</v>
      </c>
      <c r="H3" s="336"/>
      <c r="I3" s="336">
        <f>IF($A$25="mm",365*10^6,52.9*10^3)</f>
        <v>52900</v>
      </c>
      <c r="J3" s="336"/>
      <c r="K3" s="336">
        <f>I3*0.577</f>
        <v>30523.3</v>
      </c>
      <c r="L3" s="33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40"/>
      <c r="B4" s="340"/>
      <c r="C4" s="340"/>
      <c r="D4" s="340"/>
      <c r="E4" s="334" t="s">
        <v>538</v>
      </c>
      <c r="F4" s="334"/>
      <c r="G4" s="335">
        <f>IF($A$25="mm",200*10^9,29*10^6)</f>
        <v>29000000</v>
      </c>
      <c r="H4" s="335"/>
      <c r="I4" s="335">
        <f>IF($A$25="mm",300*10^6,43.5*10^3)</f>
        <v>43500</v>
      </c>
      <c r="J4" s="335"/>
      <c r="K4" s="335">
        <f t="shared" ref="K4:K8" si="0">I4*0.577</f>
        <v>25099.499999999996</v>
      </c>
      <c r="L4" s="335"/>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40"/>
      <c r="B5" s="340"/>
      <c r="C5" s="340"/>
      <c r="D5" s="340"/>
      <c r="E5" s="298" t="s">
        <v>543</v>
      </c>
      <c r="F5" s="298"/>
      <c r="G5" s="336">
        <f>IF($A$25="mm",69*10^9,10*10^6)</f>
        <v>10000000</v>
      </c>
      <c r="H5" s="336"/>
      <c r="I5" s="336">
        <f>IF($A$25="mm",290*10^6,42.1*10^3)</f>
        <v>42100</v>
      </c>
      <c r="J5" s="336"/>
      <c r="K5" s="336">
        <f t="shared" si="0"/>
        <v>24291.699999999997</v>
      </c>
      <c r="L5" s="33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40"/>
      <c r="B6" s="340"/>
      <c r="C6" s="340"/>
      <c r="D6" s="340"/>
      <c r="E6" s="334" t="s">
        <v>546</v>
      </c>
      <c r="F6" s="334"/>
      <c r="G6" s="335">
        <f>IF($A$25="mm",69*10^9,10*10^6)</f>
        <v>10000000</v>
      </c>
      <c r="H6" s="335"/>
      <c r="I6" s="335">
        <f>IF($A$25="mm",175*10^6,25.4*10^3)</f>
        <v>25400</v>
      </c>
      <c r="J6" s="335"/>
      <c r="K6" s="335">
        <f t="shared" si="0"/>
        <v>14655.8</v>
      </c>
      <c r="L6" s="335"/>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40"/>
      <c r="B7" s="340"/>
      <c r="C7" s="340"/>
      <c r="D7" s="340"/>
      <c r="E7" s="303" t="s">
        <v>549</v>
      </c>
      <c r="F7" s="303"/>
      <c r="G7" s="339"/>
      <c r="H7" s="339"/>
      <c r="I7" s="339"/>
      <c r="J7" s="339"/>
      <c r="K7" s="338">
        <f t="shared" si="0"/>
        <v>0</v>
      </c>
      <c r="L7" s="33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40"/>
      <c r="B8" s="340"/>
      <c r="C8" s="340"/>
      <c r="D8" s="340"/>
      <c r="E8" s="303" t="s">
        <v>556</v>
      </c>
      <c r="F8" s="303"/>
      <c r="G8" s="342"/>
      <c r="H8" s="342"/>
      <c r="I8" s="342"/>
      <c r="J8" s="342"/>
      <c r="K8" s="341">
        <f t="shared" si="0"/>
        <v>0</v>
      </c>
      <c r="L8" s="335"/>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37" t="s">
        <v>560</v>
      </c>
      <c r="B9" s="337"/>
      <c r="C9" s="337"/>
      <c r="D9" s="143" t="e" cm="1">
        <f t="array" aca="1" ref="D9" ca="1">IF($E9="","",INDIRECT("'"&amp;$E9&amp;"'!$A$27"))</f>
        <v>#REF!</v>
      </c>
      <c r="E9" s="303" t="s">
        <v>561</v>
      </c>
      <c r="F9" s="303"/>
      <c r="G9" s="338" t="e" cm="1">
        <f t="array" aca="1" ref="G9" ca="1">IF($E9="","",
IF($A$25="mm",INDIRECT("'"&amp;$E9&amp;"'!$AK$82"),INDIRECT("'"&amp;$E9&amp;"'!$AK$83")))</f>
        <v>#REF!</v>
      </c>
      <c r="H9" s="336"/>
      <c r="I9" s="336" t="e" cm="1">
        <f t="array" aca="1" ref="I9" ca="1">IF($E9="","",
IF($A$25="mm",INDIRECT("'"&amp;$E9&amp;"'!$AK$85"),INDIRECT("'"&amp;$E9&amp;"'!$AK$86")))</f>
        <v>#REF!</v>
      </c>
      <c r="J9" s="336"/>
      <c r="K9" s="336" t="e" cm="1">
        <f t="array" aca="1" ref="K9" ca="1">IF($E9="","",
IF($A$25="mm",INDIRECT("'"&amp;$E9&amp;"'!$AY$62"),INDIRECT("'"&amp;$E9&amp;"'!$AY$63")))</f>
        <v>#REF!</v>
      </c>
      <c r="L9" s="33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37"/>
      <c r="B10" s="337"/>
      <c r="C10" s="337"/>
      <c r="D10" s="143" t="str" cm="1">
        <f t="array" aca="1" ref="D10" ca="1">IF($E10="","",INDIRECT("'"&amp;$E10&amp;"'!$A$27"))</f>
        <v/>
      </c>
      <c r="E10" s="303"/>
      <c r="F10" s="303"/>
      <c r="G10" s="341" t="str" cm="1">
        <f t="array" aca="1" ref="G10" ca="1">IF($E10="","",
IF($A$25="mm",INDIRECT("'"&amp;$E10&amp;"'!$AK$82"),INDIRECT("'"&amp;$E10&amp;"'!$AK$83")))</f>
        <v/>
      </c>
      <c r="H10" s="335"/>
      <c r="I10" s="335" t="str" cm="1">
        <f t="array" aca="1" ref="I10" ca="1">IF($E10="","",
IF($A$25="mm",INDIRECT("'"&amp;$E10&amp;"'!$AK$85"),INDIRECT("'"&amp;$E10&amp;"'!$AK$86")))</f>
        <v/>
      </c>
      <c r="J10" s="335"/>
      <c r="K10" s="335" t="str" cm="1">
        <f t="array" aca="1" ref="K10" ca="1">IF($E10="","",
IF($A$25="mm",INDIRECT("'"&amp;$E10&amp;"'!$AY$62"),INDIRECT("'"&amp;$E10&amp;"'!$AY$63")))</f>
        <v/>
      </c>
      <c r="L10" s="335"/>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37"/>
      <c r="B11" s="337"/>
      <c r="C11" s="337"/>
      <c r="D11" s="143" t="str" cm="1">
        <f t="array" aca="1" ref="D11" ca="1">IF($E11="","",INDIRECT("'"&amp;$E11&amp;"'!$A$27"))</f>
        <v/>
      </c>
      <c r="E11" s="303"/>
      <c r="F11" s="303"/>
      <c r="G11" s="338" t="str" cm="1">
        <f t="array" aca="1" ref="G11" ca="1">IF($E11="","",
IF($A$25="mm",INDIRECT("'"&amp;$E11&amp;"'!$AK$82"),INDIRECT("'"&amp;$E11&amp;"'!$AK$83")))</f>
        <v/>
      </c>
      <c r="H11" s="336"/>
      <c r="I11" s="336" t="str" cm="1">
        <f t="array" aca="1" ref="I11" ca="1">IF($E11="","",
IF($A$25="mm",INDIRECT("'"&amp;$E11&amp;"'!$AK$85"),INDIRECT("'"&amp;$E11&amp;"'!$AK$86")))</f>
        <v/>
      </c>
      <c r="J11" s="336"/>
      <c r="K11" s="336" t="str" cm="1">
        <f t="array" aca="1" ref="K11" ca="1">IF($E11="","",
IF($A$25="mm",INDIRECT("'"&amp;$E11&amp;"'!$AY$62"),INDIRECT("'"&amp;$E11&amp;"'!$AY$63")))</f>
        <v/>
      </c>
      <c r="L11" s="33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37"/>
      <c r="B12" s="337"/>
      <c r="C12" s="337"/>
      <c r="D12" s="143" t="str" cm="1">
        <f t="array" aca="1" ref="D12" ca="1">IF($E12="","",INDIRECT("'"&amp;$E12&amp;"'!$A$27"))</f>
        <v/>
      </c>
      <c r="E12" s="303"/>
      <c r="F12" s="303"/>
      <c r="G12" s="341" t="str" cm="1">
        <f t="array" aca="1" ref="G12" ca="1">IF($E12="","",
IF($A$25="mm",INDIRECT("'"&amp;$E12&amp;"'!$AK$82"),INDIRECT("'"&amp;$E12&amp;"'!$AK$83")))</f>
        <v/>
      </c>
      <c r="H12" s="335"/>
      <c r="I12" s="335" t="str" cm="1">
        <f t="array" aca="1" ref="I12" ca="1">IF($E12="","",
IF($A$25="mm",INDIRECT("'"&amp;$E12&amp;"'!$AK$85"),INDIRECT("'"&amp;$E12&amp;"'!$AK$86")))</f>
        <v/>
      </c>
      <c r="J12" s="335"/>
      <c r="K12" s="335" t="str" cm="1">
        <f t="array" aca="1" ref="K12" ca="1">IF($E12="","",
IF($A$25="mm",INDIRECT("'"&amp;$E12&amp;"'!$AY$62"),INDIRECT("'"&amp;$E12&amp;"'!$AY$63")))</f>
        <v/>
      </c>
      <c r="L12" s="335"/>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37"/>
      <c r="B13" s="337"/>
      <c r="C13" s="337"/>
      <c r="D13" s="143" t="str" cm="1">
        <f t="array" aca="1" ref="D13" ca="1">IF($E13="","",INDIRECT("'"&amp;$E13&amp;"'!$A$27"))</f>
        <v/>
      </c>
      <c r="E13" s="303"/>
      <c r="F13" s="303"/>
      <c r="G13" s="338" t="str" cm="1">
        <f t="array" aca="1" ref="G13" ca="1">IF($E13="","",
IF($A$25="mm",INDIRECT("'"&amp;$E13&amp;"'!$AK$82"),INDIRECT("'"&amp;$E13&amp;"'!$AK$83")))</f>
        <v/>
      </c>
      <c r="H13" s="336"/>
      <c r="I13" s="336" t="str" cm="1">
        <f t="array" aca="1" ref="I13" ca="1">IF($E13="","",
IF($A$25="mm",INDIRECT("'"&amp;$E13&amp;"'!$AK$85"),INDIRECT("'"&amp;$E13&amp;"'!$AK$86")))</f>
        <v/>
      </c>
      <c r="J13" s="336"/>
      <c r="K13" s="336" t="str" cm="1">
        <f t="array" aca="1" ref="K13" ca="1">IF($E13="","",
IF($A$25="mm",INDIRECT("'"&amp;$E13&amp;"'!$AY$62"),INDIRECT("'"&amp;$E13&amp;"'!$AY$63")))</f>
        <v/>
      </c>
      <c r="L13" s="33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37"/>
      <c r="B14" s="337"/>
      <c r="C14" s="337"/>
      <c r="D14" s="143" t="str" cm="1">
        <f t="array" aca="1" ref="D14" ca="1">IF($E14="","",INDIRECT("'"&amp;$E14&amp;"'!$A$27"))</f>
        <v/>
      </c>
      <c r="E14" s="303"/>
      <c r="F14" s="303"/>
      <c r="G14" s="341" t="str" cm="1">
        <f t="array" aca="1" ref="G14" ca="1">IF($E14="","",
IF($A$25="mm",INDIRECT("'"&amp;$E14&amp;"'!$AK$82"),INDIRECT("'"&amp;$E14&amp;"'!$AK$83")))</f>
        <v/>
      </c>
      <c r="H14" s="335"/>
      <c r="I14" s="335" t="str" cm="1">
        <f t="array" aca="1" ref="I14" ca="1">IF($E14="","",
IF($A$25="mm",INDIRECT("'"&amp;$E14&amp;"'!$AK$85"),INDIRECT("'"&amp;$E14&amp;"'!$AK$86")))</f>
        <v/>
      </c>
      <c r="J14" s="335"/>
      <c r="K14" s="335" t="str" cm="1">
        <f t="array" aca="1" ref="K14" ca="1">IF($E14="","",
IF($A$25="mm",INDIRECT("'"&amp;$E14&amp;"'!$AY$62"),INDIRECT("'"&amp;$E14&amp;"'!$AY$63")))</f>
        <v/>
      </c>
      <c r="L14" s="335"/>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37"/>
      <c r="B15" s="337"/>
      <c r="C15" s="337"/>
      <c r="D15" s="143" t="str" cm="1">
        <f t="array" aca="1" ref="D15" ca="1">IF($E15="","",INDIRECT("'"&amp;$E15&amp;"'!$A$27"))</f>
        <v/>
      </c>
      <c r="E15" s="303"/>
      <c r="F15" s="303"/>
      <c r="G15" s="338" t="str" cm="1">
        <f t="array" aca="1" ref="G15" ca="1">IF($E15="","",
IF($A$25="mm",INDIRECT("'"&amp;$E15&amp;"'!$AK$82"),INDIRECT("'"&amp;$E15&amp;"'!$AK$83")))</f>
        <v/>
      </c>
      <c r="H15" s="336"/>
      <c r="I15" s="336" t="str" cm="1">
        <f t="array" aca="1" ref="I15" ca="1">IF($E15="","",
IF($A$25="mm",INDIRECT("'"&amp;$E15&amp;"'!$AK$85"),INDIRECT("'"&amp;$E15&amp;"'!$AK$86")))</f>
        <v/>
      </c>
      <c r="J15" s="336"/>
      <c r="K15" s="336" t="str" cm="1">
        <f t="array" aca="1" ref="K15" ca="1">IF($E15="","",
IF($A$25="mm",INDIRECT("'"&amp;$E15&amp;"'!$AY$62"),INDIRECT("'"&amp;$E15&amp;"'!$AY$63")))</f>
        <v/>
      </c>
      <c r="L15" s="33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41" t="str" cm="1">
        <f t="array" aca="1" ref="G16" ca="1">IF($E16="","",
IF($A$25="mm",INDIRECT("'"&amp;$E16&amp;"'!$AK$82"),INDIRECT("'"&amp;$E16&amp;"'!$AK$83")))</f>
        <v/>
      </c>
      <c r="H16" s="335"/>
      <c r="I16" s="335" t="str" cm="1">
        <f t="array" aca="1" ref="I16" ca="1">IF($E16="","",
IF($A$25="mm",INDIRECT("'"&amp;$E16&amp;"'!$AK$85"),INDIRECT("'"&amp;$E16&amp;"'!$AK$86")))</f>
        <v/>
      </c>
      <c r="J16" s="335"/>
      <c r="K16" s="335" t="str" cm="1">
        <f t="array" aca="1" ref="K16" ca="1">IF($E16="","",
IF($A$25="mm",INDIRECT("'"&amp;$E16&amp;"'!$AY$62"),INDIRECT("'"&amp;$E16&amp;"'!$AY$63")))</f>
        <v/>
      </c>
      <c r="L16" s="335"/>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8" t="str" cm="1">
        <f t="array" aca="1" ref="G17" ca="1">IF($E17="","",
IF($A$25="mm",INDIRECT("'"&amp;$E17&amp;"'!$AK$82"),INDIRECT("'"&amp;$E17&amp;"'!$AK$83")))</f>
        <v/>
      </c>
      <c r="H17" s="336"/>
      <c r="I17" s="336" t="str" cm="1">
        <f t="array" aca="1" ref="I17" ca="1">IF($E17="","",
IF($A$25="mm",INDIRECT("'"&amp;$E17&amp;"'!$AK$85"),INDIRECT("'"&amp;$E17&amp;"'!$AK$86")))</f>
        <v/>
      </c>
      <c r="J17" s="336"/>
      <c r="K17" s="336" t="str" cm="1">
        <f t="array" aca="1" ref="K17" ca="1">IF($E17="","",
IF($A$25="mm",INDIRECT("'"&amp;$E17&amp;"'!$AY$62"),INDIRECT("'"&amp;$E17&amp;"'!$AY$63")))</f>
        <v/>
      </c>
      <c r="L17" s="33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05"/>
      <c r="B18" s="305"/>
      <c r="C18" s="305"/>
      <c r="D18" s="143" t="str" cm="1">
        <f t="array" aca="1" ref="D18" ca="1">IF($E18="","",INDIRECT("'"&amp;$E18&amp;"'!$A$27"))</f>
        <v/>
      </c>
      <c r="E18" s="303"/>
      <c r="F18" s="303"/>
      <c r="G18" s="341" t="str" cm="1">
        <f t="array" aca="1" ref="G18" ca="1">IF($E18="","",
IF($A$25="mm",INDIRECT("'"&amp;$E18&amp;"'!$AK$82"),INDIRECT("'"&amp;$E18&amp;"'!$AK$83")))</f>
        <v/>
      </c>
      <c r="H18" s="335"/>
      <c r="I18" s="335" t="str" cm="1">
        <f t="array" aca="1" ref="I18" ca="1">IF($E18="","",
IF($A$25="mm",INDIRECT("'"&amp;$E18&amp;"'!$AK$85"),INDIRECT("'"&amp;$E18&amp;"'!$AK$86")))</f>
        <v/>
      </c>
      <c r="J18" s="335"/>
      <c r="K18" s="335" t="str" cm="1">
        <f t="array" aca="1" ref="K18" ca="1">IF($E18="","",
IF($A$25="mm",INDIRECT("'"&amp;$E18&amp;"'!$AY$62"),INDIRECT("'"&amp;$E18&amp;"'!$AY$63")))</f>
        <v/>
      </c>
      <c r="L18" s="335"/>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05"/>
      <c r="B19" s="305"/>
      <c r="C19" s="305"/>
      <c r="D19" s="143" t="str" cm="1">
        <f t="array" aca="1" ref="D19" ca="1">IF($E19="","",INDIRECT("'"&amp;$E19&amp;"'!$A$27"))</f>
        <v/>
      </c>
      <c r="E19" s="303"/>
      <c r="F19" s="303"/>
      <c r="G19" s="338" t="str" cm="1">
        <f t="array" aca="1" ref="G19" ca="1">IF($E19="","",
IF($A$25="mm",INDIRECT("'"&amp;$E19&amp;"'!$AK$82"),INDIRECT("'"&amp;$E19&amp;"'!$AK$83")))</f>
        <v/>
      </c>
      <c r="H19" s="336"/>
      <c r="I19" s="336" t="str" cm="1">
        <f t="array" aca="1" ref="I19" ca="1">IF($E19="","",
IF($A$25="mm",INDIRECT("'"&amp;$E19&amp;"'!$AK$85"),INDIRECT("'"&amp;$E19&amp;"'!$AK$86")))</f>
        <v/>
      </c>
      <c r="J19" s="336"/>
      <c r="K19" s="336" t="str" cm="1">
        <f t="array" aca="1" ref="K19" ca="1">IF($E19="","",
IF($A$25="mm",INDIRECT("'"&amp;$E19&amp;"'!$AY$62"),INDIRECT("'"&amp;$E19&amp;"'!$AY$63")))</f>
        <v/>
      </c>
      <c r="L19" s="33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43" t="str">
        <f>'F.3.1-4 Tube Chassis'!$A$25</f>
        <v>Inch</v>
      </c>
      <c r="B25" s="343"/>
      <c r="C25" s="34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43"/>
      <c r="B26" s="343"/>
      <c r="C26" s="34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4"/>
      <c r="BT33" s="344"/>
      <c r="BU33" s="34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45" t="s">
        <v>626</v>
      </c>
      <c r="M47" s="345"/>
      <c r="N47" s="345"/>
      <c r="O47" s="345"/>
      <c r="P47" s="345"/>
      <c r="Q47" s="345"/>
      <c r="R47" s="345"/>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5"/>
      <c r="BK47" s="345"/>
      <c r="BL47" s="345"/>
      <c r="BM47" s="345"/>
      <c r="BN47" s="345"/>
      <c r="BO47" s="345"/>
      <c r="BP47" s="345"/>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5"/>
      <c r="DI47" s="345"/>
      <c r="DJ47" s="345"/>
      <c r="DK47" s="345"/>
      <c r="DL47" s="345"/>
      <c r="DM47" s="345"/>
      <c r="DN47" s="345"/>
      <c r="DO47" s="42"/>
      <c r="DP47" s="41"/>
    </row>
    <row r="48" spans="1:120" ht="15" customHeight="1" x14ac:dyDescent="0.3">
      <c r="A48" s="42"/>
      <c r="B48" s="42"/>
      <c r="C48" s="42"/>
      <c r="D48" s="42"/>
      <c r="E48" s="42"/>
      <c r="F48" s="42"/>
      <c r="G48" s="42"/>
      <c r="H48" s="42"/>
      <c r="I48" s="42"/>
      <c r="J48" s="41"/>
      <c r="K48" s="42"/>
      <c r="L48" s="345"/>
      <c r="M48" s="345"/>
      <c r="N48" s="345"/>
      <c r="O48" s="345"/>
      <c r="P48" s="345"/>
      <c r="Q48" s="345"/>
      <c r="R48" s="345"/>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5"/>
      <c r="BK48" s="345"/>
      <c r="BL48" s="345"/>
      <c r="BM48" s="345"/>
      <c r="BN48" s="345"/>
      <c r="BO48" s="345"/>
      <c r="BP48" s="345"/>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5"/>
      <c r="DI48" s="345"/>
      <c r="DJ48" s="345"/>
      <c r="DK48" s="345"/>
      <c r="DL48" s="345"/>
      <c r="DM48" s="345"/>
      <c r="DN48" s="345"/>
      <c r="DO48" s="42"/>
      <c r="DP48" s="41"/>
    </row>
    <row r="49" spans="1:129" ht="15" customHeight="1" x14ac:dyDescent="0.3">
      <c r="A49" s="42"/>
      <c r="B49" s="42"/>
      <c r="C49" s="42"/>
      <c r="D49" s="42"/>
      <c r="E49" s="42"/>
      <c r="F49" s="42"/>
      <c r="G49" s="42"/>
      <c r="H49" s="42"/>
      <c r="I49" s="42"/>
      <c r="J49" s="41"/>
      <c r="K49" s="42"/>
      <c r="L49" s="345" t="s">
        <v>627</v>
      </c>
      <c r="M49" s="345"/>
      <c r="N49" s="345"/>
      <c r="O49" s="345"/>
      <c r="P49" s="345"/>
      <c r="Q49" s="345"/>
      <c r="R49" s="345"/>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5"/>
      <c r="BK49" s="345"/>
      <c r="BL49" s="345"/>
      <c r="BM49" s="345"/>
      <c r="BN49" s="345"/>
      <c r="BO49" s="345"/>
      <c r="BP49" s="345"/>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5"/>
      <c r="DI49" s="345"/>
      <c r="DJ49" s="345"/>
      <c r="DK49" s="345"/>
      <c r="DL49" s="345"/>
      <c r="DM49" s="345"/>
      <c r="DN49" s="345"/>
      <c r="DO49" s="42"/>
      <c r="DP49" s="41"/>
    </row>
    <row r="50" spans="1:129" ht="15" customHeight="1" x14ac:dyDescent="0.3">
      <c r="A50" s="42"/>
      <c r="B50" s="42"/>
      <c r="C50" s="42"/>
      <c r="D50" s="42"/>
      <c r="E50" s="42"/>
      <c r="F50" s="42"/>
      <c r="G50" s="42"/>
      <c r="H50" s="42"/>
      <c r="I50" s="42"/>
      <c r="J50" s="45"/>
      <c r="K50" s="42"/>
      <c r="L50" s="345"/>
      <c r="M50" s="345"/>
      <c r="N50" s="345"/>
      <c r="O50" s="345"/>
      <c r="P50" s="345"/>
      <c r="Q50" s="345"/>
      <c r="R50" s="345"/>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5"/>
      <c r="BK50" s="345"/>
      <c r="BL50" s="345"/>
      <c r="BM50" s="345"/>
      <c r="BN50" s="345"/>
      <c r="BO50" s="345"/>
      <c r="BP50" s="345"/>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5"/>
      <c r="DI50" s="345"/>
      <c r="DJ50" s="345"/>
      <c r="DK50" s="345"/>
      <c r="DL50" s="345"/>
      <c r="DM50" s="345"/>
      <c r="DN50" s="345"/>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46" t="s">
        <v>620</v>
      </c>
      <c r="V53" s="346"/>
      <c r="W53" s="346"/>
      <c r="X53" s="346"/>
      <c r="Y53" s="346"/>
      <c r="Z53" s="346"/>
      <c r="AA53" s="346"/>
      <c r="AB53" s="346"/>
      <c r="AC53" s="346"/>
      <c r="AD53" s="41"/>
      <c r="AE53" s="346" t="s">
        <v>620</v>
      </c>
      <c r="AF53" s="346"/>
      <c r="AG53" s="346"/>
      <c r="AH53" s="346"/>
      <c r="AI53" s="346"/>
      <c r="AJ53" s="346"/>
      <c r="AK53" s="346"/>
      <c r="AL53" s="346"/>
      <c r="AM53" s="346"/>
      <c r="AN53" s="41"/>
      <c r="AO53" s="346" t="s">
        <v>620</v>
      </c>
      <c r="AP53" s="346"/>
      <c r="AQ53" s="346"/>
      <c r="AR53" s="346"/>
      <c r="AS53" s="346"/>
      <c r="AT53" s="346"/>
      <c r="AU53" s="346"/>
      <c r="AV53" s="346"/>
      <c r="AW53" s="346"/>
      <c r="AX53" s="41"/>
      <c r="AY53" s="346" t="s">
        <v>620</v>
      </c>
      <c r="AZ53" s="346"/>
      <c r="BA53" s="346"/>
      <c r="BB53" s="346"/>
      <c r="BC53" s="346"/>
      <c r="BD53" s="346"/>
      <c r="BE53" s="346"/>
      <c r="BF53" s="346"/>
      <c r="BG53" s="346"/>
      <c r="BH53" s="41"/>
      <c r="BI53" s="346" t="s">
        <v>620</v>
      </c>
      <c r="BJ53" s="346"/>
      <c r="BK53" s="346"/>
      <c r="BL53" s="346"/>
      <c r="BM53" s="346"/>
      <c r="BN53" s="346"/>
      <c r="BO53" s="346"/>
      <c r="BP53" s="346"/>
      <c r="BQ53" s="346"/>
      <c r="BR53" s="41"/>
      <c r="BS53" s="346" t="s">
        <v>620</v>
      </c>
      <c r="BT53" s="346"/>
      <c r="BU53" s="346"/>
      <c r="BV53" s="346"/>
      <c r="BW53" s="346"/>
      <c r="BX53" s="346"/>
      <c r="BY53" s="346"/>
      <c r="BZ53" s="346"/>
      <c r="CA53" s="346"/>
      <c r="CB53" s="41"/>
      <c r="CC53" s="346" t="s">
        <v>620</v>
      </c>
      <c r="CD53" s="346"/>
      <c r="CE53" s="346"/>
      <c r="CF53" s="346"/>
      <c r="CG53" s="346"/>
      <c r="CH53" s="346"/>
      <c r="CI53" s="346"/>
      <c r="CJ53" s="346"/>
      <c r="CK53" s="346"/>
      <c r="CL53" s="41"/>
      <c r="CM53" s="346" t="s">
        <v>620</v>
      </c>
      <c r="CN53" s="346"/>
      <c r="CO53" s="346"/>
      <c r="CP53" s="346"/>
      <c r="CQ53" s="346"/>
      <c r="CR53" s="346"/>
      <c r="CS53" s="346"/>
      <c r="CT53" s="346"/>
      <c r="CU53" s="346"/>
      <c r="CV53" s="41"/>
      <c r="CW53" s="346" t="s">
        <v>620</v>
      </c>
      <c r="CX53" s="346"/>
      <c r="CY53" s="346"/>
      <c r="CZ53" s="346"/>
      <c r="DA53" s="346"/>
      <c r="DB53" s="346"/>
      <c r="DC53" s="346"/>
      <c r="DD53" s="346"/>
      <c r="DE53" s="346"/>
      <c r="DF53" s="41"/>
      <c r="DG53" s="346" t="s">
        <v>620</v>
      </c>
      <c r="DH53" s="346"/>
      <c r="DI53" s="346"/>
      <c r="DJ53" s="346"/>
      <c r="DK53" s="346"/>
      <c r="DL53" s="346"/>
      <c r="DM53" s="346"/>
      <c r="DN53" s="346"/>
      <c r="DO53" s="34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47" t="s">
        <v>206</v>
      </c>
      <c r="B55" s="347"/>
      <c r="C55" s="347"/>
      <c r="D55" s="347"/>
      <c r="E55" s="347"/>
      <c r="F55" s="347"/>
      <c r="G55" s="347"/>
      <c r="H55" s="347"/>
      <c r="I55" s="347"/>
      <c r="J55" s="41"/>
      <c r="K55" s="347" t="s">
        <v>206</v>
      </c>
      <c r="L55" s="347"/>
      <c r="M55" s="347"/>
      <c r="N55" s="347"/>
      <c r="O55" s="347"/>
      <c r="P55" s="347"/>
      <c r="Q55" s="347"/>
      <c r="R55" s="347"/>
      <c r="S55" s="347"/>
      <c r="T55" s="41"/>
      <c r="U55" s="347" t="s">
        <v>206</v>
      </c>
      <c r="V55" s="347"/>
      <c r="W55" s="347"/>
      <c r="X55" s="347"/>
      <c r="Y55" s="347"/>
      <c r="Z55" s="347"/>
      <c r="AA55" s="347"/>
      <c r="AB55" s="347"/>
      <c r="AC55" s="347"/>
      <c r="AD55" s="41"/>
      <c r="AE55" s="347" t="s">
        <v>206</v>
      </c>
      <c r="AF55" s="347"/>
      <c r="AG55" s="347"/>
      <c r="AH55" s="347"/>
      <c r="AI55" s="347"/>
      <c r="AJ55" s="347"/>
      <c r="AK55" s="347"/>
      <c r="AL55" s="347"/>
      <c r="AM55" s="347"/>
      <c r="AN55" s="41"/>
      <c r="AO55" s="347" t="s">
        <v>206</v>
      </c>
      <c r="AP55" s="347"/>
      <c r="AQ55" s="347"/>
      <c r="AR55" s="347"/>
      <c r="AS55" s="347"/>
      <c r="AT55" s="347"/>
      <c r="AU55" s="347"/>
      <c r="AV55" s="347"/>
      <c r="AW55" s="347"/>
      <c r="AX55" s="41"/>
      <c r="AY55" s="347" t="s">
        <v>206</v>
      </c>
      <c r="AZ55" s="347"/>
      <c r="BA55" s="347"/>
      <c r="BB55" s="347"/>
      <c r="BC55" s="347"/>
      <c r="BD55" s="347"/>
      <c r="BE55" s="347"/>
      <c r="BF55" s="347"/>
      <c r="BG55" s="347"/>
      <c r="BH55" s="41"/>
      <c r="BI55" s="347" t="s">
        <v>206</v>
      </c>
      <c r="BJ55" s="347"/>
      <c r="BK55" s="347"/>
      <c r="BL55" s="347"/>
      <c r="BM55" s="347"/>
      <c r="BN55" s="347"/>
      <c r="BO55" s="347"/>
      <c r="BP55" s="347"/>
      <c r="BQ55" s="347"/>
      <c r="BR55" s="41"/>
      <c r="BS55" s="347" t="s">
        <v>206</v>
      </c>
      <c r="BT55" s="347"/>
      <c r="BU55" s="347"/>
      <c r="BV55" s="347"/>
      <c r="BW55" s="347"/>
      <c r="BX55" s="347"/>
      <c r="BY55" s="347"/>
      <c r="BZ55" s="347"/>
      <c r="CA55" s="347"/>
      <c r="CB55" s="41"/>
      <c r="CC55" s="347" t="s">
        <v>206</v>
      </c>
      <c r="CD55" s="347"/>
      <c r="CE55" s="347"/>
      <c r="CF55" s="347"/>
      <c r="CG55" s="347"/>
      <c r="CH55" s="347"/>
      <c r="CI55" s="347"/>
      <c r="CJ55" s="347"/>
      <c r="CK55" s="347"/>
      <c r="CL55" s="41"/>
      <c r="CM55" s="347" t="s">
        <v>206</v>
      </c>
      <c r="CN55" s="347"/>
      <c r="CO55" s="347"/>
      <c r="CP55" s="347"/>
      <c r="CQ55" s="347"/>
      <c r="CR55" s="347"/>
      <c r="CS55" s="347"/>
      <c r="CT55" s="347"/>
      <c r="CU55" s="347"/>
      <c r="CV55" s="41"/>
      <c r="CW55" s="347" t="s">
        <v>206</v>
      </c>
      <c r="CX55" s="347"/>
      <c r="CY55" s="347"/>
      <c r="CZ55" s="347"/>
      <c r="DA55" s="347"/>
      <c r="DB55" s="347"/>
      <c r="DC55" s="347"/>
      <c r="DD55" s="347"/>
      <c r="DE55" s="347"/>
      <c r="DF55" s="41"/>
      <c r="DG55" s="347" t="s">
        <v>206</v>
      </c>
      <c r="DH55" s="347"/>
      <c r="DI55" s="347"/>
      <c r="DJ55" s="347"/>
      <c r="DK55" s="347"/>
      <c r="DL55" s="347"/>
      <c r="DM55" s="347"/>
      <c r="DN55" s="347"/>
      <c r="DO55" s="347"/>
      <c r="DP55" s="41"/>
    </row>
    <row r="56" spans="1:129" ht="15" customHeight="1" x14ac:dyDescent="0.3">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x14ac:dyDescent="0.3">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49" t="s">
        <v>633</v>
      </c>
      <c r="V59" s="349"/>
      <c r="W59" s="349"/>
      <c r="X59" s="349"/>
      <c r="Y59" s="349"/>
      <c r="Z59" s="349"/>
      <c r="AA59" s="349"/>
      <c r="AB59" s="349"/>
      <c r="AC59" s="349"/>
      <c r="AE59" s="349" t="s">
        <v>633</v>
      </c>
      <c r="AF59" s="349"/>
      <c r="AG59" s="349"/>
      <c r="AH59" s="349"/>
      <c r="AI59" s="349"/>
      <c r="AJ59" s="349"/>
      <c r="AK59" s="349"/>
      <c r="AL59" s="349"/>
      <c r="AM59" s="349"/>
      <c r="AO59" s="349" t="s">
        <v>633</v>
      </c>
      <c r="AP59" s="349"/>
      <c r="AQ59" s="349"/>
      <c r="AR59" s="349"/>
      <c r="AS59" s="349"/>
      <c r="AT59" s="349"/>
      <c r="AU59" s="349"/>
      <c r="AV59" s="349"/>
      <c r="AW59" s="349"/>
      <c r="AY59" s="349" t="s">
        <v>633</v>
      </c>
      <c r="AZ59" s="349"/>
      <c r="BA59" s="349"/>
      <c r="BB59" s="349"/>
      <c r="BC59" s="349"/>
      <c r="BD59" s="349"/>
      <c r="BE59" s="349"/>
      <c r="BF59" s="349"/>
      <c r="BG59" s="349"/>
      <c r="BI59" s="349" t="s">
        <v>633</v>
      </c>
      <c r="BJ59" s="349"/>
      <c r="BK59" s="349"/>
      <c r="BL59" s="349"/>
      <c r="BM59" s="349"/>
      <c r="BN59" s="349"/>
      <c r="BO59" s="349"/>
      <c r="BP59" s="349"/>
      <c r="BQ59" s="349"/>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48" t="s">
        <v>636</v>
      </c>
      <c r="L60" s="348"/>
      <c r="M60" s="348"/>
      <c r="N60" s="348"/>
      <c r="O60" s="348"/>
      <c r="P60" s="348"/>
      <c r="Q60" s="348"/>
      <c r="R60" s="348"/>
      <c r="S60" s="348"/>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48"/>
      <c r="L61" s="348"/>
      <c r="M61" s="348"/>
      <c r="N61" s="348"/>
      <c r="O61" s="348"/>
      <c r="P61" s="348"/>
      <c r="Q61" s="348"/>
      <c r="R61" s="348"/>
      <c r="S61" s="348"/>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50"/>
      <c r="CA61" s="11" t="str">
        <f>IF(BY61="","BLANK","EQ")</f>
        <v>BLANK</v>
      </c>
      <c r="CC61" s="11"/>
      <c r="CD61" s="11"/>
      <c r="CE61" s="11"/>
      <c r="CF61" s="11"/>
      <c r="CG61" s="12"/>
      <c r="CH61" s="32" t="s">
        <v>638</v>
      </c>
      <c r="CI61" s="296"/>
      <c r="CJ61" s="350"/>
      <c r="CK61" s="11" t="str">
        <f>IF(CI61="","BLANK","EQ")</f>
        <v>BLANK</v>
      </c>
      <c r="CM61" s="11"/>
      <c r="CN61" s="11"/>
      <c r="CO61" s="11"/>
      <c r="CP61" s="11"/>
      <c r="CQ61" s="12"/>
      <c r="CR61" s="32" t="s">
        <v>638</v>
      </c>
      <c r="CS61" s="296"/>
      <c r="CT61" s="350"/>
      <c r="CU61" s="11" t="str">
        <f>IF(CS61="","BLANK","EQ")</f>
        <v>BLANK</v>
      </c>
      <c r="CW61" s="11"/>
      <c r="CX61" s="11"/>
      <c r="CY61" s="11"/>
      <c r="CZ61" s="11"/>
      <c r="DA61" s="12"/>
      <c r="DB61" s="32" t="s">
        <v>638</v>
      </c>
      <c r="DC61" s="296"/>
      <c r="DD61" s="350"/>
      <c r="DE61" s="11" t="str">
        <f>IF(DC61="","BLANK","EQ")</f>
        <v>BLANK</v>
      </c>
      <c r="DG61" s="11"/>
      <c r="DH61" s="11"/>
      <c r="DI61" s="11"/>
      <c r="DJ61" s="11"/>
      <c r="DK61" s="12"/>
      <c r="DL61" s="32" t="s">
        <v>638</v>
      </c>
      <c r="DM61" s="296"/>
      <c r="DN61" s="350"/>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51"/>
      <c r="BZ64" s="352"/>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51"/>
      <c r="CJ64" s="352"/>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51"/>
      <c r="CT64" s="352"/>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51"/>
      <c r="DD64" s="352"/>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51"/>
      <c r="DN64" s="352"/>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6"/>
      <c r="H65" s="297"/>
      <c r="I65" s="11" t="str">
        <f t="shared" ref="I65:I70" si="2">IF(G65="","BLANK","EQ")</f>
        <v>BLANK</v>
      </c>
      <c r="J65" s="36"/>
      <c r="K65" s="12" t="s">
        <v>649</v>
      </c>
      <c r="L65" s="296"/>
      <c r="M65" s="310"/>
      <c r="N65" s="310"/>
      <c r="O65" s="310"/>
      <c r="P65" s="310"/>
      <c r="Q65" s="310"/>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9" t="s">
        <v>651</v>
      </c>
      <c r="BV65" s="329"/>
      <c r="BW65" s="329"/>
      <c r="BX65" s="329"/>
      <c r="BY65" s="26" t="e">
        <f>INDEX($G$3:$G$19,MATCH(BY64,$E$3:$E$19,0))</f>
        <v>#N/A</v>
      </c>
      <c r="BZ65" s="25" t="str">
        <f>IF($A$25="mm","Pa","psi")</f>
        <v>psi</v>
      </c>
      <c r="CA65" s="11" t="str">
        <f>IF(CA64="N/A","N/A","EQ")</f>
        <v>N/A</v>
      </c>
      <c r="CD65" s="12"/>
      <c r="CE65" s="329" t="s">
        <v>651</v>
      </c>
      <c r="CF65" s="329"/>
      <c r="CG65" s="329"/>
      <c r="CH65" s="329"/>
      <c r="CI65" s="26" t="e">
        <f>INDEX($G$3:$G$19,MATCH(CI64,$E$3:$E$19,0))</f>
        <v>#N/A</v>
      </c>
      <c r="CJ65" s="25" t="str">
        <f>IF($A$25="mm","Pa","psi")</f>
        <v>psi</v>
      </c>
      <c r="CK65" s="11" t="str">
        <f>IF(CK64="N/A","N/A","EQ")</f>
        <v>N/A</v>
      </c>
      <c r="CN65" s="12"/>
      <c r="CO65" s="329" t="s">
        <v>651</v>
      </c>
      <c r="CP65" s="329"/>
      <c r="CQ65" s="329"/>
      <c r="CR65" s="329"/>
      <c r="CS65" s="26" t="e">
        <f>INDEX($G$3:$G$19,MATCH(CS64,$E$3:$E$19,0))</f>
        <v>#N/A</v>
      </c>
      <c r="CT65" s="25" t="str">
        <f>IF($A$25="mm","Pa","psi")</f>
        <v>psi</v>
      </c>
      <c r="CU65" s="11" t="str">
        <f>IF(CU64="N/A","N/A","EQ")</f>
        <v>N/A</v>
      </c>
      <c r="CX65" s="12"/>
      <c r="CY65" s="329" t="s">
        <v>651</v>
      </c>
      <c r="CZ65" s="329"/>
      <c r="DA65" s="329"/>
      <c r="DB65" s="329"/>
      <c r="DC65" s="26" t="e">
        <f>INDEX($G$3:$G$19,MATCH(DC64,$E$3:$E$19,0))</f>
        <v>#N/A</v>
      </c>
      <c r="DD65" s="25" t="str">
        <f>IF($A$25="mm","Pa","psi")</f>
        <v>psi</v>
      </c>
      <c r="DE65" s="11" t="str">
        <f>IF(DE64="N/A","N/A","EQ")</f>
        <v>N/A</v>
      </c>
      <c r="DH65" s="12"/>
      <c r="DI65" s="329" t="s">
        <v>651</v>
      </c>
      <c r="DJ65" s="329"/>
      <c r="DK65" s="329"/>
      <c r="DL65" s="329"/>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51"/>
      <c r="AB66" s="352"/>
      <c r="AC66" s="11" t="str">
        <f>IF(AND(AA65&gt;0,AA100="Welded",ISNUMBER(SEARCH("Unwelded",AA66))),"REJECT","EQ")</f>
        <v>EQ</v>
      </c>
      <c r="AE66" s="25"/>
      <c r="AF66" s="25"/>
      <c r="AJ66" s="15" t="s">
        <v>655</v>
      </c>
      <c r="AK66" s="351"/>
      <c r="AL66" s="352"/>
      <c r="AM66" s="11" t="str">
        <f>IF(AND(AK65&gt;0,AK100="Welded",ISNUMBER(SEARCH("Unwelded",AK66))),"REJECT","EQ")</f>
        <v>EQ</v>
      </c>
      <c r="AN66" s="36"/>
      <c r="AT66" s="15" t="s">
        <v>655</v>
      </c>
      <c r="AU66" s="351"/>
      <c r="AV66" s="352"/>
      <c r="AW66" s="11" t="str">
        <f>IF(AND(AU65&gt;0,AU100="Welded",ISNUMBER(SEARCH("Unwelded",AU66))),"REJECT","EQ")</f>
        <v>EQ</v>
      </c>
      <c r="BD66" s="15" t="s">
        <v>655</v>
      </c>
      <c r="BE66" s="351"/>
      <c r="BF66" s="352"/>
      <c r="BG66" s="11" t="str">
        <f>IF(AND(BE65&gt;0,BE100="Welded",ISNUMBER(SEARCH("Unwelded",BE66))),"REJECT","EQ")</f>
        <v>EQ</v>
      </c>
      <c r="BH66" s="36"/>
      <c r="BN66" s="15" t="s">
        <v>655</v>
      </c>
      <c r="BO66" s="351"/>
      <c r="BP66" s="352"/>
      <c r="BQ66" s="11" t="str">
        <f>IF(OR($L$23&lt;40*IF($A$25="mm",1,2.2046),AND($U$22="Corner Attachment",NOT($U$24="None"))),"N/A",IF(AND(BO65&gt;0,BO100="Welded",ISNUMBER(SEARCH("Unwelded",BO66))),"REJECT","EQ"))</f>
        <v>N/A</v>
      </c>
      <c r="BS66" s="168"/>
      <c r="BT66" s="329" t="s">
        <v>656</v>
      </c>
      <c r="BU66" s="329"/>
      <c r="BV66" s="329"/>
      <c r="BW66" s="329"/>
      <c r="BX66" s="329"/>
      <c r="BY66" s="26" t="e">
        <f>INDEX($I$3:$I$19,MATCH(BY64,$E$3:$E$19,0))</f>
        <v>#N/A</v>
      </c>
      <c r="BZ66" s="25" t="str">
        <f>IF($A$25="mm","Pa","psi")</f>
        <v>psi</v>
      </c>
      <c r="CA66" s="11" t="str">
        <f>IF(CA64="N/A","N/A","EQ")</f>
        <v>N/A</v>
      </c>
      <c r="CC66" s="168"/>
      <c r="CD66" s="329" t="s">
        <v>656</v>
      </c>
      <c r="CE66" s="329"/>
      <c r="CF66" s="329"/>
      <c r="CG66" s="329"/>
      <c r="CH66" s="329"/>
      <c r="CI66" s="26" t="e">
        <f>INDEX($I$3:$I$19,MATCH(CI64,$E$3:$E$19,0))</f>
        <v>#N/A</v>
      </c>
      <c r="CJ66" s="25" t="str">
        <f>IF($A$25="mm","Pa","psi")</f>
        <v>psi</v>
      </c>
      <c r="CK66" s="11" t="str">
        <f>IF(CK64="N/A","N/A","EQ")</f>
        <v>N/A</v>
      </c>
      <c r="CM66" s="168"/>
      <c r="CN66" s="329" t="s">
        <v>656</v>
      </c>
      <c r="CO66" s="329"/>
      <c r="CP66" s="329"/>
      <c r="CQ66" s="329"/>
      <c r="CR66" s="329"/>
      <c r="CS66" s="26" t="e">
        <f>INDEX($I$3:$I$19,MATCH(CS64,$E$3:$E$19,0))</f>
        <v>#N/A</v>
      </c>
      <c r="CT66" s="25" t="str">
        <f>IF($A$25="mm","Pa","psi")</f>
        <v>psi</v>
      </c>
      <c r="CU66" s="11" t="str">
        <f>IF(CU64="N/A","N/A","EQ")</f>
        <v>N/A</v>
      </c>
      <c r="CW66" s="168"/>
      <c r="CX66" s="329" t="s">
        <v>656</v>
      </c>
      <c r="CY66" s="329"/>
      <c r="CZ66" s="329"/>
      <c r="DA66" s="329"/>
      <c r="DB66" s="329"/>
      <c r="DC66" s="26" t="e">
        <f>INDEX($I$3:$I$19,MATCH(DC64,$E$3:$E$19,0))</f>
        <v>#N/A</v>
      </c>
      <c r="DD66" s="25" t="str">
        <f>IF($A$25="mm","Pa","psi")</f>
        <v>psi</v>
      </c>
      <c r="DE66" s="11" t="str">
        <f>IF(DE64="N/A","N/A","EQ")</f>
        <v>N/A</v>
      </c>
      <c r="DG66" s="168"/>
      <c r="DH66" s="329" t="s">
        <v>656</v>
      </c>
      <c r="DI66" s="329"/>
      <c r="DJ66" s="329"/>
      <c r="DK66" s="329"/>
      <c r="DL66" s="329"/>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29" t="s">
        <v>651</v>
      </c>
      <c r="X67" s="329"/>
      <c r="Y67" s="329"/>
      <c r="Z67" s="329"/>
      <c r="AA67" s="26" t="e">
        <f>INDEX($G$3:$G$19,MATCH(AA66,$E$3:$E$19,0))</f>
        <v>#N/A</v>
      </c>
      <c r="AB67" s="25" t="str">
        <f>IF($A$25="mm","Pa","psi")</f>
        <v>psi</v>
      </c>
      <c r="AC67" s="11" t="s">
        <v>56</v>
      </c>
      <c r="AE67" s="25"/>
      <c r="AF67" s="12"/>
      <c r="AG67" s="329" t="s">
        <v>651</v>
      </c>
      <c r="AH67" s="329"/>
      <c r="AI67" s="329"/>
      <c r="AJ67" s="329"/>
      <c r="AK67" s="26" t="e">
        <f>INDEX($G$3:$G$19,MATCH(AK66,$E$3:$E$19,0))</f>
        <v>#N/A</v>
      </c>
      <c r="AL67" s="25" t="str">
        <f>IF($A$25="mm","Pa","psi")</f>
        <v>psi</v>
      </c>
      <c r="AM67" s="11" t="s">
        <v>56</v>
      </c>
      <c r="AN67" s="36"/>
      <c r="AP67" s="12"/>
      <c r="AQ67" s="329" t="s">
        <v>651</v>
      </c>
      <c r="AR67" s="329"/>
      <c r="AS67" s="329"/>
      <c r="AT67" s="329"/>
      <c r="AU67" s="26" t="e">
        <f>INDEX($G$3:$G$19,MATCH(AU66,$E$3:$E$19,0))</f>
        <v>#N/A</v>
      </c>
      <c r="AV67" s="25" t="str">
        <f>IF($A$25="mm","Pa","psi")</f>
        <v>psi</v>
      </c>
      <c r="AW67" s="11" t="s">
        <v>56</v>
      </c>
      <c r="AZ67" s="12"/>
      <c r="BA67" s="329" t="s">
        <v>651</v>
      </c>
      <c r="BB67" s="329"/>
      <c r="BC67" s="329"/>
      <c r="BD67" s="329"/>
      <c r="BE67" s="26" t="e">
        <f>INDEX($G$3:$G$19,MATCH(BE66,$E$3:$E$19,0))</f>
        <v>#N/A</v>
      </c>
      <c r="BF67" s="25" t="str">
        <f>IF($A$25="mm","Pa","psi")</f>
        <v>psi</v>
      </c>
      <c r="BG67" s="11" t="s">
        <v>56</v>
      </c>
      <c r="BH67" s="36"/>
      <c r="BJ67" s="12"/>
      <c r="BK67" s="329" t="s">
        <v>651</v>
      </c>
      <c r="BL67" s="329"/>
      <c r="BM67" s="329"/>
      <c r="BN67" s="329"/>
      <c r="BO67" s="26" t="e">
        <f>INDEX($G$3:$G$19,MATCH(BO66,$E$3:$E$19,0))</f>
        <v>#N/A</v>
      </c>
      <c r="BP67" s="25" t="str">
        <f>IF($A$25="mm","Pa","psi")</f>
        <v>psi</v>
      </c>
      <c r="BQ67" s="11" t="str">
        <f>IF(OR($L$23&lt;40*IF($A$25="mm",1,2.2046),AND($U$22="Corner Attachment",NOT($U$24="None"))),"N/A","EQ")</f>
        <v>N/A</v>
      </c>
      <c r="BS67" s="35"/>
      <c r="BT67" s="124"/>
      <c r="BU67" s="329" t="s">
        <v>659</v>
      </c>
      <c r="BV67" s="329"/>
      <c r="BW67" s="329"/>
      <c r="BX67" s="329"/>
      <c r="BY67" s="26" t="e">
        <f>INDEX($K$3:$K$19,MATCH(BY64,$E$3:$E$19,0))</f>
        <v>#N/A</v>
      </c>
      <c r="BZ67" s="25" t="str">
        <f>IF($A$25="mm","Pa","psi")</f>
        <v>psi</v>
      </c>
      <c r="CA67" s="11" t="str">
        <f>IF(CA64="N/A","N/A","EQ")</f>
        <v>N/A</v>
      </c>
      <c r="CC67" s="35"/>
      <c r="CD67" s="124"/>
      <c r="CE67" s="329" t="s">
        <v>659</v>
      </c>
      <c r="CF67" s="329"/>
      <c r="CG67" s="329"/>
      <c r="CH67" s="329"/>
      <c r="CI67" s="26" t="e">
        <f>INDEX($K$3:$K$19,MATCH(CI64,$E$3:$E$19,0))</f>
        <v>#N/A</v>
      </c>
      <c r="CJ67" s="25" t="str">
        <f>IF($A$25="mm","Pa","psi")</f>
        <v>psi</v>
      </c>
      <c r="CK67" s="11" t="str">
        <f>IF(CK64="N/A","N/A","EQ")</f>
        <v>N/A</v>
      </c>
      <c r="CM67" s="35"/>
      <c r="CN67" s="124"/>
      <c r="CO67" s="329" t="s">
        <v>659</v>
      </c>
      <c r="CP67" s="329"/>
      <c r="CQ67" s="329"/>
      <c r="CR67" s="329"/>
      <c r="CS67" s="26" t="e">
        <f>INDEX($K$3:$K$19,MATCH(CS64,$E$3:$E$19,0))</f>
        <v>#N/A</v>
      </c>
      <c r="CT67" s="25" t="str">
        <f>IF($A$25="mm","Pa","psi")</f>
        <v>psi</v>
      </c>
      <c r="CU67" s="11" t="str">
        <f>IF(CU64="N/A","N/A","EQ")</f>
        <v>N/A</v>
      </c>
      <c r="CW67" s="35"/>
      <c r="CX67" s="124"/>
      <c r="CY67" s="329" t="s">
        <v>659</v>
      </c>
      <c r="CZ67" s="329"/>
      <c r="DA67" s="329"/>
      <c r="DB67" s="329"/>
      <c r="DC67" s="26" t="e">
        <f>INDEX($K$3:$K$19,MATCH(DC64,$E$3:$E$19,0))</f>
        <v>#N/A</v>
      </c>
      <c r="DD67" s="25" t="str">
        <f>IF($A$25="mm","Pa","psi")</f>
        <v>psi</v>
      </c>
      <c r="DE67" s="11" t="str">
        <f>IF(DE64="N/A","N/A","EQ")</f>
        <v>N/A</v>
      </c>
      <c r="DG67" s="35"/>
      <c r="DH67" s="124"/>
      <c r="DI67" s="329" t="s">
        <v>659</v>
      </c>
      <c r="DJ67" s="329"/>
      <c r="DK67" s="329"/>
      <c r="DL67" s="329"/>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9" t="s">
        <v>656</v>
      </c>
      <c r="W68" s="329"/>
      <c r="X68" s="329"/>
      <c r="Y68" s="329"/>
      <c r="Z68" s="329"/>
      <c r="AA68" s="26" t="e">
        <f>INDEX($I$3:$I$19,MATCH(AA66,$E$3:$E$19,0))</f>
        <v>#N/A</v>
      </c>
      <c r="AB68" s="25" t="str">
        <f>IF($A$25="mm","Pa","psi")</f>
        <v>psi</v>
      </c>
      <c r="AC68" s="11" t="s">
        <v>56</v>
      </c>
      <c r="AE68" s="168"/>
      <c r="AF68" s="329" t="s">
        <v>656</v>
      </c>
      <c r="AG68" s="329"/>
      <c r="AH68" s="329"/>
      <c r="AI68" s="329"/>
      <c r="AJ68" s="329"/>
      <c r="AK68" s="26" t="e">
        <f>INDEX($I$3:$I$19,MATCH(AK66,$E$3:$E$19,0))</f>
        <v>#N/A</v>
      </c>
      <c r="AL68" s="25" t="str">
        <f>IF($A$25="mm","Pa","psi")</f>
        <v>psi</v>
      </c>
      <c r="AM68" s="11" t="s">
        <v>56</v>
      </c>
      <c r="AO68" s="168"/>
      <c r="AP68" s="329" t="s">
        <v>656</v>
      </c>
      <c r="AQ68" s="329"/>
      <c r="AR68" s="329"/>
      <c r="AS68" s="329"/>
      <c r="AT68" s="329"/>
      <c r="AU68" s="26" t="e">
        <f>INDEX($I$3:$I$19,MATCH(AU66,$E$3:$E$19,0))</f>
        <v>#N/A</v>
      </c>
      <c r="AV68" s="25" t="str">
        <f>IF($A$25="mm","Pa","psi")</f>
        <v>psi</v>
      </c>
      <c r="AW68" s="11" t="s">
        <v>56</v>
      </c>
      <c r="AY68" s="168"/>
      <c r="AZ68" s="329" t="s">
        <v>656</v>
      </c>
      <c r="BA68" s="329"/>
      <c r="BB68" s="329"/>
      <c r="BC68" s="329"/>
      <c r="BD68" s="329"/>
      <c r="BE68" s="26" t="e">
        <f>INDEX($I$3:$I$19,MATCH(BE66,$E$3:$E$19,0))</f>
        <v>#N/A</v>
      </c>
      <c r="BF68" s="25" t="str">
        <f>IF($A$25="mm","Pa","psi")</f>
        <v>psi</v>
      </c>
      <c r="BG68" s="11" t="s">
        <v>56</v>
      </c>
      <c r="BI68" s="168"/>
      <c r="BJ68" s="329" t="s">
        <v>656</v>
      </c>
      <c r="BK68" s="329"/>
      <c r="BL68" s="329"/>
      <c r="BM68" s="329"/>
      <c r="BN68" s="329"/>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9" t="s">
        <v>659</v>
      </c>
      <c r="X69" s="329"/>
      <c r="Y69" s="329"/>
      <c r="Z69" s="329"/>
      <c r="AA69" s="26" t="e">
        <f>INDEX($K$3:$K$19,MATCH(AA66,$E$3:$E$19,0))</f>
        <v>#N/A</v>
      </c>
      <c r="AB69" s="25" t="str">
        <f>IF($A$25="mm","Pa","psi")</f>
        <v>psi</v>
      </c>
      <c r="AC69" s="11" t="s">
        <v>56</v>
      </c>
      <c r="AE69" s="35"/>
      <c r="AF69" s="124"/>
      <c r="AG69" s="329" t="s">
        <v>659</v>
      </c>
      <c r="AH69" s="329"/>
      <c r="AI69" s="329"/>
      <c r="AJ69" s="329"/>
      <c r="AK69" s="26" t="e">
        <f>INDEX($K$3:$K$19,MATCH(AK66,$E$3:$E$19,0))</f>
        <v>#N/A</v>
      </c>
      <c r="AL69" s="25" t="str">
        <f>IF($A$25="mm","Pa","psi")</f>
        <v>psi</v>
      </c>
      <c r="AM69" s="11" t="s">
        <v>56</v>
      </c>
      <c r="AO69" s="35"/>
      <c r="AP69" s="124"/>
      <c r="AQ69" s="329" t="s">
        <v>659</v>
      </c>
      <c r="AR69" s="329"/>
      <c r="AS69" s="329"/>
      <c r="AT69" s="329"/>
      <c r="AU69" s="26" t="e">
        <f>INDEX($K$3:$K$19,MATCH(AU66,$E$3:$E$19,0))</f>
        <v>#N/A</v>
      </c>
      <c r="AV69" s="25" t="str">
        <f>IF($A$25="mm","Pa","psi")</f>
        <v>psi</v>
      </c>
      <c r="AW69" s="11" t="s">
        <v>56</v>
      </c>
      <c r="AY69" s="35"/>
      <c r="AZ69" s="124"/>
      <c r="BA69" s="329" t="s">
        <v>659</v>
      </c>
      <c r="BB69" s="329"/>
      <c r="BC69" s="329"/>
      <c r="BD69" s="329"/>
      <c r="BE69" s="26" t="e">
        <f>INDEX($K$3:$K$19,MATCH(BE66,$E$3:$E$19,0))</f>
        <v>#N/A</v>
      </c>
      <c r="BF69" s="25" t="str">
        <f>IF($A$25="mm","Pa","psi")</f>
        <v>psi</v>
      </c>
      <c r="BG69" s="11" t="s">
        <v>56</v>
      </c>
      <c r="BI69" s="35"/>
      <c r="BJ69" s="124"/>
      <c r="BK69" s="329" t="s">
        <v>659</v>
      </c>
      <c r="BL69" s="329"/>
      <c r="BM69" s="329"/>
      <c r="BN69" s="329"/>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53" t="s">
        <v>674</v>
      </c>
      <c r="M71" s="353"/>
      <c r="N71" s="353"/>
      <c r="O71" s="353"/>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51"/>
      <c r="R73" s="352"/>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49" t="s">
        <v>699</v>
      </c>
      <c r="L78" s="349"/>
      <c r="M78" s="349"/>
      <c r="N78" s="354" t="s">
        <v>699</v>
      </c>
      <c r="O78" s="349"/>
      <c r="P78" s="355"/>
      <c r="Q78" s="354" t="s">
        <v>699</v>
      </c>
      <c r="R78" s="349"/>
      <c r="S78" s="355"/>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6"/>
      <c r="BZ81" s="357"/>
      <c r="CA81" s="11" t="str">
        <f>IF(BY81="","BLANK","EQ")</f>
        <v>BLANK</v>
      </c>
      <c r="CC81" s="35"/>
      <c r="CD81" s="124"/>
      <c r="CE81" s="15"/>
      <c r="CF81" s="15"/>
      <c r="CG81" s="15"/>
      <c r="CH81" s="15" t="s">
        <v>714</v>
      </c>
      <c r="CI81" s="356"/>
      <c r="CJ81" s="357"/>
      <c r="CK81" s="11" t="str">
        <f>IF(CI81="","BLANK","EQ")</f>
        <v>BLANK</v>
      </c>
      <c r="CM81" s="35"/>
      <c r="CN81" s="124"/>
      <c r="CO81" s="15"/>
      <c r="CP81" s="15"/>
      <c r="CQ81" s="15"/>
      <c r="CR81" s="15" t="s">
        <v>714</v>
      </c>
      <c r="CS81" s="356"/>
      <c r="CT81" s="357"/>
      <c r="CU81" s="11" t="str">
        <f>IF(CS81="","BLANK","EQ")</f>
        <v>BLANK</v>
      </c>
      <c r="CW81" s="35"/>
      <c r="CX81" s="124"/>
      <c r="CY81" s="15"/>
      <c r="CZ81" s="15"/>
      <c r="DA81" s="15"/>
      <c r="DB81" s="15" t="s">
        <v>714</v>
      </c>
      <c r="DC81" s="356"/>
      <c r="DD81" s="357"/>
      <c r="DE81" s="11" t="str">
        <f>IF(DC81="","BLANK","EQ")</f>
        <v>BLANK</v>
      </c>
      <c r="DG81" s="35"/>
      <c r="DH81" s="124"/>
      <c r="DI81" s="15"/>
      <c r="DJ81" s="15"/>
      <c r="DK81" s="15"/>
      <c r="DL81" s="15" t="s">
        <v>714</v>
      </c>
      <c r="DM81" s="356"/>
      <c r="DN81" s="357"/>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58" t="s">
        <v>726</v>
      </c>
      <c r="P84" s="358"/>
      <c r="Q84" s="298">
        <f>P71</f>
        <v>0</v>
      </c>
      <c r="R84" s="298"/>
      <c r="U84" s="12"/>
      <c r="V84" s="11"/>
      <c r="W84" s="11"/>
      <c r="X84" s="11"/>
      <c r="Y84" s="11"/>
      <c r="Z84" s="15" t="s">
        <v>727</v>
      </c>
      <c r="AA84" s="296"/>
      <c r="AB84" s="350"/>
      <c r="AC84" s="11" t="str">
        <f>IF(AA65=0,"N/A",
IF(AA84="","BLANK","EQ"))</f>
        <v>N/A</v>
      </c>
      <c r="AF84" s="11"/>
      <c r="AG84" s="11"/>
      <c r="AH84" s="11"/>
      <c r="AI84" s="11"/>
      <c r="AJ84" s="15" t="s">
        <v>727</v>
      </c>
      <c r="AK84" s="296"/>
      <c r="AL84" s="350"/>
      <c r="AM84" s="11" t="str">
        <f>IF(AK65=0,"N/A",
IF(AK84="","BLANK","EQ"))</f>
        <v>N/A</v>
      </c>
      <c r="AO84" s="12"/>
      <c r="AP84" s="11"/>
      <c r="AQ84" s="11"/>
      <c r="AR84" s="11"/>
      <c r="AS84" s="11"/>
      <c r="AT84" s="15" t="s">
        <v>727</v>
      </c>
      <c r="AU84" s="296"/>
      <c r="AV84" s="350"/>
      <c r="AW84" s="11" t="str">
        <f>IF(AU65=0,"N/A",
IF(AU84="","BLANK","EQ"))</f>
        <v>N/A</v>
      </c>
      <c r="AY84" s="12"/>
      <c r="AZ84" s="11"/>
      <c r="BA84" s="11"/>
      <c r="BB84" s="11"/>
      <c r="BC84" s="11"/>
      <c r="BD84" s="15" t="s">
        <v>727</v>
      </c>
      <c r="BE84" s="296"/>
      <c r="BF84" s="350"/>
      <c r="BG84" s="11" t="str">
        <f>IF(BE65=0,"N/A",
IF(BE84="","BLANK","EQ"))</f>
        <v>N/A</v>
      </c>
      <c r="BI84" s="12"/>
      <c r="BJ84" s="11"/>
      <c r="BK84" s="11"/>
      <c r="BL84" s="11"/>
      <c r="BM84" s="11"/>
      <c r="BN84" s="15" t="s">
        <v>727</v>
      </c>
      <c r="BO84" s="296"/>
      <c r="BP84" s="350"/>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29" t="s">
        <v>729</v>
      </c>
      <c r="M85" s="329"/>
      <c r="N85" s="329"/>
      <c r="O85" s="329"/>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29" t="s">
        <v>731</v>
      </c>
      <c r="M86" s="329"/>
      <c r="N86" s="329"/>
      <c r="O86" s="329"/>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29" t="s">
        <v>734</v>
      </c>
      <c r="M87" s="329"/>
      <c r="N87" s="329"/>
      <c r="O87" s="329"/>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29" t="s">
        <v>651</v>
      </c>
      <c r="M88" s="329"/>
      <c r="N88" s="329"/>
      <c r="O88" s="329"/>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29" t="s">
        <v>656</v>
      </c>
      <c r="L89" s="329"/>
      <c r="M89" s="329"/>
      <c r="N89" s="329"/>
      <c r="O89" s="329"/>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29" t="s">
        <v>659</v>
      </c>
      <c r="M90" s="329"/>
      <c r="N90" s="329"/>
      <c r="O90" s="329"/>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60" t="s">
        <v>742</v>
      </c>
      <c r="L91" s="360"/>
      <c r="M91" s="359" t="s">
        <v>743</v>
      </c>
      <c r="N91" s="359"/>
      <c r="O91" s="359"/>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59" t="s">
        <v>747</v>
      </c>
      <c r="M92" s="359"/>
      <c r="N92" s="359"/>
      <c r="O92" s="359"/>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9" t="s">
        <v>749</v>
      </c>
      <c r="M93" s="359"/>
      <c r="N93" s="359"/>
      <c r="O93" s="359"/>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29" t="s">
        <v>754</v>
      </c>
      <c r="M94" s="329"/>
      <c r="N94" s="329"/>
      <c r="O94" s="329"/>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29" t="s">
        <v>757</v>
      </c>
      <c r="M95" s="329"/>
      <c r="N95" s="329"/>
      <c r="O95" s="329"/>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51"/>
      <c r="Z95" s="352"/>
      <c r="AA95" s="361">
        <f>IF(Y95="Floor",$Q$73,$Q$103)</f>
        <v>0</v>
      </c>
      <c r="AB95" s="361"/>
      <c r="AC95" s="11" t="str">
        <f>IF(AA65=0,"N/A",IF(AA95="","BLANK",IF(AND(AA100="Welded",ISNUMBER(SEARCH("Unwelded",AA95))),"REJECT","EQ")))</f>
        <v>N/A</v>
      </c>
      <c r="AE95" s="11"/>
      <c r="AF95" s="11"/>
      <c r="AG95" s="11"/>
      <c r="AH95" s="15" t="s">
        <v>758</v>
      </c>
      <c r="AI95" s="351"/>
      <c r="AJ95" s="352"/>
      <c r="AK95" s="361">
        <f>IF(AI95="Floor",$Q$73,$Q$103)</f>
        <v>0</v>
      </c>
      <c r="AL95" s="361"/>
      <c r="AM95" s="11" t="str">
        <f>IF(AK65=0,"N/A",IF(AK95="","BLANK",IF(AND(AK100="Welded",ISNUMBER(SEARCH("Unwelded",AK95))),"REJECT","EQ")))</f>
        <v>N/A</v>
      </c>
      <c r="AO95" s="11"/>
      <c r="AP95" s="11"/>
      <c r="AQ95" s="11"/>
      <c r="AR95" s="15" t="s">
        <v>758</v>
      </c>
      <c r="AS95" s="351"/>
      <c r="AT95" s="352"/>
      <c r="AU95" s="361">
        <f>IF(AS95="Floor",$Q$73,$Q$103)</f>
        <v>0</v>
      </c>
      <c r="AV95" s="361"/>
      <c r="AW95" s="11" t="str">
        <f>IF(AU65=0,"N/A",IF(AU95="","BLANK",IF(AND(AU100="Welded",ISNUMBER(SEARCH("Unwelded",AU95))),"REJECT","EQ")))</f>
        <v>N/A</v>
      </c>
      <c r="AY95" s="11"/>
      <c r="AZ95" s="11"/>
      <c r="BA95" s="11"/>
      <c r="BB95" s="15" t="s">
        <v>758</v>
      </c>
      <c r="BC95" s="351"/>
      <c r="BD95" s="352"/>
      <c r="BE95" s="361">
        <f>IF(BC95="Floor",$Q$73,$Q$103)</f>
        <v>0</v>
      </c>
      <c r="BF95" s="361"/>
      <c r="BG95" s="11" t="str">
        <f>IF(BE65=0,"N/A",IF(BE95="","BLANK",IF(AND(BE100="Welded",ISNUMBER(SEARCH("Unwelded",BE95))),"REJECT","EQ")))</f>
        <v>N/A</v>
      </c>
      <c r="BI95" s="11"/>
      <c r="BJ95" s="11"/>
      <c r="BK95" s="11"/>
      <c r="BL95" s="15" t="s">
        <v>758</v>
      </c>
      <c r="BM95" s="351"/>
      <c r="BN95" s="352"/>
      <c r="BO95" s="361">
        <f>IF(BM95="Floor",$Q$73,$Q$103)</f>
        <v>0</v>
      </c>
      <c r="BP95" s="361"/>
      <c r="BQ95" s="11" t="str">
        <f>IF(BO65=0,"N/A",IF(BO95="","BLANK",IF(AND(BO100="Welded",ISNUMBER(SEARCH("Unwelded",BO95))),"REJECT","EQ")))</f>
        <v>N/A</v>
      </c>
      <c r="BS95" s="12"/>
      <c r="BT95" s="11"/>
      <c r="BU95" s="11"/>
      <c r="BV95" s="11"/>
      <c r="BW95" s="11"/>
      <c r="BX95" s="15" t="s">
        <v>759</v>
      </c>
      <c r="BY95" s="296"/>
      <c r="BZ95" s="350"/>
      <c r="CA95" s="11" t="str">
        <f>IF(BY63=0,"N/A",
IF(BY95="","BLANK","EQ"))</f>
        <v>N/A</v>
      </c>
      <c r="CC95" s="12"/>
      <c r="CD95" s="11"/>
      <c r="CE95" s="11"/>
      <c r="CF95" s="11"/>
      <c r="CG95" s="11"/>
      <c r="CH95" s="15" t="s">
        <v>759</v>
      </c>
      <c r="CI95" s="296"/>
      <c r="CJ95" s="350"/>
      <c r="CK95" s="11" t="str">
        <f>IF(CI63=0,"N/A",
IF(CI95="","BLANK","EQ"))</f>
        <v>N/A</v>
      </c>
      <c r="CM95" s="12"/>
      <c r="CN95" s="11"/>
      <c r="CO95" s="11"/>
      <c r="CP95" s="11"/>
      <c r="CQ95" s="11"/>
      <c r="CR95" s="15" t="s">
        <v>759</v>
      </c>
      <c r="CS95" s="296"/>
      <c r="CT95" s="350"/>
      <c r="CU95" s="11" t="str">
        <f>IF(CS63=0,"N/A",
IF(CS95="","BLANK","EQ"))</f>
        <v>N/A</v>
      </c>
      <c r="CW95" s="12"/>
      <c r="CX95" s="11"/>
      <c r="CY95" s="11"/>
      <c r="CZ95" s="11"/>
      <c r="DA95" s="11"/>
      <c r="DB95" s="15" t="s">
        <v>759</v>
      </c>
      <c r="DC95" s="296"/>
      <c r="DD95" s="350"/>
      <c r="DE95" s="11" t="str">
        <f>IF(DC63=0,"N/A",
IF(DC95="","BLANK","EQ"))</f>
        <v>N/A</v>
      </c>
      <c r="DG95" s="12"/>
      <c r="DH95" s="11"/>
      <c r="DI95" s="11"/>
      <c r="DJ95" s="11"/>
      <c r="DK95" s="11"/>
      <c r="DL95" s="15" t="s">
        <v>759</v>
      </c>
      <c r="DM95" s="296"/>
      <c r="DN95" s="350"/>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9" t="s">
        <v>651</v>
      </c>
      <c r="X96" s="329"/>
      <c r="Y96" s="329"/>
      <c r="Z96" s="329"/>
      <c r="AA96" s="26" t="e">
        <f>INDEX($G$3:$G$19,MATCH(AA95,$E$3:$E$19,0))</f>
        <v>#N/A</v>
      </c>
      <c r="AB96" s="25" t="str">
        <f>IF($A$25="mm","Pa","psi")</f>
        <v>psi</v>
      </c>
      <c r="AC96" s="11" t="str">
        <f>IF(AA$65=0,"N/A",IF(AA96=0,"BLANK","EQ"))</f>
        <v>N/A</v>
      </c>
      <c r="AE96" s="25"/>
      <c r="AF96" s="12"/>
      <c r="AG96" s="329" t="s">
        <v>651</v>
      </c>
      <c r="AH96" s="329"/>
      <c r="AI96" s="329"/>
      <c r="AJ96" s="329"/>
      <c r="AK96" s="26" t="e">
        <f>INDEX($G$3:$G$19,MATCH(AK95,$E$3:$E$19,0))</f>
        <v>#N/A</v>
      </c>
      <c r="AL96" s="25" t="str">
        <f>IF($A$25="mm","Pa","psi")</f>
        <v>psi</v>
      </c>
      <c r="AM96" s="11" t="str">
        <f>IF(AK$65=0,"N/A",IF(AK96=0,"BLANK","EQ"))</f>
        <v>N/A</v>
      </c>
      <c r="AP96" s="12"/>
      <c r="AQ96" s="329" t="s">
        <v>651</v>
      </c>
      <c r="AR96" s="329"/>
      <c r="AS96" s="329"/>
      <c r="AT96" s="329"/>
      <c r="AU96" s="26" t="e">
        <f>INDEX($G$3:$G$19,MATCH(AU95,$E$3:$E$19,0))</f>
        <v>#N/A</v>
      </c>
      <c r="AV96" s="25" t="str">
        <f>IF($A$25="mm","Pa","psi")</f>
        <v>psi</v>
      </c>
      <c r="AW96" s="11" t="str">
        <f>IF(AU$65=0,"N/A",IF(AU96=0,"BLANK","EQ"))</f>
        <v>N/A</v>
      </c>
      <c r="AZ96" s="12"/>
      <c r="BA96" s="329" t="s">
        <v>651</v>
      </c>
      <c r="BB96" s="329"/>
      <c r="BC96" s="329"/>
      <c r="BD96" s="329"/>
      <c r="BE96" s="26" t="e">
        <f>INDEX($G$3:$G$19,MATCH(BE95,$E$3:$E$19,0))</f>
        <v>#N/A</v>
      </c>
      <c r="BF96" s="25" t="str">
        <f>IF($A$25="mm","Pa","psi")</f>
        <v>psi</v>
      </c>
      <c r="BG96" s="11" t="str">
        <f>IF(BE$65=0,"N/A",IF(BE96=0,"BLANK","EQ"))</f>
        <v>N/A</v>
      </c>
      <c r="BJ96" s="12"/>
      <c r="BK96" s="329" t="s">
        <v>651</v>
      </c>
      <c r="BL96" s="329"/>
      <c r="BM96" s="329"/>
      <c r="BN96" s="329"/>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59"/>
      <c r="M97" s="359"/>
      <c r="N97" s="359"/>
      <c r="O97" s="359"/>
      <c r="P97" s="181"/>
      <c r="Q97" s="126"/>
      <c r="R97" s="127"/>
      <c r="S97" s="128"/>
      <c r="U97" s="168"/>
      <c r="V97" s="329" t="s">
        <v>656</v>
      </c>
      <c r="W97" s="329"/>
      <c r="X97" s="329"/>
      <c r="Y97" s="329"/>
      <c r="Z97" s="329"/>
      <c r="AA97" s="26" t="e">
        <f>INDEX($I$3:$I$19,MATCH(AA95,$E$3:$E$19,0))</f>
        <v>#N/A</v>
      </c>
      <c r="AB97" s="25" t="str">
        <f>IF($A$25="mm","Pa","psi")</f>
        <v>psi</v>
      </c>
      <c r="AC97" s="11" t="str">
        <f t="shared" ref="AC97:AC98" si="9">IF(AA$65=0,"N/A",IF(AA97=0,"BLANK","EQ"))</f>
        <v>N/A</v>
      </c>
      <c r="AE97" s="168"/>
      <c r="AF97" s="329" t="s">
        <v>656</v>
      </c>
      <c r="AG97" s="329"/>
      <c r="AH97" s="329"/>
      <c r="AI97" s="329"/>
      <c r="AJ97" s="329"/>
      <c r="AK97" s="26" t="e">
        <f>INDEX($I$3:$I$19,MATCH(AK95,$E$3:$E$19,0))</f>
        <v>#N/A</v>
      </c>
      <c r="AL97" s="25" t="str">
        <f>IF($A$25="mm","Pa","psi")</f>
        <v>psi</v>
      </c>
      <c r="AM97" s="11" t="str">
        <f t="shared" ref="AM97:AM98" si="10">IF(AK$65=0,"N/A",IF(AK97=0,"BLANK","EQ"))</f>
        <v>N/A</v>
      </c>
      <c r="AO97" s="168"/>
      <c r="AP97" s="329" t="s">
        <v>656</v>
      </c>
      <c r="AQ97" s="329"/>
      <c r="AR97" s="329"/>
      <c r="AS97" s="329"/>
      <c r="AT97" s="329"/>
      <c r="AU97" s="26" t="e">
        <f>INDEX($I$3:$I$19,MATCH(AU95,$E$3:$E$19,0))</f>
        <v>#N/A</v>
      </c>
      <c r="AV97" s="25" t="str">
        <f>IF($A$25="mm","Pa","psi")</f>
        <v>psi</v>
      </c>
      <c r="AW97" s="11" t="str">
        <f t="shared" ref="AW97:AW98" si="11">IF(AU$65=0,"N/A",IF(AU97=0,"BLANK","EQ"))</f>
        <v>N/A</v>
      </c>
      <c r="AY97" s="168"/>
      <c r="AZ97" s="329" t="s">
        <v>656</v>
      </c>
      <c r="BA97" s="329"/>
      <c r="BB97" s="329"/>
      <c r="BC97" s="329"/>
      <c r="BD97" s="329"/>
      <c r="BE97" s="26" t="e">
        <f>INDEX($I$3:$I$19,MATCH(BE95,$E$3:$E$19,0))</f>
        <v>#N/A</v>
      </c>
      <c r="BF97" s="25" t="str">
        <f>IF($A$25="mm","Pa","psi")</f>
        <v>psi</v>
      </c>
      <c r="BG97" s="11" t="str">
        <f t="shared" ref="BG97:BG98" si="12">IF(BE$65=0,"N/A",IF(BE97=0,"BLANK","EQ"))</f>
        <v>N/A</v>
      </c>
      <c r="BI97" s="168"/>
      <c r="BJ97" s="329" t="s">
        <v>656</v>
      </c>
      <c r="BK97" s="329"/>
      <c r="BL97" s="329"/>
      <c r="BM97" s="329"/>
      <c r="BN97" s="329"/>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01"/>
      <c r="D98" s="362"/>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9" t="s">
        <v>659</v>
      </c>
      <c r="X98" s="329"/>
      <c r="Y98" s="329"/>
      <c r="Z98" s="329"/>
      <c r="AA98" s="26" t="e">
        <f>INDEX($K$3:$K$19,MATCH(AA95,$E$3:$E$19,0))</f>
        <v>#N/A</v>
      </c>
      <c r="AB98" s="25" t="str">
        <f>IF($A$25="mm","Pa","psi")</f>
        <v>psi</v>
      </c>
      <c r="AC98" s="11" t="str">
        <f t="shared" si="9"/>
        <v>N/A</v>
      </c>
      <c r="AE98" s="35"/>
      <c r="AF98" s="124"/>
      <c r="AG98" s="329" t="s">
        <v>659</v>
      </c>
      <c r="AH98" s="329"/>
      <c r="AI98" s="329"/>
      <c r="AJ98" s="329"/>
      <c r="AK98" s="26" t="e">
        <f>INDEX($K$3:$K$19,MATCH(AK95,$E$3:$E$19,0))</f>
        <v>#N/A</v>
      </c>
      <c r="AL98" s="25" t="str">
        <f>IF($A$25="mm","Pa","psi")</f>
        <v>psi</v>
      </c>
      <c r="AM98" s="11" t="str">
        <f t="shared" si="10"/>
        <v>N/A</v>
      </c>
      <c r="AO98" s="35"/>
      <c r="AP98" s="124"/>
      <c r="AQ98" s="329" t="s">
        <v>659</v>
      </c>
      <c r="AR98" s="329"/>
      <c r="AS98" s="329"/>
      <c r="AT98" s="329"/>
      <c r="AU98" s="26" t="e">
        <f>INDEX($K$3:$K$19,MATCH(AU95,$E$3:$E$19,0))</f>
        <v>#N/A</v>
      </c>
      <c r="AV98" s="25" t="str">
        <f>IF($A$25="mm","Pa","psi")</f>
        <v>psi</v>
      </c>
      <c r="AW98" s="11" t="str">
        <f t="shared" si="11"/>
        <v>N/A</v>
      </c>
      <c r="AY98" s="35"/>
      <c r="AZ98" s="124"/>
      <c r="BA98" s="329" t="s">
        <v>659</v>
      </c>
      <c r="BB98" s="329"/>
      <c r="BC98" s="329"/>
      <c r="BD98" s="329"/>
      <c r="BE98" s="26" t="e">
        <f>INDEX($K$3:$K$19,MATCH(BE95,$E$3:$E$19,0))</f>
        <v>#N/A</v>
      </c>
      <c r="BF98" s="25" t="str">
        <f>IF($A$25="mm","Pa","psi")</f>
        <v>psi</v>
      </c>
      <c r="BG98" s="11" t="str">
        <f t="shared" si="12"/>
        <v>N/A</v>
      </c>
      <c r="BI98" s="35"/>
      <c r="BJ98" s="124"/>
      <c r="BK98" s="329" t="s">
        <v>659</v>
      </c>
      <c r="BL98" s="329"/>
      <c r="BM98" s="329"/>
      <c r="BN98" s="329"/>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3" t="s">
        <v>771</v>
      </c>
      <c r="M101" s="353"/>
      <c r="N101" s="353"/>
      <c r="O101" s="353"/>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51"/>
      <c r="R103" s="352"/>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3" t="s">
        <v>777</v>
      </c>
      <c r="BT104" s="363"/>
      <c r="BU104" s="363"/>
      <c r="BV104" s="363"/>
      <c r="BW104" s="363"/>
      <c r="BX104" s="363"/>
      <c r="BY104" s="363"/>
      <c r="BZ104" s="363"/>
      <c r="CA104" s="363"/>
      <c r="CC104" s="363" t="s">
        <v>777</v>
      </c>
      <c r="CD104" s="363"/>
      <c r="CE104" s="363"/>
      <c r="CF104" s="363"/>
      <c r="CG104" s="363"/>
      <c r="CH104" s="363"/>
      <c r="CI104" s="363"/>
      <c r="CJ104" s="363"/>
      <c r="CK104" s="363"/>
      <c r="CM104" s="363" t="s">
        <v>777</v>
      </c>
      <c r="CN104" s="363"/>
      <c r="CO104" s="363"/>
      <c r="CP104" s="363"/>
      <c r="CQ104" s="363"/>
      <c r="CR104" s="363"/>
      <c r="CS104" s="363"/>
      <c r="CT104" s="363"/>
      <c r="CU104" s="363"/>
      <c r="CW104" s="363" t="s">
        <v>777</v>
      </c>
      <c r="CX104" s="363"/>
      <c r="CY104" s="363"/>
      <c r="CZ104" s="363"/>
      <c r="DA104" s="363"/>
      <c r="DB104" s="363"/>
      <c r="DC104" s="363"/>
      <c r="DD104" s="363"/>
      <c r="DE104" s="363"/>
      <c r="DG104" s="363" t="s">
        <v>777</v>
      </c>
      <c r="DH104" s="363"/>
      <c r="DI104" s="363"/>
      <c r="DJ104" s="363"/>
      <c r="DK104" s="363"/>
      <c r="DL104" s="363"/>
      <c r="DM104" s="363"/>
      <c r="DN104" s="363"/>
      <c r="DO104" s="363"/>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01"/>
      <c r="D106" s="362"/>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51"/>
      <c r="BZ106" s="352"/>
      <c r="CA106" s="11" t="str">
        <f>IF(BY63=0,"N/A",IF(BY106="","BLANK",IF(AND(BY111="Welded",ISNUMBER(SEARCH("Unwelded",BY106))),"REJECT","EQ")))</f>
        <v>N/A</v>
      </c>
      <c r="CC106" s="11"/>
      <c r="CD106" s="11"/>
      <c r="CE106" s="11"/>
      <c r="CF106" s="11"/>
      <c r="CG106" s="11"/>
      <c r="CH106" s="15" t="s">
        <v>779</v>
      </c>
      <c r="CI106" s="351"/>
      <c r="CJ106" s="352"/>
      <c r="CK106" s="11" t="str">
        <f>IF(CI63=0,"N/A",IF(CI106="","BLANK",IF(AND(CI111="Welded",ISNUMBER(SEARCH("Unwelded",CI106))),"REJECT","EQ")))</f>
        <v>N/A</v>
      </c>
      <c r="CM106" s="11"/>
      <c r="CN106" s="11"/>
      <c r="CO106" s="11"/>
      <c r="CP106" s="11"/>
      <c r="CQ106" s="11"/>
      <c r="CR106" s="15" t="s">
        <v>779</v>
      </c>
      <c r="CS106" s="351"/>
      <c r="CT106" s="352"/>
      <c r="CU106" s="11" t="str">
        <f>IF(CS63=0,"N/A",IF(CS106="","BLANK",IF(AND(CS111="Welded",ISNUMBER(SEARCH("Unwelded",CS106))),"REJECT","EQ")))</f>
        <v>N/A</v>
      </c>
      <c r="CW106" s="11"/>
      <c r="CX106" s="11"/>
      <c r="CY106" s="11"/>
      <c r="CZ106" s="11"/>
      <c r="DA106" s="11"/>
      <c r="DB106" s="15" t="s">
        <v>779</v>
      </c>
      <c r="DC106" s="351"/>
      <c r="DD106" s="352"/>
      <c r="DE106" s="11" t="str">
        <f>IF(DC63=0,"N/A",IF(DC106="","BLANK",IF(AND(DC111="Welded",ISNUMBER(SEARCH("Unwelded",DC106))),"REJECT","EQ")))</f>
        <v>N/A</v>
      </c>
      <c r="DG106" s="11"/>
      <c r="DH106" s="11"/>
      <c r="DI106" s="11"/>
      <c r="DJ106" s="11"/>
      <c r="DK106" s="11"/>
      <c r="DL106" s="15" t="s">
        <v>779</v>
      </c>
      <c r="DM106" s="351"/>
      <c r="DN106" s="352"/>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9" t="s">
        <v>651</v>
      </c>
      <c r="BV107" s="329"/>
      <c r="BW107" s="329"/>
      <c r="BX107" s="329"/>
      <c r="BY107" s="26" t="e">
        <f>INDEX($G$3:$G$19,MATCH(BY106,$E$3:$E$19,0))</f>
        <v>#N/A</v>
      </c>
      <c r="BZ107" s="25" t="str">
        <f>IF($A$25="mm","Pa","psi")</f>
        <v>psi</v>
      </c>
      <c r="CA107" s="11" t="str">
        <f>IF(BY$63=0,"N/A",IF(BY107=0,"BLANK","EQ"))</f>
        <v>N/A</v>
      </c>
      <c r="CD107" s="12"/>
      <c r="CE107" s="329" t="s">
        <v>651</v>
      </c>
      <c r="CF107" s="329"/>
      <c r="CG107" s="329"/>
      <c r="CH107" s="329"/>
      <c r="CI107" s="26" t="e">
        <f>INDEX($G$3:$G$19,MATCH(CI106,$E$3:$E$19,0))</f>
        <v>#N/A</v>
      </c>
      <c r="CJ107" s="25" t="str">
        <f>IF($A$25="mm","Pa","psi")</f>
        <v>psi</v>
      </c>
      <c r="CK107" s="11" t="str">
        <f>IF(CI$63=0,"N/A",IF(CI107=0,"BLANK","EQ"))</f>
        <v>N/A</v>
      </c>
      <c r="CN107" s="12"/>
      <c r="CO107" s="329" t="s">
        <v>651</v>
      </c>
      <c r="CP107" s="329"/>
      <c r="CQ107" s="329"/>
      <c r="CR107" s="329"/>
      <c r="CS107" s="26" t="e">
        <f>INDEX($G$3:$G$19,MATCH(CS106,$E$3:$E$19,0))</f>
        <v>#N/A</v>
      </c>
      <c r="CT107" s="25" t="str">
        <f>IF($A$25="mm","Pa","psi")</f>
        <v>psi</v>
      </c>
      <c r="CU107" s="11" t="str">
        <f>IF(CS$63=0,"N/A",IF(CS107=0,"BLANK","EQ"))</f>
        <v>N/A</v>
      </c>
      <c r="CX107" s="12"/>
      <c r="CY107" s="329" t="s">
        <v>651</v>
      </c>
      <c r="CZ107" s="329"/>
      <c r="DA107" s="329"/>
      <c r="DB107" s="329"/>
      <c r="DC107" s="26" t="e">
        <f>INDEX($G$3:$G$19,MATCH(DC106,$E$3:$E$19,0))</f>
        <v>#N/A</v>
      </c>
      <c r="DD107" s="25" t="str">
        <f>IF($A$25="mm","Pa","psi")</f>
        <v>psi</v>
      </c>
      <c r="DE107" s="11" t="str">
        <f>IF(DC$63=0,"N/A",IF(DC107=0,"BLANK","EQ"))</f>
        <v>N/A</v>
      </c>
      <c r="DH107" s="12"/>
      <c r="DI107" s="329" t="s">
        <v>651</v>
      </c>
      <c r="DJ107" s="329"/>
      <c r="DK107" s="329"/>
      <c r="DL107" s="329"/>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49" t="s">
        <v>699</v>
      </c>
      <c r="L108" s="349"/>
      <c r="M108" s="349"/>
      <c r="N108" s="354" t="s">
        <v>699</v>
      </c>
      <c r="O108" s="349"/>
      <c r="P108" s="355"/>
      <c r="Q108" s="354" t="s">
        <v>699</v>
      </c>
      <c r="R108" s="349"/>
      <c r="S108" s="355"/>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9" t="s">
        <v>656</v>
      </c>
      <c r="BU108" s="329"/>
      <c r="BV108" s="329"/>
      <c r="BW108" s="329"/>
      <c r="BX108" s="329"/>
      <c r="BY108" s="26" t="e">
        <f>INDEX($I$3:$I$19,MATCH(BY106,$E$3:$E$19,0))</f>
        <v>#N/A</v>
      </c>
      <c r="BZ108" s="25" t="str">
        <f>IF($A$25="mm","Pa","psi")</f>
        <v>psi</v>
      </c>
      <c r="CA108" s="11" t="str">
        <f>IF(BY$63=0,"N/A",IF(BY108=0,"BLANK","EQ"))</f>
        <v>N/A</v>
      </c>
      <c r="CC108" s="168"/>
      <c r="CD108" s="329" t="s">
        <v>656</v>
      </c>
      <c r="CE108" s="329"/>
      <c r="CF108" s="329"/>
      <c r="CG108" s="329"/>
      <c r="CH108" s="329"/>
      <c r="CI108" s="26" t="e">
        <f>INDEX($I$3:$I$19,MATCH(CI106,$E$3:$E$19,0))</f>
        <v>#N/A</v>
      </c>
      <c r="CJ108" s="25" t="str">
        <f>IF($A$25="mm","Pa","psi")</f>
        <v>psi</v>
      </c>
      <c r="CK108" s="11" t="str">
        <f>IF(CI$63=0,"N/A",IF(CI108=0,"BLANK","EQ"))</f>
        <v>N/A</v>
      </c>
      <c r="CM108" s="168"/>
      <c r="CN108" s="329" t="s">
        <v>656</v>
      </c>
      <c r="CO108" s="329"/>
      <c r="CP108" s="329"/>
      <c r="CQ108" s="329"/>
      <c r="CR108" s="329"/>
      <c r="CS108" s="26" t="e">
        <f>INDEX($I$3:$I$19,MATCH(CS106,$E$3:$E$19,0))</f>
        <v>#N/A</v>
      </c>
      <c r="CT108" s="25" t="str">
        <f>IF($A$25="mm","Pa","psi")</f>
        <v>psi</v>
      </c>
      <c r="CU108" s="11" t="str">
        <f>IF(CS$63=0,"N/A",IF(CS108=0,"BLANK","EQ"))</f>
        <v>N/A</v>
      </c>
      <c r="CW108" s="168"/>
      <c r="CX108" s="329" t="s">
        <v>656</v>
      </c>
      <c r="CY108" s="329"/>
      <c r="CZ108" s="329"/>
      <c r="DA108" s="329"/>
      <c r="DB108" s="329"/>
      <c r="DC108" s="26" t="e">
        <f>INDEX($I$3:$I$19,MATCH(DC106,$E$3:$E$19,0))</f>
        <v>#N/A</v>
      </c>
      <c r="DD108" s="25" t="str">
        <f>IF($A$25="mm","Pa","psi")</f>
        <v>psi</v>
      </c>
      <c r="DE108" s="11" t="str">
        <f>IF(DC$63=0,"N/A",IF(DC108=0,"BLANK","EQ"))</f>
        <v>N/A</v>
      </c>
      <c r="DG108" s="168"/>
      <c r="DH108" s="329" t="s">
        <v>656</v>
      </c>
      <c r="DI108" s="329"/>
      <c r="DJ108" s="329"/>
      <c r="DK108" s="329"/>
      <c r="DL108" s="329"/>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9" t="s">
        <v>659</v>
      </c>
      <c r="BV109" s="329"/>
      <c r="BW109" s="329"/>
      <c r="BX109" s="329"/>
      <c r="BY109" s="26" t="e">
        <f>INDEX($K$3:$K$19,MATCH(BY106,$E$3:$E$19,0))</f>
        <v>#N/A</v>
      </c>
      <c r="BZ109" s="25" t="str">
        <f>IF($A$25="mm","Pa","psi")</f>
        <v>psi</v>
      </c>
      <c r="CA109" s="11" t="str">
        <f>IF(BY$63=0,"N/A",IF(BY109=0,"BLANK","EQ"))</f>
        <v>N/A</v>
      </c>
      <c r="CC109" s="35"/>
      <c r="CD109" s="124"/>
      <c r="CE109" s="329" t="s">
        <v>659</v>
      </c>
      <c r="CF109" s="329"/>
      <c r="CG109" s="329"/>
      <c r="CH109" s="329"/>
      <c r="CI109" s="26" t="e">
        <f>INDEX($K$3:$K$19,MATCH(CI106,$E$3:$E$19,0))</f>
        <v>#N/A</v>
      </c>
      <c r="CJ109" s="25" t="str">
        <f>IF($A$25="mm","Pa","psi")</f>
        <v>psi</v>
      </c>
      <c r="CK109" s="11" t="str">
        <f>IF(CI$63=0,"N/A",IF(CI109=0,"BLANK","EQ"))</f>
        <v>N/A</v>
      </c>
      <c r="CM109" s="35"/>
      <c r="CN109" s="124"/>
      <c r="CO109" s="329" t="s">
        <v>659</v>
      </c>
      <c r="CP109" s="329"/>
      <c r="CQ109" s="329"/>
      <c r="CR109" s="329"/>
      <c r="CS109" s="26" t="e">
        <f>INDEX($K$3:$K$19,MATCH(CS106,$E$3:$E$19,0))</f>
        <v>#N/A</v>
      </c>
      <c r="CT109" s="25" t="str">
        <f>IF($A$25="mm","Pa","psi")</f>
        <v>psi</v>
      </c>
      <c r="CU109" s="11" t="str">
        <f>IF(CS$63=0,"N/A",IF(CS109=0,"BLANK","EQ"))</f>
        <v>N/A</v>
      </c>
      <c r="CW109" s="35"/>
      <c r="CX109" s="124"/>
      <c r="CY109" s="329" t="s">
        <v>659</v>
      </c>
      <c r="CZ109" s="329"/>
      <c r="DA109" s="329"/>
      <c r="DB109" s="329"/>
      <c r="DC109" s="26" t="e">
        <f>INDEX($K$3:$K$19,MATCH(DC106,$E$3:$E$19,0))</f>
        <v>#N/A</v>
      </c>
      <c r="DD109" s="25" t="str">
        <f>IF($A$25="mm","Pa","psi")</f>
        <v>psi</v>
      </c>
      <c r="DE109" s="11" t="str">
        <f>IF(DC$63=0,"N/A",IF(DC109=0,"BLANK","EQ"))</f>
        <v>N/A</v>
      </c>
      <c r="DG109" s="35"/>
      <c r="DH109" s="124"/>
      <c r="DI109" s="329" t="s">
        <v>659</v>
      </c>
      <c r="DJ109" s="329"/>
      <c r="DK109" s="329"/>
      <c r="DL109" s="329"/>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01"/>
      <c r="D114" s="362"/>
      <c r="E114" s="302"/>
      <c r="F114" s="15" t="s">
        <v>1206</v>
      </c>
      <c r="G114" s="82"/>
      <c r="H114" s="25" t="str">
        <f>IF($A$25="mm","Pa","psi")</f>
        <v>psi</v>
      </c>
      <c r="I114" s="11" t="str">
        <f>IF(OR(C114="",G114=""),"BLANK","EQ")</f>
        <v>BLANK</v>
      </c>
      <c r="K114" s="11"/>
      <c r="L114" s="11"/>
      <c r="N114" s="32"/>
      <c r="O114" s="358" t="s">
        <v>726</v>
      </c>
      <c r="P114" s="358"/>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29" t="s">
        <v>729</v>
      </c>
      <c r="M115" s="329"/>
      <c r="N115" s="329"/>
      <c r="O115" s="329"/>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29" t="s">
        <v>731</v>
      </c>
      <c r="M116" s="329"/>
      <c r="N116" s="329"/>
      <c r="O116" s="329"/>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9" t="s">
        <v>734</v>
      </c>
      <c r="M117" s="329"/>
      <c r="N117" s="329"/>
      <c r="O117" s="329"/>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29" t="s">
        <v>651</v>
      </c>
      <c r="M118" s="329"/>
      <c r="N118" s="329"/>
      <c r="O118" s="329"/>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9" t="s">
        <v>656</v>
      </c>
      <c r="L119" s="329"/>
      <c r="M119" s="329"/>
      <c r="N119" s="329"/>
      <c r="O119" s="329"/>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6"/>
      <c r="C120" s="310"/>
      <c r="D120" s="310"/>
      <c r="E120" s="310"/>
      <c r="F120" s="310"/>
      <c r="G120" s="310"/>
      <c r="H120" s="297"/>
      <c r="I120" s="11" t="str">
        <f>IF(B120="","BLANK","EQ")</f>
        <v>BLANK</v>
      </c>
      <c r="K120" s="124"/>
      <c r="L120" s="329" t="s">
        <v>659</v>
      </c>
      <c r="M120" s="329"/>
      <c r="N120" s="329"/>
      <c r="O120" s="329"/>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6"/>
      <c r="G121" s="297"/>
      <c r="I121" s="11" t="str">
        <f>IF(F121="","BLANK","EQ")</f>
        <v>BLANK</v>
      </c>
      <c r="K121" s="360" t="s">
        <v>742</v>
      </c>
      <c r="L121" s="360"/>
      <c r="M121" s="359" t="s">
        <v>743</v>
      </c>
      <c r="N121" s="359"/>
      <c r="O121" s="359"/>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9" t="s">
        <v>747</v>
      </c>
      <c r="M122" s="359"/>
      <c r="N122" s="359"/>
      <c r="O122" s="359"/>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9" t="s">
        <v>749</v>
      </c>
      <c r="M123" s="359"/>
      <c r="N123" s="359"/>
      <c r="O123" s="359"/>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29" t="s">
        <v>754</v>
      </c>
      <c r="M124" s="329"/>
      <c r="N124" s="329"/>
      <c r="O124" s="329"/>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01"/>
      <c r="D125" s="362"/>
      <c r="E125" s="302"/>
      <c r="F125" s="193" t="s">
        <v>791</v>
      </c>
      <c r="G125" s="82"/>
      <c r="H125" s="25" t="str">
        <f>IF($A$25="mm","Pa","psi")</f>
        <v>psi</v>
      </c>
      <c r="I125" s="11" t="str">
        <f>IF(OR(C125="",G125=""),"BLANK","EQ")</f>
        <v>BLANK</v>
      </c>
      <c r="K125" s="12" t="s">
        <v>756</v>
      </c>
      <c r="L125" s="329" t="s">
        <v>757</v>
      </c>
      <c r="M125" s="329"/>
      <c r="N125" s="329"/>
      <c r="O125" s="329"/>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01"/>
      <c r="D130" s="362"/>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10"/>
      <c r="Q130" s="310"/>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01"/>
      <c r="D134" s="362"/>
      <c r="E134" s="302"/>
      <c r="F134" s="193" t="s">
        <v>659</v>
      </c>
      <c r="G134" s="82"/>
      <c r="H134" s="25" t="str">
        <f>IF($A$25="mm","Pa","psi")</f>
        <v>psi</v>
      </c>
      <c r="I134" s="11" t="str">
        <f>IF(OR(C134="",G134=""),"BLANK","EQ")</f>
        <v>BLANK</v>
      </c>
      <c r="L134" s="15"/>
      <c r="M134" s="15"/>
      <c r="N134" s="15"/>
      <c r="O134" s="15"/>
      <c r="P134" s="15" t="s">
        <v>681</v>
      </c>
      <c r="Q134" s="351"/>
      <c r="R134" s="352"/>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49" t="s">
        <v>699</v>
      </c>
      <c r="L139" s="349"/>
      <c r="M139" s="349"/>
      <c r="N139" s="354" t="s">
        <v>699</v>
      </c>
      <c r="O139" s="349"/>
      <c r="P139" s="355"/>
      <c r="Q139" s="354" t="s">
        <v>699</v>
      </c>
      <c r="R139" s="349"/>
      <c r="S139" s="355"/>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58" t="s">
        <v>726</v>
      </c>
      <c r="P145" s="358"/>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29" t="s">
        <v>729</v>
      </c>
      <c r="M146" s="329"/>
      <c r="N146" s="329"/>
      <c r="O146" s="329"/>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29" t="s">
        <v>731</v>
      </c>
      <c r="M147" s="329"/>
      <c r="N147" s="329"/>
      <c r="O147" s="329"/>
      <c r="P147" s="26">
        <f>Q131*P146/IF($A$25="mm",1000,1)</f>
        <v>0</v>
      </c>
      <c r="Q147" s="26">
        <f>Q131*IF(P132="Composite",O140+O141,Q146/IF($A$25="mm",1000,1))</f>
        <v>0</v>
      </c>
      <c r="R147" s="25" t="str">
        <f>IF($A$25="mm","m^2","in^2")</f>
        <v>in^2</v>
      </c>
      <c r="S147" s="11" t="str">
        <f>IF(NOT(OR(P132="Isotropic",P132="Composite")),"N/A","EQ")</f>
        <v>N/A</v>
      </c>
      <c r="U147" s="346" t="s">
        <v>620</v>
      </c>
      <c r="V147" s="346"/>
      <c r="W147" s="346"/>
      <c r="X147" s="346"/>
      <c r="Y147" s="346"/>
      <c r="Z147" s="346"/>
      <c r="AA147" s="346"/>
      <c r="AB147" s="346"/>
      <c r="AC147" s="34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29" t="s">
        <v>734</v>
      </c>
      <c r="M148" s="329"/>
      <c r="N148" s="329"/>
      <c r="O148" s="329"/>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29" t="s">
        <v>651</v>
      </c>
      <c r="M149" s="329"/>
      <c r="N149" s="329"/>
      <c r="O149" s="329"/>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29" t="s">
        <v>656</v>
      </c>
      <c r="L150" s="329"/>
      <c r="M150" s="329"/>
      <c r="N150" s="329"/>
      <c r="O150" s="329"/>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29" t="s">
        <v>659</v>
      </c>
      <c r="M151" s="329"/>
      <c r="N151" s="329"/>
      <c r="O151" s="329"/>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60" t="s">
        <v>742</v>
      </c>
      <c r="L152" s="360"/>
      <c r="M152" s="359" t="s">
        <v>743</v>
      </c>
      <c r="N152" s="359"/>
      <c r="O152" s="359"/>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59" t="s">
        <v>747</v>
      </c>
      <c r="M153" s="359"/>
      <c r="N153" s="359"/>
      <c r="O153" s="359"/>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59" t="s">
        <v>749</v>
      </c>
      <c r="M154" s="359"/>
      <c r="N154" s="359"/>
      <c r="O154" s="359"/>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29" t="s">
        <v>754</v>
      </c>
      <c r="M155" s="329"/>
      <c r="N155" s="329"/>
      <c r="O155" s="329"/>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29" t="s">
        <v>757</v>
      </c>
      <c r="M156" s="329"/>
      <c r="N156" s="329"/>
      <c r="O156" s="329"/>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L5" zoomScale="71" zoomScaleNormal="50" workbookViewId="0">
      <selection activeCell="AH33" sqref="AH33"/>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64" t="s">
        <v>801</v>
      </c>
      <c r="B1" s="364"/>
      <c r="C1" s="364"/>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5" t="s">
        <v>812</v>
      </c>
      <c r="BM6" s="365"/>
      <c r="BN6" s="365"/>
      <c r="BO6" s="365"/>
      <c r="BP6" s="365"/>
      <c r="BQ6" s="365"/>
      <c r="BR6" s="365"/>
      <c r="BS6" s="365"/>
      <c r="BT6" s="365"/>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4"/>
      <c r="AI7" s="344"/>
      <c r="AJ7" s="34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5"/>
      <c r="BM7" s="365"/>
      <c r="BN7" s="365"/>
      <c r="BO7" s="365"/>
      <c r="BP7" s="365"/>
      <c r="BQ7" s="365"/>
      <c r="BR7" s="365"/>
      <c r="BS7" s="365"/>
      <c r="BT7" s="365"/>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5"/>
      <c r="BM8" s="365"/>
      <c r="BN8" s="365"/>
      <c r="BO8" s="365"/>
      <c r="BP8" s="365"/>
      <c r="BQ8" s="365"/>
      <c r="BR8" s="365"/>
      <c r="BS8" s="365"/>
      <c r="BT8" s="365"/>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5"/>
      <c r="BM9" s="365"/>
      <c r="BN9" s="365"/>
      <c r="BO9" s="365"/>
      <c r="BP9" s="365"/>
      <c r="BQ9" s="365"/>
      <c r="BR9" s="365"/>
      <c r="BS9" s="365"/>
      <c r="BT9" s="365"/>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5"/>
      <c r="BM10" s="365"/>
      <c r="BN10" s="365"/>
      <c r="BO10" s="365"/>
      <c r="BP10" s="365"/>
      <c r="BQ10" s="365"/>
      <c r="BR10" s="365"/>
      <c r="BS10" s="365"/>
      <c r="BT10" s="365"/>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5"/>
      <c r="BM11" s="365"/>
      <c r="BN11" s="365"/>
      <c r="BO11" s="365"/>
      <c r="BP11" s="365"/>
      <c r="BQ11" s="365"/>
      <c r="BR11" s="365"/>
      <c r="BS11" s="365"/>
      <c r="BT11" s="365"/>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65" t="s">
        <v>828</v>
      </c>
      <c r="O12" s="365"/>
      <c r="P12" s="365"/>
      <c r="Q12" s="365"/>
      <c r="R12" s="365"/>
      <c r="S12" s="365"/>
      <c r="T12" s="365"/>
      <c r="U12" s="365"/>
      <c r="V12" s="365"/>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5"/>
      <c r="BM12" s="365"/>
      <c r="BN12" s="365"/>
      <c r="BO12" s="365"/>
      <c r="BP12" s="365"/>
      <c r="BQ12" s="365"/>
      <c r="BR12" s="365"/>
      <c r="BS12" s="365"/>
      <c r="BT12" s="365"/>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65"/>
      <c r="O13" s="365"/>
      <c r="P13" s="365"/>
      <c r="Q13" s="365"/>
      <c r="R13" s="365"/>
      <c r="S13" s="365"/>
      <c r="T13" s="365"/>
      <c r="U13" s="365"/>
      <c r="V13" s="365"/>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5"/>
      <c r="BM13" s="365"/>
      <c r="BN13" s="365"/>
      <c r="BO13" s="365"/>
      <c r="BP13" s="365"/>
      <c r="BQ13" s="365"/>
      <c r="BR13" s="365"/>
      <c r="BS13" s="365"/>
      <c r="BT13" s="365"/>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65" t="s">
        <v>833</v>
      </c>
      <c r="E14" s="294"/>
      <c r="F14" s="294"/>
      <c r="G14" s="294"/>
      <c r="H14" s="294"/>
      <c r="I14" s="294"/>
      <c r="J14" s="294"/>
      <c r="K14" s="294"/>
      <c r="L14" s="294"/>
      <c r="M14" s="38"/>
      <c r="N14" s="365"/>
      <c r="O14" s="365"/>
      <c r="P14" s="365"/>
      <c r="Q14" s="365"/>
      <c r="R14" s="365"/>
      <c r="S14" s="365"/>
      <c r="T14" s="365"/>
      <c r="U14" s="365"/>
      <c r="V14" s="365"/>
      <c r="W14" s="38"/>
      <c r="X14" s="294"/>
      <c r="Y14" s="294"/>
      <c r="Z14" s="294"/>
      <c r="AA14" s="294"/>
      <c r="AB14" s="294"/>
      <c r="AC14" s="294"/>
      <c r="AD14" s="294"/>
      <c r="AE14" s="294"/>
      <c r="AF14" s="294"/>
      <c r="AG14" s="38"/>
      <c r="AH14" s="10"/>
      <c r="AI14" s="10"/>
      <c r="AJ14" s="10"/>
      <c r="AK14" s="10"/>
      <c r="AL14" s="10"/>
      <c r="AM14" s="10"/>
      <c r="AN14" s="10"/>
      <c r="AO14" s="10"/>
      <c r="AP14" s="10"/>
      <c r="AQ14" s="38"/>
      <c r="AR14" s="365" t="s">
        <v>834</v>
      </c>
      <c r="AS14" s="365"/>
      <c r="AT14" s="365"/>
      <c r="AU14" s="365"/>
      <c r="AV14" s="365"/>
      <c r="AW14" s="365"/>
      <c r="AX14" s="365"/>
      <c r="AY14" s="365"/>
      <c r="AZ14" s="365"/>
      <c r="BA14" s="38"/>
      <c r="BB14" s="294"/>
      <c r="BC14" s="294"/>
      <c r="BD14" s="294"/>
      <c r="BE14" s="294"/>
      <c r="BF14" s="294"/>
      <c r="BG14" s="294"/>
      <c r="BH14" s="294"/>
      <c r="BI14" s="294"/>
      <c r="BJ14" s="294"/>
      <c r="BK14" s="38"/>
      <c r="BL14" s="365" t="s">
        <v>835</v>
      </c>
      <c r="BM14" s="365"/>
      <c r="BN14" s="365"/>
      <c r="BO14" s="365"/>
      <c r="BP14" s="365"/>
      <c r="BQ14" s="365"/>
      <c r="BR14" s="365"/>
      <c r="BS14" s="365"/>
      <c r="BT14" s="365"/>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65"/>
      <c r="O15" s="365"/>
      <c r="P15" s="365"/>
      <c r="Q15" s="365"/>
      <c r="R15" s="365"/>
      <c r="S15" s="365"/>
      <c r="T15" s="365"/>
      <c r="U15" s="365"/>
      <c r="V15" s="365"/>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5"/>
      <c r="AS15" s="365"/>
      <c r="AT15" s="365"/>
      <c r="AU15" s="365"/>
      <c r="AV15" s="365"/>
      <c r="AW15" s="365"/>
      <c r="AX15" s="365"/>
      <c r="AY15" s="365"/>
      <c r="AZ15" s="365"/>
      <c r="BA15" s="38"/>
      <c r="BB15" s="294" t="s">
        <v>838</v>
      </c>
      <c r="BC15" s="294"/>
      <c r="BD15" s="294"/>
      <c r="BE15" s="294"/>
      <c r="BF15" s="294"/>
      <c r="BG15" s="294"/>
      <c r="BH15" s="294"/>
      <c r="BI15" s="294"/>
      <c r="BJ15" s="294"/>
      <c r="BK15" s="38"/>
      <c r="BL15" s="365"/>
      <c r="BM15" s="365"/>
      <c r="BN15" s="365"/>
      <c r="BO15" s="365"/>
      <c r="BP15" s="365"/>
      <c r="BQ15" s="365"/>
      <c r="BR15" s="365"/>
      <c r="BS15" s="365"/>
      <c r="BT15" s="365"/>
      <c r="BU15" s="38"/>
      <c r="BV15" s="217"/>
      <c r="BW15" s="218"/>
      <c r="BX15" s="214" t="e">
        <f t="shared" si="1"/>
        <v>#DIV/0!</v>
      </c>
      <c r="BY15" s="215">
        <f t="shared" si="2"/>
        <v>0</v>
      </c>
      <c r="BZ15" s="52"/>
      <c r="CA15" s="220"/>
      <c r="CB15" s="221"/>
      <c r="CC15" s="52"/>
      <c r="CD15" s="220"/>
      <c r="CE15" s="221"/>
    </row>
    <row r="16" spans="1:83" ht="15.75" customHeight="1" x14ac:dyDescent="0.3">
      <c r="A16" s="363"/>
      <c r="B16" s="363"/>
      <c r="C16" s="363"/>
      <c r="D16" s="294"/>
      <c r="E16" s="294"/>
      <c r="F16" s="294"/>
      <c r="G16" s="294"/>
      <c r="H16" s="294"/>
      <c r="I16" s="294"/>
      <c r="J16" s="294"/>
      <c r="K16" s="294"/>
      <c r="L16" s="294"/>
      <c r="M16" s="38"/>
      <c r="N16" s="365" t="s">
        <v>839</v>
      </c>
      <c r="O16" s="365"/>
      <c r="P16" s="365"/>
      <c r="Q16" s="365"/>
      <c r="R16" s="365"/>
      <c r="S16" s="365"/>
      <c r="T16" s="365"/>
      <c r="U16" s="365"/>
      <c r="V16" s="365"/>
      <c r="W16" s="38"/>
      <c r="X16" s="294"/>
      <c r="Y16" s="294"/>
      <c r="Z16" s="294"/>
      <c r="AA16" s="294"/>
      <c r="AB16" s="294"/>
      <c r="AC16" s="294"/>
      <c r="AD16" s="294"/>
      <c r="AE16" s="294"/>
      <c r="AF16" s="294"/>
      <c r="AG16" s="38"/>
      <c r="AH16" s="294"/>
      <c r="AI16" s="294"/>
      <c r="AJ16" s="294"/>
      <c r="AK16" s="294"/>
      <c r="AL16" s="294"/>
      <c r="AM16" s="294"/>
      <c r="AN16" s="294"/>
      <c r="AO16" s="294"/>
      <c r="AP16" s="294"/>
      <c r="AQ16" s="38"/>
      <c r="AR16" s="365"/>
      <c r="AS16" s="365"/>
      <c r="AT16" s="365"/>
      <c r="AU16" s="365"/>
      <c r="AV16" s="365"/>
      <c r="AW16" s="365"/>
      <c r="AX16" s="365"/>
      <c r="AY16" s="365"/>
      <c r="AZ16" s="365"/>
      <c r="BA16" s="38"/>
      <c r="BB16" s="294"/>
      <c r="BC16" s="294"/>
      <c r="BD16" s="294"/>
      <c r="BE16" s="294"/>
      <c r="BF16" s="294"/>
      <c r="BG16" s="294"/>
      <c r="BH16" s="294"/>
      <c r="BI16" s="294"/>
      <c r="BJ16" s="294"/>
      <c r="BK16" s="38"/>
      <c r="BL16" s="365"/>
      <c r="BM16" s="365"/>
      <c r="BN16" s="365"/>
      <c r="BO16" s="365"/>
      <c r="BP16" s="365"/>
      <c r="BQ16" s="365"/>
      <c r="BR16" s="365"/>
      <c r="BS16" s="365"/>
      <c r="BT16" s="365"/>
      <c r="BU16" s="38"/>
      <c r="BX16" s="214" t="e">
        <f t="shared" si="1"/>
        <v>#DIV/0!</v>
      </c>
      <c r="BY16" s="215">
        <f t="shared" si="2"/>
        <v>0</v>
      </c>
      <c r="BZ16" s="52"/>
      <c r="CA16" s="220"/>
      <c r="CB16" s="221"/>
      <c r="CC16" s="52"/>
      <c r="CD16" s="220"/>
      <c r="CE16" s="221"/>
    </row>
    <row r="17" spans="1:83" ht="15.75" customHeight="1" x14ac:dyDescent="0.3">
      <c r="A17" s="305" t="str">
        <f ca="1">IF(COUNTIF(D30:BZ31,"BLANK"),"BLANK",
IF(COUNTIF(D30:BZ31,"REJECT"),"REJECT",
IF(COUNTIF(D30:BZ31,"CHECK"),"CHECK","EQ")))</f>
        <v>EQ</v>
      </c>
      <c r="B17" s="305"/>
      <c r="C17" s="305"/>
      <c r="D17" s="294"/>
      <c r="E17" s="294"/>
      <c r="F17" s="294"/>
      <c r="G17" s="294"/>
      <c r="H17" s="294"/>
      <c r="I17" s="294"/>
      <c r="J17" s="294"/>
      <c r="K17" s="294"/>
      <c r="L17" s="294"/>
      <c r="M17" s="38"/>
      <c r="N17" s="365"/>
      <c r="O17" s="365"/>
      <c r="P17" s="365"/>
      <c r="Q17" s="365"/>
      <c r="R17" s="365"/>
      <c r="S17" s="365"/>
      <c r="T17" s="365"/>
      <c r="U17" s="365"/>
      <c r="V17" s="365"/>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5"/>
      <c r="AS17" s="365"/>
      <c r="AT17" s="365"/>
      <c r="AU17" s="365"/>
      <c r="AV17" s="365"/>
      <c r="AW17" s="365"/>
      <c r="AX17" s="365"/>
      <c r="AY17" s="365"/>
      <c r="AZ17" s="365"/>
      <c r="BA17" s="38"/>
      <c r="BB17" s="294" t="s">
        <v>841</v>
      </c>
      <c r="BC17" s="294"/>
      <c r="BD17" s="294"/>
      <c r="BE17" s="294"/>
      <c r="BF17" s="294"/>
      <c r="BG17" s="294"/>
      <c r="BH17" s="294"/>
      <c r="BI17" s="294"/>
      <c r="BJ17" s="294"/>
      <c r="BK17" s="38"/>
      <c r="BL17" s="365"/>
      <c r="BM17" s="365"/>
      <c r="BN17" s="365"/>
      <c r="BO17" s="365"/>
      <c r="BP17" s="365"/>
      <c r="BQ17" s="365"/>
      <c r="BR17" s="365"/>
      <c r="BS17" s="365"/>
      <c r="BT17" s="365"/>
      <c r="BU17" s="38"/>
      <c r="BX17" s="214" t="e">
        <f t="shared" si="1"/>
        <v>#DIV/0!</v>
      </c>
      <c r="BY17" s="215">
        <f t="shared" si="2"/>
        <v>0</v>
      </c>
      <c r="BZ17" s="52"/>
      <c r="CC17" s="52"/>
      <c r="CD17" s="223"/>
      <c r="CE17" s="225"/>
    </row>
    <row r="18" spans="1:83" ht="15.75" customHeight="1" x14ac:dyDescent="0.3">
      <c r="A18" s="305"/>
      <c r="B18" s="305"/>
      <c r="C18" s="305"/>
      <c r="D18" s="294"/>
      <c r="E18" s="294"/>
      <c r="F18" s="294"/>
      <c r="G18" s="294"/>
      <c r="H18" s="294"/>
      <c r="I18" s="294"/>
      <c r="J18" s="294"/>
      <c r="K18" s="294"/>
      <c r="L18" s="294"/>
      <c r="M18" s="38"/>
      <c r="N18" s="365"/>
      <c r="O18" s="365"/>
      <c r="P18" s="365"/>
      <c r="Q18" s="365"/>
      <c r="R18" s="365"/>
      <c r="S18" s="365"/>
      <c r="T18" s="365"/>
      <c r="U18" s="365"/>
      <c r="V18" s="365"/>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5"/>
      <c r="BM18" s="365"/>
      <c r="BN18" s="365"/>
      <c r="BO18" s="365"/>
      <c r="BP18" s="365"/>
      <c r="BQ18" s="365"/>
      <c r="BR18" s="365"/>
      <c r="BS18" s="365"/>
      <c r="BT18" s="365"/>
      <c r="BU18" s="38"/>
      <c r="BX18" s="214" t="e">
        <f t="shared" si="1"/>
        <v>#DIV/0!</v>
      </c>
      <c r="BY18" s="215">
        <f t="shared" si="2"/>
        <v>0</v>
      </c>
      <c r="BZ18" s="52"/>
      <c r="CC18" s="52"/>
      <c r="CD18" s="223"/>
      <c r="CE18" s="225"/>
    </row>
    <row r="19" spans="1:83" ht="15.75" customHeight="1" x14ac:dyDescent="0.3">
      <c r="A19" s="305"/>
      <c r="B19" s="305"/>
      <c r="C19" s="305"/>
      <c r="D19" s="365" t="s">
        <v>843</v>
      </c>
      <c r="E19" s="365"/>
      <c r="F19" s="365"/>
      <c r="G19" s="365"/>
      <c r="H19" s="365"/>
      <c r="I19" s="365"/>
      <c r="J19" s="365"/>
      <c r="K19" s="365"/>
      <c r="L19" s="365"/>
      <c r="M19" s="38"/>
      <c r="N19" s="365"/>
      <c r="O19" s="365"/>
      <c r="P19" s="365"/>
      <c r="Q19" s="365"/>
      <c r="R19" s="365"/>
      <c r="S19" s="365"/>
      <c r="T19" s="365"/>
      <c r="U19" s="365"/>
      <c r="V19" s="365"/>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5"/>
      <c r="BM19" s="365"/>
      <c r="BN19" s="365"/>
      <c r="BO19" s="365"/>
      <c r="BP19" s="365"/>
      <c r="BQ19" s="365"/>
      <c r="BR19" s="365"/>
      <c r="BS19" s="365"/>
      <c r="BT19" s="365"/>
      <c r="BU19" s="38"/>
      <c r="BX19" s="214" t="e">
        <f t="shared" si="1"/>
        <v>#DIV/0!</v>
      </c>
      <c r="BY19" s="215">
        <f t="shared" si="2"/>
        <v>0</v>
      </c>
      <c r="BZ19" s="52"/>
      <c r="CC19" s="52"/>
      <c r="CD19" s="223"/>
      <c r="CE19" s="225"/>
    </row>
    <row r="20" spans="1:83" ht="15.75" customHeight="1" x14ac:dyDescent="0.3">
      <c r="A20" s="305"/>
      <c r="B20" s="305"/>
      <c r="C20" s="305"/>
      <c r="D20" s="365"/>
      <c r="E20" s="365"/>
      <c r="F20" s="365"/>
      <c r="G20" s="365"/>
      <c r="H20" s="365"/>
      <c r="I20" s="365"/>
      <c r="J20" s="365"/>
      <c r="K20" s="365"/>
      <c r="L20" s="365"/>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05"/>
      <c r="B21" s="305"/>
      <c r="C21" s="305"/>
      <c r="D21" s="365"/>
      <c r="E21" s="365"/>
      <c r="F21" s="365"/>
      <c r="G21" s="365"/>
      <c r="H21" s="365"/>
      <c r="I21" s="365"/>
      <c r="J21" s="365"/>
      <c r="K21" s="365"/>
      <c r="L21" s="365"/>
      <c r="M21" s="38"/>
      <c r="N21" s="42"/>
      <c r="O21" s="42"/>
      <c r="P21" s="42"/>
      <c r="Q21" s="42"/>
      <c r="R21" s="42"/>
      <c r="S21" s="42"/>
      <c r="T21" s="42"/>
      <c r="U21" s="42"/>
      <c r="V21" s="42"/>
      <c r="W21" s="38"/>
      <c r="X21" s="42"/>
      <c r="Y21" s="345"/>
      <c r="Z21" s="345"/>
      <c r="AA21" s="345"/>
      <c r="AB21" s="345"/>
      <c r="AC21" s="345"/>
      <c r="AD21" s="345"/>
      <c r="AE21" s="345"/>
      <c r="AF21" s="42"/>
      <c r="AG21" s="38"/>
      <c r="AH21" s="366" t="s">
        <v>847</v>
      </c>
      <c r="AI21" s="366"/>
      <c r="AJ21" s="366"/>
      <c r="AK21" s="366"/>
      <c r="AL21" s="366"/>
      <c r="AM21" s="366"/>
      <c r="AN21" s="366"/>
      <c r="AO21" s="366"/>
      <c r="AP21" s="366"/>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05"/>
      <c r="B22" s="305"/>
      <c r="C22" s="305"/>
      <c r="D22" s="365"/>
      <c r="E22" s="365"/>
      <c r="F22" s="365"/>
      <c r="G22" s="365"/>
      <c r="H22" s="365"/>
      <c r="I22" s="365"/>
      <c r="J22" s="365"/>
      <c r="K22" s="365"/>
      <c r="L22" s="365"/>
      <c r="M22" s="41"/>
      <c r="N22" s="42"/>
      <c r="O22" s="42"/>
      <c r="P22" s="42"/>
      <c r="Q22" s="42"/>
      <c r="R22" s="42"/>
      <c r="S22" s="42"/>
      <c r="T22" s="42"/>
      <c r="U22" s="42"/>
      <c r="V22" s="42"/>
      <c r="W22" s="41"/>
      <c r="X22" s="42"/>
      <c r="Y22" s="345"/>
      <c r="Z22" s="345"/>
      <c r="AA22" s="345"/>
      <c r="AB22" s="345"/>
      <c r="AC22" s="345"/>
      <c r="AD22" s="345"/>
      <c r="AE22" s="345"/>
      <c r="AF22" s="42"/>
      <c r="AG22" s="41"/>
      <c r="AH22" s="366"/>
      <c r="AI22" s="366"/>
      <c r="AJ22" s="366"/>
      <c r="AK22" s="366"/>
      <c r="AL22" s="366"/>
      <c r="AM22" s="366"/>
      <c r="AN22" s="366"/>
      <c r="AO22" s="366"/>
      <c r="AP22" s="366"/>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05"/>
      <c r="B23" s="305"/>
      <c r="C23" s="305"/>
      <c r="D23" s="42"/>
      <c r="E23" s="42"/>
      <c r="F23" s="42"/>
      <c r="G23" s="42"/>
      <c r="H23" s="42"/>
      <c r="I23" s="42"/>
      <c r="J23" s="42"/>
      <c r="K23" s="42"/>
      <c r="L23" s="42"/>
      <c r="M23" s="41"/>
      <c r="N23" s="42"/>
      <c r="O23" s="42"/>
      <c r="P23" s="42"/>
      <c r="Q23" s="42"/>
      <c r="R23" s="42"/>
      <c r="S23" s="42"/>
      <c r="T23" s="42"/>
      <c r="U23" s="42"/>
      <c r="V23" s="42"/>
      <c r="W23" s="41"/>
      <c r="X23" s="42"/>
      <c r="Y23" s="345"/>
      <c r="Z23" s="345"/>
      <c r="AA23" s="345"/>
      <c r="AB23" s="345"/>
      <c r="AC23" s="345"/>
      <c r="AD23" s="345"/>
      <c r="AE23" s="345"/>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5"/>
      <c r="Z24" s="345"/>
      <c r="AA24" s="345"/>
      <c r="AB24" s="345"/>
      <c r="AC24" s="345"/>
      <c r="AD24" s="345"/>
      <c r="AE24" s="345"/>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43" t="str">
        <f>'F.3.1-4 Tube Chassis'!$A$25</f>
        <v>Inch</v>
      </c>
      <c r="B25" s="343"/>
      <c r="C25" s="34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43"/>
      <c r="B26" s="343"/>
      <c r="C26" s="34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7" t="s">
        <v>852</v>
      </c>
      <c r="Y29" s="347"/>
      <c r="Z29" s="347"/>
      <c r="AA29" s="347"/>
      <c r="AB29" s="347"/>
      <c r="AC29" s="347"/>
      <c r="AD29" s="347"/>
      <c r="AE29" s="347"/>
      <c r="AF29" s="347"/>
      <c r="AG29" s="41"/>
      <c r="AH29" s="347" t="s">
        <v>853</v>
      </c>
      <c r="AI29" s="347"/>
      <c r="AJ29" s="347"/>
      <c r="AK29" s="347"/>
      <c r="AL29" s="347"/>
      <c r="AM29" s="347"/>
      <c r="AN29" s="347"/>
      <c r="AO29" s="347"/>
      <c r="AP29" s="347"/>
      <c r="AQ29" s="41"/>
      <c r="AR29" s="41"/>
      <c r="AS29" s="41"/>
      <c r="AT29" s="41"/>
      <c r="AU29" s="41"/>
      <c r="AV29" s="227" t="s">
        <v>853</v>
      </c>
      <c r="AW29" s="41"/>
      <c r="AX29" s="41"/>
      <c r="AY29" s="41"/>
      <c r="AZ29" s="41"/>
      <c r="BA29" s="41"/>
      <c r="BB29" s="52"/>
      <c r="BC29" s="52"/>
      <c r="BD29" s="52"/>
      <c r="BE29" s="52"/>
      <c r="BF29" s="41"/>
      <c r="BG29" s="52"/>
      <c r="BH29" s="52"/>
      <c r="BI29" s="52"/>
      <c r="BJ29" s="52"/>
      <c r="BK29" s="41"/>
      <c r="BL29" s="347" t="s">
        <v>852</v>
      </c>
      <c r="BM29" s="347"/>
      <c r="BN29" s="347"/>
      <c r="BO29" s="347"/>
      <c r="BP29" s="347"/>
      <c r="BQ29" s="347"/>
      <c r="BR29" s="347"/>
      <c r="BS29" s="347"/>
      <c r="BT29" s="347"/>
      <c r="BU29" s="41"/>
      <c r="BX29" s="214" t="e">
        <f t="shared" si="1"/>
        <v>#DIV/0!</v>
      </c>
      <c r="BY29" s="215">
        <f t="shared" si="2"/>
        <v>0</v>
      </c>
      <c r="BZ29" s="41"/>
      <c r="CC29" s="41"/>
      <c r="CD29" s="223"/>
      <c r="CE29" s="225"/>
    </row>
    <row r="30" spans="1:83" ht="15" customHeight="1" x14ac:dyDescent="0.3">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EQ</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x14ac:dyDescent="0.3">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74"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4"/>
      <c r="F33" s="374"/>
      <c r="G33" s="374"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4"/>
      <c r="I33" s="374"/>
      <c r="J33" s="374"/>
      <c r="K33" s="374"/>
      <c r="L33" s="374"/>
      <c r="N33" s="374" t="str">
        <f>IF(NOT(T37="Composite"),"No additional test for Steel or Aluminum AIP.","Composite AIP - "&amp;T48)</f>
        <v>No additional test for Steel or Aluminum AIP.</v>
      </c>
      <c r="O33" s="374"/>
      <c r="P33" s="374"/>
      <c r="Q33" s="374"/>
      <c r="R33" s="374"/>
      <c r="S33" s="374"/>
      <c r="T33" s="374"/>
      <c r="U33" s="374"/>
      <c r="V33" s="374"/>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74"/>
      <c r="E34" s="374"/>
      <c r="F34" s="374"/>
      <c r="G34" s="374"/>
      <c r="H34" s="374"/>
      <c r="I34" s="374"/>
      <c r="J34" s="374"/>
      <c r="K34" s="374"/>
      <c r="L34" s="374"/>
      <c r="N34" s="374"/>
      <c r="O34" s="374"/>
      <c r="P34" s="374"/>
      <c r="Q34" s="374"/>
      <c r="R34" s="374"/>
      <c r="S34" s="374"/>
      <c r="T34" s="374"/>
      <c r="U34" s="374"/>
      <c r="V34" s="374"/>
      <c r="X34" s="25" t="s">
        <v>871</v>
      </c>
      <c r="Y34" s="13"/>
      <c r="Z34" s="13"/>
      <c r="AA34" s="13"/>
      <c r="AB34" s="13"/>
      <c r="AC34" s="13"/>
      <c r="AD34" s="13"/>
      <c r="AE34" s="13"/>
      <c r="AF34" s="13"/>
      <c r="AG34" s="228"/>
      <c r="AH34" s="367" t="str">
        <f>IF(COUNTIF(AP35:AP51,"BLANK"),"BLANK",IF(OR(SUMPRODUCT(--ISERROR(AP35:AP51))&gt;0,COUNTIF(AP35:AP51,"REJECT")),"REJECT",IF(COUNTIF(AP35:AP51,"CHECK"),"CHECK","EQ")))</f>
        <v>EQ</v>
      </c>
      <c r="AI34" s="367"/>
      <c r="AJ34" s="367"/>
      <c r="AK34" s="367"/>
      <c r="AL34" s="367"/>
      <c r="AM34" s="367"/>
      <c r="AN34" s="367"/>
      <c r="AO34" s="367"/>
      <c r="AP34" s="36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9" t="s">
        <v>1134</v>
      </c>
      <c r="AO35" s="370"/>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67" t="str">
        <f>IF(COUNTIF(V37:V38,"BLANK"),"BLANK",IF(OR(SUMPRODUCT(--ISERROR(V37:V38))&gt;0,COUNTIF(V37:V38,"REJECT")),"REJECT",IF(COUNTIF(V37:V38,"CHECK"),"CHECK","EQ")))</f>
        <v>EQ</v>
      </c>
      <c r="O36" s="367"/>
      <c r="P36" s="367"/>
      <c r="Q36" s="367"/>
      <c r="R36" s="367"/>
      <c r="S36" s="367"/>
      <c r="T36" s="367"/>
      <c r="U36" s="367"/>
      <c r="V36" s="367"/>
      <c r="X36" s="35" t="s">
        <v>879</v>
      </c>
      <c r="Y36" s="11"/>
      <c r="Z36" s="11"/>
      <c r="AA36" s="11"/>
      <c r="AB36" s="11"/>
      <c r="AC36" s="11"/>
      <c r="AD36" s="11"/>
      <c r="AE36" s="11"/>
      <c r="AF36" s="11"/>
      <c r="AG36" s="11"/>
      <c r="AH36" s="183"/>
      <c r="AI36" s="185"/>
      <c r="AJ36" s="170"/>
      <c r="AK36" s="170"/>
      <c r="AL36" s="170"/>
      <c r="AM36" s="183" t="s">
        <v>142</v>
      </c>
      <c r="AN36" s="368" t="s">
        <v>143</v>
      </c>
      <c r="AO36" s="368"/>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69" t="s">
        <v>804</v>
      </c>
      <c r="U37" s="370"/>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1" t="s">
        <v>772</v>
      </c>
      <c r="AO37" s="372"/>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3" t="s">
        <v>899</v>
      </c>
      <c r="BM38" s="373"/>
      <c r="BN38" s="373"/>
      <c r="BO38" s="373"/>
      <c r="BP38" s="373"/>
      <c r="BQ38" s="373"/>
      <c r="BR38" s="373"/>
      <c r="BS38" s="373"/>
      <c r="BT38" s="373"/>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3"/>
      <c r="BM39" s="373"/>
      <c r="BN39" s="373"/>
      <c r="BO39" s="373"/>
      <c r="BP39" s="373"/>
      <c r="BQ39" s="373"/>
      <c r="BR39" s="373"/>
      <c r="BS39" s="373"/>
      <c r="BT39" s="373"/>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31"/>
      <c r="BQ41" s="332"/>
      <c r="BR41" s="332"/>
      <c r="BS41" s="333"/>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0"/>
      <c r="BQ42" s="381"/>
      <c r="BR42" s="381"/>
      <c r="BS42" s="382"/>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7"/>
      <c r="BQ43" s="317"/>
      <c r="BR43" s="317"/>
      <c r="BS43" s="317"/>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3" t="s">
        <v>938</v>
      </c>
      <c r="P47" s="353"/>
      <c r="Q47" s="353"/>
      <c r="R47" s="353"/>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6" t="s">
        <v>1243</v>
      </c>
      <c r="I48" s="310"/>
      <c r="J48" s="310"/>
      <c r="K48" s="297"/>
      <c r="L48" s="11" t="str">
        <f>IF(H48="","BLANK","EQ")</f>
        <v>EQ</v>
      </c>
      <c r="N48" s="12" t="s">
        <v>908</v>
      </c>
      <c r="O48" s="15"/>
      <c r="P48" s="15"/>
      <c r="Q48" s="15"/>
      <c r="R48" s="15"/>
      <c r="S48" s="15" t="s">
        <v>944</v>
      </c>
      <c r="T48" s="375"/>
      <c r="U48" s="352"/>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50"/>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76"/>
      <c r="K49" s="377"/>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79" t="str">
        <f>IF(J49="355mm (14in)","304mm (12in)","355mm (14in)")</f>
        <v>355mm (14in)</v>
      </c>
      <c r="K50" s="379"/>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50"/>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7" t="s">
        <v>1249</v>
      </c>
      <c r="AC53" s="317"/>
      <c r="AD53" s="317"/>
      <c r="AE53" s="317"/>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4" t="str">
        <f>J57</f>
        <v>Tube Diagonal</v>
      </c>
      <c r="AO54" s="384"/>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67" t="str">
        <f>IF(COUNTIF(L57:L73,"BLANK"),"BLANK",IF(OR(SUMPRODUCT(--ISERROR(L57:L73))&gt;0,COUNTIF(L57:L73,"REJECT")),"REJECT",IF(COUNTIF(L57:L73,"CHECK"),"CHECK","EQ")))</f>
        <v>EQ</v>
      </c>
      <c r="E56" s="367"/>
      <c r="F56" s="367"/>
      <c r="G56" s="367"/>
      <c r="H56" s="367"/>
      <c r="I56" s="367"/>
      <c r="J56" s="367"/>
      <c r="K56" s="367"/>
      <c r="L56" s="36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69" t="s">
        <v>1244</v>
      </c>
      <c r="K57" s="383"/>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68" t="s">
        <v>143</v>
      </c>
      <c r="K58" s="368"/>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1" t="s">
        <v>772</v>
      </c>
      <c r="K59" s="372"/>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31" t="s">
        <v>1245</v>
      </c>
      <c r="AC68" s="332"/>
      <c r="AD68" s="332"/>
      <c r="AE68" s="333"/>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3" t="str">
        <f>IF($A$25="mm","25mm FBHS Section", "0.984in FBHS Section")</f>
        <v>0.984in FBHS Section</v>
      </c>
      <c r="AM70" s="353"/>
      <c r="AN70" s="361"/>
      <c r="AO70" s="361"/>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3" t="s">
        <v>1046</v>
      </c>
      <c r="BM70" s="373"/>
      <c r="BN70" s="373"/>
      <c r="BO70" s="373"/>
      <c r="BP70" s="373"/>
      <c r="BQ70" s="373"/>
      <c r="BR70" s="373"/>
      <c r="BS70" s="373"/>
      <c r="BT70" s="373"/>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3"/>
      <c r="BM71" s="373"/>
      <c r="BN71" s="373"/>
      <c r="BO71" s="373"/>
      <c r="BP71" s="373"/>
      <c r="BQ71" s="373"/>
      <c r="BR71" s="373"/>
      <c r="BS71" s="373"/>
      <c r="BT71" s="373"/>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9" t="s">
        <v>1052</v>
      </c>
      <c r="O73" s="349"/>
      <c r="P73" s="349"/>
      <c r="Q73" s="354" t="s">
        <v>1052</v>
      </c>
      <c r="R73" s="349"/>
      <c r="S73" s="355"/>
      <c r="T73" s="354" t="s">
        <v>1052</v>
      </c>
      <c r="U73" s="349"/>
      <c r="V73" s="355"/>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5"/>
      <c r="AY77" s="317"/>
      <c r="AZ77" s="11" t="str">
        <f>IF(NOT($AX$41="Bonded"),"N/A","EQ")</f>
        <v>N/A</v>
      </c>
      <c r="BC77" s="15"/>
      <c r="BD77" s="15"/>
      <c r="BE77" s="15"/>
      <c r="BF77" s="15"/>
      <c r="BG77" s="11"/>
      <c r="BH77" s="11"/>
      <c r="BJ77" s="11"/>
      <c r="BL77" s="54"/>
      <c r="BN77" s="32"/>
      <c r="BO77" s="15" t="s">
        <v>913</v>
      </c>
      <c r="BP77" s="331"/>
      <c r="BQ77" s="332"/>
      <c r="BR77" s="332"/>
      <c r="BS77" s="333"/>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6"/>
      <c r="BQ78" s="387"/>
      <c r="BR78" s="387"/>
      <c r="BS78" s="38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49" t="s">
        <v>1068</v>
      </c>
      <c r="O79" s="349"/>
      <c r="P79" s="349"/>
      <c r="Q79" s="354" t="s">
        <v>1068</v>
      </c>
      <c r="R79" s="349"/>
      <c r="S79" s="355"/>
      <c r="T79" s="354" t="s">
        <v>1068</v>
      </c>
      <c r="U79" s="349"/>
      <c r="V79" s="355"/>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6"/>
      <c r="BQ79" s="387"/>
      <c r="BR79" s="387"/>
      <c r="BS79" s="38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89"/>
      <c r="G83" s="80" t="s">
        <v>1222</v>
      </c>
      <c r="H83" s="11" t="s">
        <v>1078</v>
      </c>
      <c r="I83" s="261" t="s">
        <v>84</v>
      </c>
      <c r="J83" s="361" t="str">
        <f>IF(I83="AIP",T37,IF(AN35="Tube",AN37,"Composite"))</f>
        <v>Steel</v>
      </c>
      <c r="K83" s="361"/>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7"/>
      <c r="E86" s="317"/>
      <c r="G86" s="11"/>
      <c r="H86" s="11"/>
      <c r="I86" s="15" t="str">
        <f>IF(G83="Laminated","Type Tab Name Of Enclosing Layup Used:",IF(G83="Bolted",IF(AND(E83="Composite",J83="Composite"),"Left, diagonal. Right, "&amp;I83&amp;" composite.",IF(E83="Composite","Left, composite diagonal:",IF(J83="Composite","Right, "&amp;I83&amp;" composite:",""))),""))</f>
        <v/>
      </c>
      <c r="J86" s="317"/>
      <c r="K86" s="317"/>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5"/>
      <c r="AY86" s="317"/>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45"/>
      <c r="Z95" s="345"/>
      <c r="AA95" s="345"/>
      <c r="AB95" s="345"/>
      <c r="AC95" s="345"/>
      <c r="AD95" s="345"/>
      <c r="AE95" s="345"/>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5"/>
      <c r="Z96" s="345"/>
      <c r="AA96" s="345"/>
      <c r="AB96" s="345"/>
      <c r="AC96" s="345"/>
      <c r="AD96" s="345"/>
      <c r="AE96" s="345"/>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7"/>
      <c r="K103" s="317"/>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7"/>
      <c r="AO105" s="317"/>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58" t="str">
        <f>CONCATENATE(AN104," x Steel Tube")</f>
        <v>0 x Steel Tube</v>
      </c>
      <c r="AL114" s="358"/>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abSelected="1" zoomScale="80" zoomScaleNormal="90" workbookViewId="0">
      <selection activeCell="M26" sqref="M26"/>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0" t="str">
        <f>IF(OR(C4="YES",C4="NO"),"EQ","BLANK")</f>
        <v>EQ</v>
      </c>
      <c r="B1" s="390"/>
      <c r="C1" s="390"/>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0" t="str">
        <f>IF(OR(C10="YES",C10="NO"),"EQ","BLANK")</f>
        <v>EQ</v>
      </c>
      <c r="B6" s="390"/>
      <c r="C6" s="390"/>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0" t="str">
        <f>IF(OR(C17="YES",C17="NO"),"EQ","BLANK")</f>
        <v>EQ</v>
      </c>
      <c r="B14" s="390"/>
      <c r="C14" s="390"/>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1" t="str">
        <f>IF(OR(COUNTIF(A1:C14,"BLANK"),COUNTIF(D30:AS31,"BLANK")),"BLANK",IF(COUNTIF(D30:AS31,"REJECT"),"REJECT",IF(COUNTIF(D30:AS31,"CHECK"),"CHECK",IF(AND(NOT(COUNTIF(D30:AS31,"EQ")),B18="NO ACTION NEEDED."),"N/A","EQ"))))</f>
        <v>EQ</v>
      </c>
      <c r="B19" s="391"/>
      <c r="C19" s="391"/>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1"/>
      <c r="B20" s="391"/>
      <c r="C20" s="39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1"/>
      <c r="B21" s="391"/>
      <c r="C21" s="391"/>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1"/>
      <c r="B22" s="391"/>
      <c r="C22" s="391"/>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1"/>
      <c r="B23" s="391"/>
      <c r="C23" s="391"/>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1"/>
      <c r="B24" s="391"/>
      <c r="C24" s="39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64" t="s">
        <v>1129</v>
      </c>
      <c r="B31" s="364"/>
      <c r="C31" s="364"/>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64" t="str">
        <f>IF($A$25="mm","Note: Young's Modulus is given in MPa, not Gpa.","")</f>
        <v/>
      </c>
      <c r="E32" s="364"/>
      <c r="F32" s="364"/>
      <c r="G32" s="364"/>
      <c r="H32" s="364"/>
      <c r="I32" s="364"/>
      <c r="J32" s="364"/>
      <c r="K32" s="364"/>
      <c r="L32" s="364"/>
      <c r="N32" s="364" t="str">
        <f>IF($A$25="mm","Note: Young's Modulus is given in MPa, not Gpa.","")</f>
        <v/>
      </c>
      <c r="O32" s="364"/>
      <c r="P32" s="364"/>
      <c r="Q32" s="364"/>
      <c r="R32" s="364"/>
      <c r="S32" s="364"/>
      <c r="T32" s="364"/>
      <c r="U32" s="364"/>
      <c r="V32" s="364"/>
      <c r="X32" s="364" t="str">
        <f>IF($A$25="mm","Note: Young's Modulus is given in MPa, not Gpa.","")</f>
        <v/>
      </c>
      <c r="Y32" s="364"/>
      <c r="Z32" s="364"/>
      <c r="AA32" s="364"/>
      <c r="AB32" s="364"/>
      <c r="AC32" s="364"/>
      <c r="AD32" s="364"/>
      <c r="AE32" s="364"/>
      <c r="AF32" s="364"/>
      <c r="AH32" s="364" t="str">
        <f>IF($A$25="mm","Note: Young's Modulus is given in MPa, not Gpa.","")</f>
        <v/>
      </c>
      <c r="AI32" s="364"/>
      <c r="AJ32" s="364"/>
      <c r="AK32" s="364"/>
      <c r="AL32" s="364"/>
      <c r="AM32" s="364"/>
      <c r="AN32" s="364"/>
      <c r="AO32" s="364"/>
      <c r="AP32" s="364"/>
      <c r="AR32" s="364" t="str">
        <f>IF($A$25="mm","Note: Young's Modulus is given in MPa, not Gpa.","")</f>
        <v/>
      </c>
      <c r="AS32" s="364"/>
      <c r="AT32" s="364"/>
      <c r="AU32" s="364"/>
      <c r="AV32" s="364"/>
      <c r="AW32" s="364"/>
      <c r="AX32" s="364"/>
      <c r="AY32" s="364"/>
      <c r="AZ32" s="364"/>
    </row>
    <row r="33" spans="1:52" ht="15" customHeight="1" x14ac:dyDescent="0.3">
      <c r="A33" s="207">
        <f>IF($A$25="mm",200*10^9,29000*10^3)</f>
        <v>29000000</v>
      </c>
      <c r="B33" s="207">
        <f>IF($A$25="mm",69*10^9,10000*10^3)</f>
        <v>10000000</v>
      </c>
      <c r="C33" s="208"/>
      <c r="D33" s="367" t="str">
        <f>IF(COUNTIF(L35:L57,"BLANK"),"BLANK",IF(OR(SUMPRODUCT(--ISERROR(L35:L57))&gt;0,COUNTIF(L35:L57,"REJECT")),"REJECT",IF(COUNTIF(L35:L57,"CHECK"),"CHECK","EQ")))</f>
        <v>EQ</v>
      </c>
      <c r="E33" s="367"/>
      <c r="F33" s="367"/>
      <c r="G33" s="367"/>
      <c r="H33" s="367"/>
      <c r="I33" s="367"/>
      <c r="J33" s="367"/>
      <c r="K33" s="367"/>
      <c r="L33" s="367"/>
      <c r="N33" s="367" t="str">
        <f>IF(COUNTIF(V35:V57,"BLANK"),"BLANK",IF(OR(SUMPRODUCT(--ISERROR(V35:V57))&gt;0,COUNTIF(V35:V57,"REJECT")),"REJECT",IF(COUNTIF(V35:V57,"CHECK"),"CHECK","EQ")))</f>
        <v>EQ</v>
      </c>
      <c r="O33" s="367"/>
      <c r="P33" s="367"/>
      <c r="Q33" s="367"/>
      <c r="R33" s="367"/>
      <c r="S33" s="367"/>
      <c r="T33" s="367"/>
      <c r="U33" s="367"/>
      <c r="V33" s="367"/>
      <c r="X33" s="367" t="str">
        <f>IF(COUNTIF(AF35:AF57,"BLANK"),"BLANK",IF(OR(SUMPRODUCT(--ISERROR(AF35:AF57))&gt;0,COUNTIF(AF35:AF57,"REJECT")),"REJECT",IF(COUNTIF(AF35:AF57,"CHECK"),"CHECK","EQ")))</f>
        <v>EQ</v>
      </c>
      <c r="Y33" s="367"/>
      <c r="Z33" s="367"/>
      <c r="AA33" s="367"/>
      <c r="AB33" s="367"/>
      <c r="AC33" s="367"/>
      <c r="AD33" s="367"/>
      <c r="AE33" s="367"/>
      <c r="AF33" s="367"/>
      <c r="AH33" s="367" t="str">
        <f>IF(COUNTIF(AP35:AP57,"BLANK"),"BLANK",IF(OR(SUMPRODUCT(--ISERROR(AP35:AP57))&gt;0,COUNTIF(AP35:AP57,"REJECT")),"REJECT",IF(COUNTIF(AP35:AP57,"CHECK"),"CHECK","EQ")))</f>
        <v>EQ</v>
      </c>
      <c r="AI33" s="367"/>
      <c r="AJ33" s="367"/>
      <c r="AK33" s="367"/>
      <c r="AL33" s="367"/>
      <c r="AM33" s="367"/>
      <c r="AN33" s="367"/>
      <c r="AO33" s="367"/>
      <c r="AP33" s="367"/>
      <c r="AR33" s="367" t="str">
        <f>IF(COUNTIF(AZ35:AZ57,"BLANK"),"BLANK",IF(OR(SUMPRODUCT(--ISERROR(AZ35:AZ57))&gt;0,COUNTIF(AZ35:AZ57,"REJECT")),"REJECT",IF(COUNTIF(AZ35:AZ57,"CHECK"),"CHECK","EQ")))</f>
        <v>EQ</v>
      </c>
      <c r="AS33" s="367"/>
      <c r="AT33" s="367"/>
      <c r="AU33" s="367"/>
      <c r="AV33" s="367"/>
      <c r="AW33" s="367"/>
      <c r="AX33" s="367"/>
      <c r="AY33" s="367"/>
      <c r="AZ33" s="367"/>
    </row>
    <row r="34" spans="1:52" ht="15" customHeight="1" x14ac:dyDescent="0.3">
      <c r="A34" s="207">
        <f>IF($A$25="mm",305*10^6,44.2*10^3)</f>
        <v>44200</v>
      </c>
      <c r="B34" s="207">
        <f>IF($A$25="mm",240*10^6,34.8*10^3)</f>
        <v>34800</v>
      </c>
      <c r="C34" s="208"/>
      <c r="D34" s="228"/>
      <c r="E34" s="228"/>
      <c r="F34" s="228"/>
      <c r="G34" s="228"/>
      <c r="H34" s="228"/>
      <c r="I34" s="183" t="s">
        <v>142</v>
      </c>
      <c r="J34" s="364" t="s">
        <v>1131</v>
      </c>
      <c r="K34" s="384"/>
      <c r="L34" s="228" t="str">
        <f>IF(AND(NOT($B$18="FILL OUT THIS TAB."),J$39="",J$40="",J$43="",J$44="",J$45="",J$46=""),"N/A","EQ")</f>
        <v>EQ</v>
      </c>
      <c r="N34" s="228"/>
      <c r="O34" s="228"/>
      <c r="P34" s="228"/>
      <c r="Q34" s="228"/>
      <c r="R34" s="228"/>
      <c r="S34" s="183" t="s">
        <v>142</v>
      </c>
      <c r="T34" s="364" t="s">
        <v>1131</v>
      </c>
      <c r="U34" s="384"/>
      <c r="V34" s="228" t="str">
        <f>IF(AND(T$39="",T$40="",T$43="",T$44="",T$45="",T$46=""),"N/A","EQ")</f>
        <v>EQ</v>
      </c>
      <c r="X34" s="228"/>
      <c r="Y34" s="228"/>
      <c r="Z34" s="228"/>
      <c r="AA34" s="228"/>
      <c r="AB34" s="228"/>
      <c r="AC34" s="183" t="s">
        <v>142</v>
      </c>
      <c r="AD34" s="364" t="s">
        <v>1131</v>
      </c>
      <c r="AE34" s="384"/>
      <c r="AF34" s="228" t="str">
        <f>IF(AND(AD$39="",AD$40="",AD$43="",AD$44="",AD$45="",AD$46=""),"N/A","EQ")</f>
        <v>N/A</v>
      </c>
      <c r="AH34" s="228"/>
      <c r="AI34" s="228"/>
      <c r="AJ34" s="228"/>
      <c r="AK34" s="228"/>
      <c r="AL34" s="228"/>
      <c r="AM34" s="183" t="s">
        <v>142</v>
      </c>
      <c r="AN34" s="364" t="s">
        <v>1131</v>
      </c>
      <c r="AO34" s="384"/>
      <c r="AP34" s="228" t="str">
        <f>IF(AND(AN$39="",AN$40="",AN$43="",AN$44="",AN$45="",AN$46=""),"N/A","EQ")</f>
        <v>N/A</v>
      </c>
      <c r="AR34" s="228"/>
      <c r="AS34" s="228"/>
      <c r="AT34" s="228"/>
      <c r="AU34" s="228"/>
      <c r="AV34" s="228"/>
      <c r="AW34" s="183" t="s">
        <v>142</v>
      </c>
      <c r="AX34" s="364" t="s">
        <v>1131</v>
      </c>
      <c r="AY34" s="384"/>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4" t="s">
        <v>1132</v>
      </c>
      <c r="K35" s="395"/>
      <c r="L35" s="228" t="str">
        <f>IF(AND(NOT($B$18="FILL OUT THIS TAB."),J$39="",J$40="",J$43="",J$44="",J$45="",J$46=""),"N/A","EQ")</f>
        <v>EQ</v>
      </c>
      <c r="N35" s="228"/>
      <c r="O35" s="228"/>
      <c r="P35" s="228"/>
      <c r="Q35" s="228"/>
      <c r="R35" s="228"/>
      <c r="S35" s="283" t="s">
        <v>214</v>
      </c>
      <c r="T35" s="394" t="s">
        <v>1132</v>
      </c>
      <c r="U35" s="395"/>
      <c r="V35" s="228" t="str">
        <f>IF(AND(T$39="",T$40="",T$43="",T$44="",T$45="",T$46=""),"N/A","EQ")</f>
        <v>EQ</v>
      </c>
      <c r="X35" s="228"/>
      <c r="Y35" s="228"/>
      <c r="Z35" s="228"/>
      <c r="AA35" s="228"/>
      <c r="AB35" s="228"/>
      <c r="AC35" s="283" t="s">
        <v>214</v>
      </c>
      <c r="AD35" s="394" t="s">
        <v>1132</v>
      </c>
      <c r="AE35" s="395"/>
      <c r="AF35" s="228" t="str">
        <f>IF(AND(AD$39="",AD$40="",AD$43="",AD$44="",AD$45="",AD$46=""),"N/A","EQ")</f>
        <v>N/A</v>
      </c>
      <c r="AH35" s="228"/>
      <c r="AI35" s="228"/>
      <c r="AJ35" s="228"/>
      <c r="AK35" s="228"/>
      <c r="AL35" s="228"/>
      <c r="AM35" s="283" t="s">
        <v>214</v>
      </c>
      <c r="AN35" s="394" t="s">
        <v>1132</v>
      </c>
      <c r="AO35" s="395"/>
      <c r="AP35" s="228" t="str">
        <f>IF(AND(AN$39="",AN$40="",AN$43="",AN$44="",AN$45="",AN$46=""),"N/A","EQ")</f>
        <v>N/A</v>
      </c>
      <c r="AR35" s="228"/>
      <c r="AS35" s="228"/>
      <c r="AT35" s="228"/>
      <c r="AU35" s="228"/>
      <c r="AV35" s="228"/>
      <c r="AW35" s="283" t="s">
        <v>214</v>
      </c>
      <c r="AX35" s="394" t="s">
        <v>1132</v>
      </c>
      <c r="AY35" s="395"/>
      <c r="AZ35" s="228" t="str">
        <f>IF(AND(AX$39="",AX$40="",AX$43="",AX$44="",AX$45="",AX$46=""),"N/A","EQ")</f>
        <v>N/A</v>
      </c>
    </row>
    <row r="36" spans="1:52" ht="15" customHeight="1" thickBot="1" x14ac:dyDescent="0.35">
      <c r="A36" s="364" t="s">
        <v>1133</v>
      </c>
      <c r="B36" s="364"/>
      <c r="C36" s="364"/>
      <c r="D36" s="228"/>
      <c r="E36" s="228"/>
      <c r="F36" s="228"/>
      <c r="G36" s="228"/>
      <c r="H36" s="228"/>
      <c r="I36" s="283" t="s">
        <v>1134</v>
      </c>
      <c r="J36" s="394" t="s">
        <v>1135</v>
      </c>
      <c r="K36" s="395"/>
      <c r="L36" s="228" t="str">
        <f>IF(AND(NOT($B$18="FILL OUT THIS TAB."),J$39="",J$40="",J$43="",J$44="",J$45="",J$46=""),"N/A","EQ")</f>
        <v>EQ</v>
      </c>
      <c r="N36" s="228"/>
      <c r="O36" s="228"/>
      <c r="P36" s="228"/>
      <c r="Q36" s="228"/>
      <c r="R36" s="228"/>
      <c r="S36" s="283" t="s">
        <v>1134</v>
      </c>
      <c r="T36" s="394" t="s">
        <v>1135</v>
      </c>
      <c r="U36" s="395"/>
      <c r="V36" s="228" t="str">
        <f>IF(AND(T$39="",T$40="",T$43="",T$44="",T$45="",T$46=""),"N/A","EQ")</f>
        <v>EQ</v>
      </c>
      <c r="X36" s="228"/>
      <c r="Y36" s="228"/>
      <c r="Z36" s="228"/>
      <c r="AA36" s="228"/>
      <c r="AB36" s="228"/>
      <c r="AC36" s="283" t="s">
        <v>1134</v>
      </c>
      <c r="AD36" s="394" t="s">
        <v>1135</v>
      </c>
      <c r="AE36" s="395"/>
      <c r="AF36" s="228" t="str">
        <f>IF(AND(AD$39="",AD$40="",AD$43="",AD$44="",AD$45="",AD$46=""),"N/A","EQ")</f>
        <v>N/A</v>
      </c>
      <c r="AH36" s="228"/>
      <c r="AI36" s="228"/>
      <c r="AJ36" s="228"/>
      <c r="AK36" s="228"/>
      <c r="AL36" s="228"/>
      <c r="AM36" s="283" t="s">
        <v>1134</v>
      </c>
      <c r="AN36" s="394" t="s">
        <v>1135</v>
      </c>
      <c r="AO36" s="395"/>
      <c r="AP36" s="228" t="str">
        <f>IF(AND(AN$39="",AN$40="",AN$43="",AN$44="",AN$45="",AN$46=""),"N/A","EQ")</f>
        <v>N/A</v>
      </c>
      <c r="AR36" s="228"/>
      <c r="AS36" s="228"/>
      <c r="AT36" s="228"/>
      <c r="AU36" s="228"/>
      <c r="AV36" s="228"/>
      <c r="AW36" s="283" t="s">
        <v>1134</v>
      </c>
      <c r="AX36" s="394" t="s">
        <v>1135</v>
      </c>
      <c r="AY36" s="395"/>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1" t="s">
        <v>772</v>
      </c>
      <c r="K37" s="372"/>
      <c r="L37" s="228" t="str">
        <f>IF(AND(NOT($B$18="FILL OUT THIS TAB."),J$39="",J$40="",J$43="",J$44="",J$45="",J$46=""),"N/A",IF(J37="","BLANK","EQ"))</f>
        <v>EQ</v>
      </c>
      <c r="N37" s="228"/>
      <c r="P37" s="170"/>
      <c r="Q37" s="170"/>
      <c r="R37" s="170" t="s">
        <v>1136</v>
      </c>
      <c r="S37" s="284" t="str">
        <f>T37</f>
        <v>Steel</v>
      </c>
      <c r="T37" s="371" t="s">
        <v>772</v>
      </c>
      <c r="U37" s="372"/>
      <c r="V37" s="228" t="str">
        <f>IF(AND(T$39="",T$40="",T$43="",T$44="",T$45="",T$46=""),"N/A",IF(T37="","BLANK","EQ"))</f>
        <v>EQ</v>
      </c>
      <c r="X37" s="228"/>
      <c r="Z37" s="170"/>
      <c r="AA37" s="170"/>
      <c r="AB37" s="170" t="s">
        <v>1136</v>
      </c>
      <c r="AC37" s="284">
        <f>AD37</f>
        <v>0</v>
      </c>
      <c r="AD37" s="371"/>
      <c r="AE37" s="372"/>
      <c r="AF37" s="228" t="str">
        <f>IF(AND(AD$39="",AD$40="",AD$43="",AD$44="",AD$45="",AD$46=""),"N/A",IF(AD37="","BLANK","EQ"))</f>
        <v>N/A</v>
      </c>
      <c r="AH37" s="228"/>
      <c r="AJ37" s="170"/>
      <c r="AK37" s="170"/>
      <c r="AL37" s="170" t="s">
        <v>1136</v>
      </c>
      <c r="AM37" s="284">
        <f>AN37</f>
        <v>0</v>
      </c>
      <c r="AN37" s="371"/>
      <c r="AO37" s="372"/>
      <c r="AP37" s="228" t="str">
        <f>IF(AND(AN$39="",AN$40="",AN$43="",AN$44="",AN$45="",AN$46=""),"N/A",IF(AN37="","BLANK","EQ"))</f>
        <v>N/A</v>
      </c>
      <c r="AR37" s="228"/>
      <c r="AT37" s="170"/>
      <c r="AU37" s="170"/>
      <c r="AV37" s="170" t="s">
        <v>1136</v>
      </c>
      <c r="AW37" s="284">
        <f>AX37</f>
        <v>0</v>
      </c>
      <c r="AX37" s="371"/>
      <c r="AY37" s="372"/>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0" t="str">
        <f>IF(OR(C4="YES",C4="NO"),"EQ","BLANK")</f>
        <v>EQ</v>
      </c>
      <c r="B2" s="390"/>
      <c r="C2" s="390"/>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0" t="str">
        <f>IF(C4="YES", "FILL OUT THIS TAB.", IF(C4=0,"","NO ACTION NEEDED."))</f>
        <v>NO ACTION NEEDED.</v>
      </c>
      <c r="B5" s="390"/>
      <c r="C5" s="390"/>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1" t="str">
        <f>IF(OR(A2="BLANK",COUNTIF(D30:AS31,"BLANK")),"BLANK",IF(COUNTIF(D30:AS31,"REJECT"),"REJECT",IF(COUNTIF(D30:AS31,"CHECK"),"CHECK",IF(AND(NOT(COUNTIF(D30:AS31,"EQ")),C4="No"),"N/A","EQ"))))</f>
        <v>N/A</v>
      </c>
      <c r="B27" s="391"/>
      <c r="C27" s="39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1"/>
      <c r="B28" s="391"/>
      <c r="C28" s="391"/>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1"/>
      <c r="B29" s="391"/>
      <c r="C29" s="391"/>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1"/>
      <c r="B30" s="391"/>
      <c r="C30" s="391"/>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1"/>
      <c r="B31" s="391"/>
      <c r="C31" s="391"/>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1"/>
      <c r="B32" s="391"/>
      <c r="C32" s="391"/>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1"/>
      <c r="B33" s="391"/>
      <c r="C33" s="391"/>
      <c r="D33" s="367" t="str">
        <f>IF(COUNTIF(L34,"BLANK"),"BLANK",IF(COUNTIF(L34,"REJECT"),"REJECT",IF(COUNTIF(L34,"CHECK"),"CHECK","EQ")))</f>
        <v>EQ</v>
      </c>
      <c r="E33" s="367"/>
      <c r="F33" s="367"/>
      <c r="G33" s="367"/>
      <c r="H33" s="367"/>
      <c r="I33" s="367"/>
      <c r="J33" s="367"/>
      <c r="K33" s="367"/>
      <c r="L33" s="367"/>
      <c r="N33" s="367" t="str">
        <f>IF(COUNTIF(V34,"BLANK"),"BLANK",IF(COUNTIF(V34,"REJECT"),"REJECT",IF(COUNTIF(V34,"CHECK"),"CHECK","EQ")))</f>
        <v>EQ</v>
      </c>
      <c r="O33" s="367"/>
      <c r="P33" s="367"/>
      <c r="Q33" s="367"/>
      <c r="R33" s="367"/>
      <c r="S33" s="367"/>
      <c r="T33" s="367"/>
      <c r="U33" s="367"/>
      <c r="V33" s="367"/>
      <c r="X33" s="367" t="str">
        <f>IF(COUNTIF(AF34,"BLANK"),"BLANK",IF(COUNTIF(AF34,"REJECT"),"REJECT",IF(COUNTIF(AF34,"CHECK"),"CHECK","EQ")))</f>
        <v>EQ</v>
      </c>
      <c r="Y33" s="367"/>
      <c r="Z33" s="367"/>
      <c r="AA33" s="367"/>
      <c r="AB33" s="367"/>
      <c r="AC33" s="367"/>
      <c r="AD33" s="367"/>
      <c r="AE33" s="367"/>
      <c r="AF33" s="367"/>
      <c r="AH33" s="367" t="str">
        <f>IF(COUNTIF(AP34,"BLANK"),"BLANK",IF(COUNTIF(AP34,"REJECT"),"REJECT",IF(COUNTIF(AP34,"CHECK"),"CHECK","EQ")))</f>
        <v>EQ</v>
      </c>
      <c r="AI33" s="367"/>
      <c r="AJ33" s="367"/>
      <c r="AK33" s="367"/>
      <c r="AL33" s="367"/>
      <c r="AM33" s="367"/>
      <c r="AN33" s="367"/>
      <c r="AO33" s="367"/>
      <c r="AP33" s="367"/>
      <c r="AR33" s="367" t="str">
        <f>IF(COUNTIF(AZ34,"BLANK"),"BLANK",IF(COUNTIF(AZ34,"REJECT"),"REJECT",IF(COUNTIF(AZ34,"CHECK"),"CHECK","EQ")))</f>
        <v>EQ</v>
      </c>
      <c r="AS33" s="367"/>
      <c r="AT33" s="367"/>
      <c r="AU33" s="367"/>
      <c r="AV33" s="367"/>
      <c r="AW33" s="367"/>
      <c r="AX33" s="367"/>
      <c r="AY33" s="367"/>
      <c r="AZ33" s="367"/>
    </row>
    <row r="34" spans="1:52" ht="15" customHeight="1" thickBot="1" x14ac:dyDescent="0.35">
      <c r="A34" s="391"/>
      <c r="B34" s="391"/>
      <c r="C34" s="391"/>
      <c r="D34" s="183" t="s">
        <v>1189</v>
      </c>
      <c r="F34" s="170"/>
      <c r="G34" s="170"/>
      <c r="H34" s="170"/>
      <c r="I34" s="170" t="s">
        <v>1190</v>
      </c>
      <c r="J34" s="369"/>
      <c r="K34" s="370"/>
      <c r="L34" s="228" t="str">
        <f>IF(AND(NOT(A5="FILL OUT THIS TAB."),J34="",J41=""),"N/A",IF(J34="","BLANK","EQ"))</f>
        <v>N/A</v>
      </c>
      <c r="N34" s="183" t="s">
        <v>1189</v>
      </c>
      <c r="P34" s="170"/>
      <c r="Q34" s="170"/>
      <c r="R34" s="170"/>
      <c r="S34" s="170" t="s">
        <v>1190</v>
      </c>
      <c r="T34" s="369"/>
      <c r="U34" s="370"/>
      <c r="V34" s="228" t="str">
        <f>IF(AND(NOT(K5="FILL OUT THIS TAB."),T34="",T41=""),"N/A",IF(T34="","BLANK","EQ"))</f>
        <v>N/A</v>
      </c>
      <c r="X34" s="183" t="s">
        <v>1189</v>
      </c>
      <c r="Z34" s="170"/>
      <c r="AA34" s="170"/>
      <c r="AB34" s="170"/>
      <c r="AC34" s="170" t="s">
        <v>1190</v>
      </c>
      <c r="AD34" s="369"/>
      <c r="AE34" s="370"/>
      <c r="AF34" s="228" t="str">
        <f>IF(AND(NOT(U5="FILL OUT THIS TAB."),AD34="",AD41=""),"N/A",IF(AD34="","BLANK","EQ"))</f>
        <v>N/A</v>
      </c>
      <c r="AH34" s="183" t="s">
        <v>1189</v>
      </c>
      <c r="AJ34" s="170"/>
      <c r="AK34" s="170"/>
      <c r="AL34" s="170"/>
      <c r="AM34" s="170" t="s">
        <v>1190</v>
      </c>
      <c r="AN34" s="369"/>
      <c r="AO34" s="370"/>
      <c r="AP34" s="228" t="str">
        <f>IF(AND(NOT(AE5="FILL OUT THIS TAB."),AN34="",AN41=""),"N/A",IF(AN34="","BLANK","EQ"))</f>
        <v>N/A</v>
      </c>
      <c r="AR34" s="183" t="s">
        <v>1189</v>
      </c>
      <c r="AT34" s="170"/>
      <c r="AU34" s="170"/>
      <c r="AV34" s="170"/>
      <c r="AW34" s="170" t="s">
        <v>1190</v>
      </c>
      <c r="AX34" s="369"/>
      <c r="AY34" s="370"/>
      <c r="AZ34" s="228" t="str">
        <f>IF(AND(NOT(AO5="FILL OUT THIS TAB."),AX34="",AX41=""),"N/A",IF(AX34="","BLANK","EQ"))</f>
        <v>N/A</v>
      </c>
    </row>
    <row r="35" spans="1:52" ht="15" customHeight="1" x14ac:dyDescent="0.3">
      <c r="A35" s="391"/>
      <c r="B35" s="391"/>
      <c r="C35" s="391"/>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67" t="str">
        <f>IF(COUNTIF(L41:L42,"BLANK"),"BLANK",IF(COUNTIF(L41:L42,"REJECT"),"REJECT",IF(COUNTIF(L41:L42,"CHECK"),"CHECK","EQ")))</f>
        <v>EQ</v>
      </c>
      <c r="E40" s="367"/>
      <c r="F40" s="367"/>
      <c r="G40" s="367"/>
      <c r="H40" s="367"/>
      <c r="I40" s="367"/>
      <c r="J40" s="367"/>
      <c r="K40" s="367"/>
      <c r="L40" s="367"/>
      <c r="N40" s="367" t="str">
        <f>IF(COUNTIF(V41:V42,"BLANK"),"BLANK",IF(COUNTIF(V41:V42,"REJECT"),"REJECT",IF(COUNTIF(V41:V42,"CHECK"),"CHECK","EQ")))</f>
        <v>EQ</v>
      </c>
      <c r="O40" s="367"/>
      <c r="P40" s="367"/>
      <c r="Q40" s="367"/>
      <c r="R40" s="367"/>
      <c r="S40" s="367"/>
      <c r="T40" s="367"/>
      <c r="U40" s="367"/>
      <c r="V40" s="367"/>
      <c r="X40" s="367" t="str">
        <f>IF(COUNTIF(AF41:AF42,"BLANK"),"BLANK",IF(COUNTIF(AF41:AF42,"REJECT"),"REJECT",IF(COUNTIF(AF41:AF42,"CHECK"),"CHECK","EQ")))</f>
        <v>EQ</v>
      </c>
      <c r="Y40" s="367"/>
      <c r="Z40" s="367"/>
      <c r="AA40" s="367"/>
      <c r="AB40" s="367"/>
      <c r="AC40" s="367"/>
      <c r="AD40" s="367"/>
      <c r="AE40" s="367"/>
      <c r="AF40" s="367"/>
      <c r="AH40" s="367" t="str">
        <f>IF(COUNTIF(AP41:AP42,"BLANK"),"BLANK",IF(COUNTIF(AP41:AP42,"REJECT"),"REJECT",IF(COUNTIF(AP41:AP42,"CHECK"),"CHECK","EQ")))</f>
        <v>EQ</v>
      </c>
      <c r="AI40" s="367"/>
      <c r="AJ40" s="367"/>
      <c r="AK40" s="367"/>
      <c r="AL40" s="367"/>
      <c r="AM40" s="367"/>
      <c r="AN40" s="367"/>
      <c r="AO40" s="367"/>
      <c r="AP40" s="367"/>
      <c r="AR40" s="367" t="str">
        <f>IF(COUNTIF(AZ41:AZ42,"BLANK"),"BLANK",IF(COUNTIF(AZ41:AZ42,"REJECT"),"REJECT",IF(COUNTIF(AZ41:AZ42,"CHECK"),"CHECK","EQ")))</f>
        <v>EQ</v>
      </c>
      <c r="AS40" s="367"/>
      <c r="AT40" s="367"/>
      <c r="AU40" s="367"/>
      <c r="AV40" s="367"/>
      <c r="AW40" s="367"/>
      <c r="AX40" s="367"/>
      <c r="AY40" s="367"/>
      <c r="AZ40" s="36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67" t="str">
        <f>IF(COUNTIF(L50:L53,"BLANK"),"BLANK",IF(COUNTIF(L50:L53,"REJECT"),"REJECT",IF(COUNTIF(L50:L53,"CHECK"),"CHECK","EQ")))</f>
        <v>EQ</v>
      </c>
      <c r="E49" s="367"/>
      <c r="F49" s="367"/>
      <c r="G49" s="367"/>
      <c r="H49" s="367"/>
      <c r="I49" s="367"/>
      <c r="J49" s="367"/>
      <c r="K49" s="367"/>
      <c r="L49" s="367"/>
      <c r="N49" s="367" t="str">
        <f>IF(COUNTIF(V50:V53,"BLANK"),"BLANK",IF(COUNTIF(V50:V53,"REJECT"),"REJECT",IF(COUNTIF(V50:V53,"CHECK"),"CHECK","EQ")))</f>
        <v>EQ</v>
      </c>
      <c r="O49" s="367"/>
      <c r="P49" s="367"/>
      <c r="Q49" s="367"/>
      <c r="R49" s="367"/>
      <c r="S49" s="367"/>
      <c r="T49" s="367"/>
      <c r="U49" s="367"/>
      <c r="V49" s="367"/>
      <c r="X49" s="367" t="str">
        <f>IF(COUNTIF(AF50:AF53,"BLANK"),"BLANK",IF(COUNTIF(AF50:AF53,"REJECT"),"REJECT",IF(COUNTIF(AF50:AF53,"CHECK"),"CHECK","EQ")))</f>
        <v>EQ</v>
      </c>
      <c r="Y49" s="367"/>
      <c r="Z49" s="367"/>
      <c r="AA49" s="367"/>
      <c r="AB49" s="367"/>
      <c r="AC49" s="367"/>
      <c r="AD49" s="367"/>
      <c r="AE49" s="367"/>
      <c r="AF49" s="367"/>
      <c r="AH49" s="367" t="str">
        <f>IF(COUNTIF(AP50:AP53,"BLANK"),"BLANK",IF(COUNTIF(AP50:AP53,"REJECT"),"REJECT",IF(COUNTIF(AP50:AP53,"CHECK"),"CHECK","EQ")))</f>
        <v>EQ</v>
      </c>
      <c r="AI49" s="367"/>
      <c r="AJ49" s="367"/>
      <c r="AK49" s="367"/>
      <c r="AL49" s="367"/>
      <c r="AM49" s="367"/>
      <c r="AN49" s="367"/>
      <c r="AO49" s="367"/>
      <c r="AP49" s="367"/>
      <c r="AR49" s="367" t="str">
        <f>IF(COUNTIF(AZ50:AZ53,"BLANK"),"BLANK",IF(COUNTIF(AZ50:AZ53,"REJECT"),"REJECT",IF(COUNTIF(AZ50:AZ53,"CHECK"),"CHECK","EQ")))</f>
        <v>EQ</v>
      </c>
      <c r="AS49" s="367"/>
      <c r="AT49" s="367"/>
      <c r="AU49" s="367"/>
      <c r="AV49" s="367"/>
      <c r="AW49" s="367"/>
      <c r="AX49" s="367"/>
      <c r="AY49" s="367"/>
      <c r="AZ49" s="36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2025-01-23T23:19:12Z</dcterms:modified>
</cp:coreProperties>
</file>