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2"/>
  <workbookPr updateLinks="never" codeName="ThisWorkbook"/>
  <mc:AlternateContent xmlns:mc="http://schemas.openxmlformats.org/markup-compatibility/2006">
    <mc:Choice Requires="x15">
      <x15ac:absPath xmlns:x15ac="http://schemas.microsoft.com/office/spreadsheetml/2010/11/ac" url="/Users/czetch/Documents/Acadamia/Vanderbilt/FSAE/vandymotorsports/Competition 2025/"/>
    </mc:Choice>
  </mc:AlternateContent>
  <xr:revisionPtr revIDLastSave="0" documentId="13_ncr:1_{C6C5EE0D-8111-9449-908D-9463BB6599E8}" xr6:coauthVersionLast="36" xr6:coauthVersionMax="47" xr10:uidLastSave="{00000000-0000-0000-0000-000000000000}"/>
  <bookViews>
    <workbookView xWindow="0" yWindow="760" windowWidth="30240" windowHeight="17640" tabRatio="648" xr2:uid="{71802922-AB76-4655-AF43-D39C754A08E5}"/>
  </bookViews>
  <sheets>
    <sheet name="F.3.1-4 Tube Chassis" sheetId="1" r:id="rId1"/>
    <sheet name="F.10-11 EV Accumulator" sheetId="2" r:id="rId2"/>
    <sheet name="F.8 Front Protection" sheetId="3" r:id="rId3"/>
    <sheet name="F.3.4.3 Welded Inserts" sheetId="4" r:id="rId4"/>
    <sheet name="F.5.12 Bolted Members" sheetId="5" r:id="rId5"/>
  </sheets>
  <definedNames>
    <definedName name="_xlnm._FilterDatabase" localSheetId="0" hidden="1">'F.3.1-4 Tube Chassis'!$AE$106:$AM$118</definedName>
    <definedName name="_xlnm._FilterDatabase" localSheetId="4" hidden="1">'F.5.12 Bolted Members'!$A$25:$L$38</definedName>
    <definedName name="_xlnm._FilterDatabase" localSheetId="2" hidden="1">'F.8 Front Protection'!$AW$87:$AX$87</definedName>
  </definedNames>
  <calcPr calcId="18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K129" i="1" l="1"/>
  <c r="AU138" i="1"/>
  <c r="AV136" i="1"/>
  <c r="AL127" i="1"/>
  <c r="AL115" i="1"/>
  <c r="AK117" i="1"/>
  <c r="AE115" i="1"/>
  <c r="AE127" i="1"/>
  <c r="AO136" i="1"/>
  <c r="AE116" i="1"/>
  <c r="AE128" i="1"/>
  <c r="AO137" i="1"/>
  <c r="BM136" i="1" l="1"/>
  <c r="CK118" i="1"/>
  <c r="AF57" i="3" l="1"/>
  <c r="AF48" i="3"/>
  <c r="AN69" i="3" a="1"/>
  <c r="AN69" i="3" l="1"/>
  <c r="C17" i="4" l="1"/>
  <c r="C12" i="4"/>
  <c r="C10" i="4"/>
  <c r="A6" i="4" s="1"/>
  <c r="C4" i="4"/>
  <c r="C4" i="5"/>
  <c r="A5" i="5" s="1"/>
  <c r="L34" i="5" s="1"/>
  <c r="D33" i="5" s="1"/>
  <c r="A25" i="2"/>
  <c r="DO84" i="2" s="1"/>
  <c r="A25" i="3"/>
  <c r="AE48" i="3" s="1"/>
  <c r="A25" i="4"/>
  <c r="AY46" i="4" s="1"/>
  <c r="A25" i="5"/>
  <c r="AY50" i="5" s="1"/>
  <c r="AZ53" i="5"/>
  <c r="AX53" i="5"/>
  <c r="AP53" i="5"/>
  <c r="AN53" i="5"/>
  <c r="AF53" i="5"/>
  <c r="AD53" i="5"/>
  <c r="V53" i="5"/>
  <c r="T53" i="5"/>
  <c r="L53" i="5"/>
  <c r="J53" i="5"/>
  <c r="AZ52" i="5"/>
  <c r="AW52" i="5"/>
  <c r="AP52" i="5"/>
  <c r="AM52" i="5"/>
  <c r="AF52" i="5"/>
  <c r="AC52" i="5"/>
  <c r="V52" i="5"/>
  <c r="S52" i="5"/>
  <c r="L52" i="5"/>
  <c r="I52" i="5"/>
  <c r="AZ51" i="5"/>
  <c r="AW51" i="5"/>
  <c r="AP51" i="5"/>
  <c r="AM51" i="5"/>
  <c r="AF51" i="5"/>
  <c r="AC51" i="5"/>
  <c r="V51" i="5"/>
  <c r="S51" i="5"/>
  <c r="L51" i="5"/>
  <c r="I51" i="5"/>
  <c r="AZ50" i="5"/>
  <c r="AP50" i="5"/>
  <c r="AF50" i="5"/>
  <c r="V50" i="5"/>
  <c r="L50" i="5"/>
  <c r="AZ42" i="5"/>
  <c r="AW42" i="5"/>
  <c r="AR42" i="5"/>
  <c r="AP42" i="5"/>
  <c r="AM42" i="5"/>
  <c r="AH42" i="5"/>
  <c r="AF42" i="5"/>
  <c r="AC42" i="5"/>
  <c r="X42" i="5"/>
  <c r="V42" i="5"/>
  <c r="S42" i="5"/>
  <c r="N42" i="5"/>
  <c r="L42" i="5"/>
  <c r="D40" i="5" s="1"/>
  <c r="I42" i="5"/>
  <c r="D42" i="5"/>
  <c r="AZ41" i="5"/>
  <c r="AW41" i="5"/>
  <c r="AR41" i="5"/>
  <c r="AP41" i="5"/>
  <c r="AM41" i="5"/>
  <c r="AH41" i="5"/>
  <c r="AF41" i="5"/>
  <c r="X40" i="5" s="1"/>
  <c r="AC41" i="5"/>
  <c r="X41" i="5"/>
  <c r="V41" i="5"/>
  <c r="S41" i="5"/>
  <c r="N41" i="5"/>
  <c r="L41" i="5"/>
  <c r="I41" i="5"/>
  <c r="D41" i="5"/>
  <c r="AZ34" i="5"/>
  <c r="AR33" i="5" s="1"/>
  <c r="AP34" i="5"/>
  <c r="AH33" i="5" s="1"/>
  <c r="AF34" i="5"/>
  <c r="V34" i="5"/>
  <c r="N33" i="5" s="1"/>
  <c r="X33" i="5"/>
  <c r="AZ57" i="4"/>
  <c r="AW57" i="4"/>
  <c r="AP57" i="4"/>
  <c r="AM57" i="4"/>
  <c r="AF57" i="4"/>
  <c r="AC57" i="4"/>
  <c r="I57" i="4"/>
  <c r="AZ56" i="4"/>
  <c r="AW56" i="4"/>
  <c r="AP56" i="4"/>
  <c r="AM56" i="4"/>
  <c r="AF56" i="4"/>
  <c r="AC56" i="4"/>
  <c r="I56" i="4"/>
  <c r="AZ55" i="4"/>
  <c r="AX55" i="4"/>
  <c r="AX57" i="4" s="1"/>
  <c r="AW55" i="4"/>
  <c r="AP55" i="4"/>
  <c r="AN55" i="4"/>
  <c r="AN57" i="4" s="1"/>
  <c r="AM55" i="4"/>
  <c r="AF55" i="4"/>
  <c r="AD55" i="4"/>
  <c r="AD57" i="4" s="1"/>
  <c r="AC55" i="4"/>
  <c r="T55" i="4"/>
  <c r="T57" i="4" s="1"/>
  <c r="S55" i="4"/>
  <c r="S56" i="4" s="1"/>
  <c r="J55" i="4"/>
  <c r="J57" i="4" s="1"/>
  <c r="I55" i="4"/>
  <c r="AZ54" i="4"/>
  <c r="AX54" i="4"/>
  <c r="AW54" i="4"/>
  <c r="AP54" i="4"/>
  <c r="AN54" i="4"/>
  <c r="AM54" i="4"/>
  <c r="AF54" i="4"/>
  <c r="AD54" i="4"/>
  <c r="AC54" i="4"/>
  <c r="T54" i="4"/>
  <c r="S54" i="4"/>
  <c r="J54" i="4"/>
  <c r="I54" i="4"/>
  <c r="AZ53" i="4"/>
  <c r="AX53" i="4"/>
  <c r="AW53" i="4"/>
  <c r="AP53" i="4"/>
  <c r="AN53" i="4"/>
  <c r="AM53" i="4"/>
  <c r="AF53" i="4"/>
  <c r="AD53" i="4"/>
  <c r="AC53" i="4"/>
  <c r="T53" i="4"/>
  <c r="S53" i="4"/>
  <c r="J53" i="4"/>
  <c r="I53" i="4"/>
  <c r="AZ52" i="4"/>
  <c r="AX52" i="4"/>
  <c r="AW52" i="4"/>
  <c r="AP52" i="4"/>
  <c r="AN52" i="4"/>
  <c r="AM52" i="4"/>
  <c r="AF52" i="4"/>
  <c r="AD52" i="4"/>
  <c r="AC52" i="4"/>
  <c r="T52" i="4"/>
  <c r="S52" i="4"/>
  <c r="J52" i="4"/>
  <c r="I52" i="4"/>
  <c r="AZ51" i="4"/>
  <c r="AX51" i="4"/>
  <c r="AP51" i="4"/>
  <c r="AN51" i="4"/>
  <c r="AF51" i="4"/>
  <c r="AD51" i="4"/>
  <c r="V51" i="4"/>
  <c r="T51" i="4"/>
  <c r="J51" i="4"/>
  <c r="AZ50" i="4"/>
  <c r="AX50" i="4"/>
  <c r="AP50" i="4"/>
  <c r="AN50" i="4"/>
  <c r="AF50" i="4"/>
  <c r="AD50" i="4"/>
  <c r="V50" i="4"/>
  <c r="T50" i="4"/>
  <c r="J50" i="4"/>
  <c r="AZ49" i="4"/>
  <c r="AX49" i="4"/>
  <c r="AP49" i="4"/>
  <c r="AN49" i="4"/>
  <c r="AF49" i="4"/>
  <c r="AD49" i="4"/>
  <c r="V49" i="4"/>
  <c r="T49" i="4"/>
  <c r="J49" i="4"/>
  <c r="AZ48" i="4"/>
  <c r="AX48" i="4"/>
  <c r="AP48" i="4"/>
  <c r="AN48" i="4"/>
  <c r="AF48" i="4"/>
  <c r="AD48" i="4"/>
  <c r="V48" i="4"/>
  <c r="T48" i="4"/>
  <c r="J48" i="4"/>
  <c r="AZ47" i="4"/>
  <c r="AX47" i="4"/>
  <c r="AR47" i="4"/>
  <c r="AP47" i="4"/>
  <c r="AN47" i="4"/>
  <c r="AH47" i="4"/>
  <c r="AF47" i="4"/>
  <c r="AD47" i="4"/>
  <c r="X47" i="4"/>
  <c r="V47" i="4"/>
  <c r="T47" i="4"/>
  <c r="N47" i="4"/>
  <c r="J47" i="4"/>
  <c r="D47" i="4"/>
  <c r="AZ46" i="4"/>
  <c r="AP46" i="4"/>
  <c r="AF46" i="4"/>
  <c r="V46" i="4"/>
  <c r="AZ45" i="4"/>
  <c r="AP45" i="4"/>
  <c r="AF45" i="4"/>
  <c r="V45" i="4"/>
  <c r="AZ44" i="4"/>
  <c r="AP44" i="4"/>
  <c r="AF44" i="4"/>
  <c r="V44" i="4"/>
  <c r="AZ43" i="4"/>
  <c r="AP43" i="4"/>
  <c r="AF43" i="4"/>
  <c r="V43" i="4"/>
  <c r="AZ42" i="4"/>
  <c r="AP42" i="4"/>
  <c r="AF42" i="4"/>
  <c r="V42" i="4"/>
  <c r="AZ41" i="4"/>
  <c r="AP41" i="4"/>
  <c r="AF41" i="4"/>
  <c r="V41" i="4"/>
  <c r="AZ40" i="4"/>
  <c r="AV40" i="4"/>
  <c r="AP40" i="4"/>
  <c r="AL40" i="4"/>
  <c r="AF40" i="4"/>
  <c r="AB40" i="4"/>
  <c r="V40" i="4"/>
  <c r="R40" i="4"/>
  <c r="H40" i="4"/>
  <c r="AZ39" i="4"/>
  <c r="AP39" i="4"/>
  <c r="AF39" i="4"/>
  <c r="AZ38" i="4"/>
  <c r="AP38" i="4"/>
  <c r="AF38" i="4"/>
  <c r="V38" i="4"/>
  <c r="AZ37" i="4"/>
  <c r="AW37" i="4"/>
  <c r="AP37" i="4"/>
  <c r="AM37" i="4"/>
  <c r="AF37" i="4"/>
  <c r="AC37" i="4"/>
  <c r="V37" i="4"/>
  <c r="S37" i="4"/>
  <c r="I37" i="4"/>
  <c r="AZ36" i="4"/>
  <c r="AP36" i="4"/>
  <c r="AF36" i="4"/>
  <c r="V36" i="4"/>
  <c r="AZ35" i="4"/>
  <c r="AP35" i="4"/>
  <c r="AF35" i="4"/>
  <c r="V35" i="4"/>
  <c r="AZ34" i="4"/>
  <c r="AP34" i="4"/>
  <c r="AF34" i="4"/>
  <c r="V34" i="4"/>
  <c r="A14" i="4"/>
  <c r="A1" i="4"/>
  <c r="AN118" i="3"/>
  <c r="AN126" i="3" s="1" a="1"/>
  <c r="AN126" i="3" s="1"/>
  <c r="AN117" i="3"/>
  <c r="K106" i="3"/>
  <c r="J106" i="3"/>
  <c r="K102" i="3"/>
  <c r="J102" i="3"/>
  <c r="J101" i="3"/>
  <c r="AZ97" i="3"/>
  <c r="AZ96" i="3"/>
  <c r="K96" i="3"/>
  <c r="J96" i="3"/>
  <c r="E96" i="3"/>
  <c r="AZ95" i="3"/>
  <c r="AZ94" i="3"/>
  <c r="AZ93" i="3"/>
  <c r="AZ92" i="3"/>
  <c r="AZ91" i="3"/>
  <c r="C91" i="3"/>
  <c r="AZ90" i="3"/>
  <c r="C90" i="3"/>
  <c r="AZ89" i="3"/>
  <c r="AZ88" i="3"/>
  <c r="AZ87" i="3"/>
  <c r="I87" i="3"/>
  <c r="F87" i="3"/>
  <c r="AZ86" i="3"/>
  <c r="I86" i="3"/>
  <c r="AZ85" i="3"/>
  <c r="I85" i="3"/>
  <c r="AZ84" i="3"/>
  <c r="I84" i="3"/>
  <c r="BT83" i="3"/>
  <c r="J83" i="3"/>
  <c r="E83" i="3"/>
  <c r="C83" i="3"/>
  <c r="BT82" i="3"/>
  <c r="BT81" i="3"/>
  <c r="AZ81" i="3"/>
  <c r="AX81" i="3"/>
  <c r="AY81" i="3" s="1"/>
  <c r="BT80" i="3"/>
  <c r="AZ80" i="3"/>
  <c r="BT79" i="3"/>
  <c r="AZ79" i="3"/>
  <c r="AX79" i="3"/>
  <c r="AR79" i="3"/>
  <c r="BT78" i="3"/>
  <c r="AZ78" i="3"/>
  <c r="BT77" i="3"/>
  <c r="AZ77" i="3"/>
  <c r="AZ76" i="3"/>
  <c r="AZ75" i="3"/>
  <c r="Q72" i="3"/>
  <c r="AD71" i="3"/>
  <c r="AC71" i="3"/>
  <c r="AC70" i="3"/>
  <c r="AF70" i="3" s="1"/>
  <c r="AC69" i="3"/>
  <c r="AF69" i="3" s="1"/>
  <c r="Z69" i="3"/>
  <c r="X69" i="3"/>
  <c r="AF68" i="3"/>
  <c r="J67" i="3"/>
  <c r="AN66" i="3"/>
  <c r="J66" i="3"/>
  <c r="AM65" i="3"/>
  <c r="T65" i="3"/>
  <c r="T67" i="3" s="1"/>
  <c r="J65" i="3"/>
  <c r="BR64" i="3"/>
  <c r="AM64" i="3"/>
  <c r="T64" i="3"/>
  <c r="T66" i="3" s="1"/>
  <c r="J64" i="3"/>
  <c r="H64" i="3"/>
  <c r="AZ63" i="3"/>
  <c r="AX63" i="3"/>
  <c r="J63" i="3"/>
  <c r="H62" i="3"/>
  <c r="AW60" i="3"/>
  <c r="AC58" i="3"/>
  <c r="AX57" i="3"/>
  <c r="AY57" i="3" s="1"/>
  <c r="AC57" i="3"/>
  <c r="X57" i="3"/>
  <c r="AX56" i="3"/>
  <c r="AY56" i="3" s="1"/>
  <c r="AS56" i="3"/>
  <c r="AR56" i="3"/>
  <c r="AR57" i="3" s="1"/>
  <c r="AF56" i="3"/>
  <c r="AD56" i="3"/>
  <c r="AD58" i="3" s="1"/>
  <c r="AE58" i="3" s="1"/>
  <c r="AF58" i="3" s="1"/>
  <c r="AC56" i="3"/>
  <c r="X56" i="3"/>
  <c r="AX55" i="3"/>
  <c r="AY55" i="3" s="1"/>
  <c r="AS55" i="3"/>
  <c r="AR55" i="3"/>
  <c r="AL55" i="3"/>
  <c r="AF55" i="3"/>
  <c r="AC55" i="3"/>
  <c r="H55" i="3"/>
  <c r="AW54" i="3"/>
  <c r="AN54" i="3"/>
  <c r="AL54" i="3"/>
  <c r="AP79" i="3" s="1"/>
  <c r="AF54" i="3"/>
  <c r="AC54" i="3"/>
  <c r="X54" i="3"/>
  <c r="AW53" i="3"/>
  <c r="AF53" i="3"/>
  <c r="AA53" i="3"/>
  <c r="H53" i="3"/>
  <c r="D53" i="3"/>
  <c r="AF52" i="3"/>
  <c r="AC52" i="3"/>
  <c r="L52" i="3"/>
  <c r="AF51" i="3"/>
  <c r="AE51" i="3"/>
  <c r="AC51" i="3"/>
  <c r="X51" i="3"/>
  <c r="L51" i="3"/>
  <c r="AF50" i="3"/>
  <c r="L50" i="3"/>
  <c r="J50" i="3"/>
  <c r="I50" i="3"/>
  <c r="AF49" i="3"/>
  <c r="L49" i="3"/>
  <c r="I49" i="3"/>
  <c r="AZ48" i="3"/>
  <c r="C11" i="4" s="1"/>
  <c r="AN48" i="3"/>
  <c r="L48" i="3"/>
  <c r="AZ47" i="3"/>
  <c r="AZ56" i="3" s="1"/>
  <c r="AW47" i="3"/>
  <c r="S47" i="3"/>
  <c r="V56" i="3" s="1"/>
  <c r="AN45" i="3"/>
  <c r="AZ44" i="3"/>
  <c r="AW44" i="3"/>
  <c r="AN44" i="3"/>
  <c r="AN47" i="3" s="1"/>
  <c r="AZ43" i="3"/>
  <c r="AY43" i="3"/>
  <c r="AW43" i="3"/>
  <c r="AR43" i="3"/>
  <c r="AN43" i="3"/>
  <c r="AV42" i="3"/>
  <c r="AN42" i="3"/>
  <c r="AL42" i="3"/>
  <c r="BJ41" i="3"/>
  <c r="AZ41" i="3"/>
  <c r="AN41" i="3"/>
  <c r="BJ40" i="3"/>
  <c r="AL40" i="3"/>
  <c r="R39" i="3"/>
  <c r="V38" i="3"/>
  <c r="BH37" i="3"/>
  <c r="V37" i="3"/>
  <c r="BH36" i="3"/>
  <c r="AP36" i="3"/>
  <c r="AP35" i="3"/>
  <c r="AP39" i="3" s="1"/>
  <c r="N33" i="3"/>
  <c r="BY15" i="3"/>
  <c r="BY16" i="3" s="1"/>
  <c r="BY14" i="3"/>
  <c r="BX14" i="3" s="1"/>
  <c r="BY13" i="3"/>
  <c r="BX13" i="3" s="1"/>
  <c r="CE9" i="3"/>
  <c r="CD9" i="3"/>
  <c r="CB9" i="3"/>
  <c r="CA9" i="3"/>
  <c r="BW9" i="3"/>
  <c r="BR59" i="3" s="1"/>
  <c r="BV9" i="3"/>
  <c r="BR44" i="3" s="1"/>
  <c r="P170" i="2"/>
  <c r="P169" i="2"/>
  <c r="S168" i="2"/>
  <c r="P168" i="2"/>
  <c r="S167" i="2"/>
  <c r="P167" i="2"/>
  <c r="Q166" i="2"/>
  <c r="R166" i="2" s="1"/>
  <c r="P166" i="2"/>
  <c r="K166" i="2"/>
  <c r="S165" i="2"/>
  <c r="P165" i="2"/>
  <c r="S164" i="2"/>
  <c r="P164" i="2"/>
  <c r="S163" i="2"/>
  <c r="P163" i="2"/>
  <c r="S162" i="2"/>
  <c r="P162" i="2"/>
  <c r="K162" i="2"/>
  <c r="S160" i="2"/>
  <c r="S157" i="2"/>
  <c r="S156" i="2"/>
  <c r="S155" i="2"/>
  <c r="S154" i="2"/>
  <c r="S153" i="2"/>
  <c r="S152" i="2"/>
  <c r="S151" i="2"/>
  <c r="Q151" i="2"/>
  <c r="Q157" i="2" s="1"/>
  <c r="S150" i="2"/>
  <c r="Q150" i="2"/>
  <c r="R150" i="2" s="1"/>
  <c r="S149" i="2"/>
  <c r="Q149" i="2"/>
  <c r="S148" i="2"/>
  <c r="S147" i="2"/>
  <c r="S146" i="2"/>
  <c r="Q145" i="2"/>
  <c r="S138" i="2"/>
  <c r="S137" i="2"/>
  <c r="S136" i="2"/>
  <c r="S135" i="2"/>
  <c r="Q135" i="2"/>
  <c r="F135" i="2"/>
  <c r="S134" i="2"/>
  <c r="I134" i="2"/>
  <c r="S133" i="2"/>
  <c r="I133" i="2"/>
  <c r="F133" i="2"/>
  <c r="S132" i="2"/>
  <c r="I132" i="2"/>
  <c r="F132" i="2"/>
  <c r="DO131" i="2"/>
  <c r="DN131" i="2"/>
  <c r="DM131" i="2"/>
  <c r="DL131" i="2"/>
  <c r="DE131" i="2"/>
  <c r="DD131" i="2"/>
  <c r="DC131" i="2"/>
  <c r="DB131" i="2"/>
  <c r="CU131" i="2"/>
  <c r="CT131" i="2"/>
  <c r="CS131" i="2"/>
  <c r="CR131" i="2"/>
  <c r="CK131" i="2"/>
  <c r="CJ131" i="2"/>
  <c r="CI131" i="2"/>
  <c r="CH131" i="2"/>
  <c r="CA131" i="2"/>
  <c r="BZ131" i="2"/>
  <c r="BY131" i="2"/>
  <c r="BX131" i="2"/>
  <c r="S131" i="2"/>
  <c r="F131" i="2"/>
  <c r="DO130" i="2"/>
  <c r="DL130" i="2"/>
  <c r="DE130" i="2"/>
  <c r="DB130" i="2"/>
  <c r="CU130" i="2"/>
  <c r="CR130" i="2"/>
  <c r="CK130" i="2"/>
  <c r="CH130" i="2"/>
  <c r="CA130" i="2"/>
  <c r="BX130" i="2"/>
  <c r="S130" i="2"/>
  <c r="N130" i="2"/>
  <c r="I130" i="2"/>
  <c r="B130" i="2"/>
  <c r="DO129" i="2"/>
  <c r="DL129" i="2"/>
  <c r="DE129" i="2"/>
  <c r="DB129" i="2"/>
  <c r="CU129" i="2"/>
  <c r="CR129" i="2"/>
  <c r="CK129" i="2"/>
  <c r="CH129" i="2"/>
  <c r="CA129" i="2"/>
  <c r="BX129" i="2"/>
  <c r="I129" i="2"/>
  <c r="F129" i="2"/>
  <c r="DO128" i="2"/>
  <c r="DN128" i="2"/>
  <c r="DM128" i="2"/>
  <c r="DL128" i="2"/>
  <c r="DE128" i="2"/>
  <c r="DD128" i="2"/>
  <c r="DC128" i="2"/>
  <c r="DB128" i="2"/>
  <c r="CU128" i="2"/>
  <c r="CT128" i="2"/>
  <c r="CS128" i="2"/>
  <c r="CR128" i="2"/>
  <c r="CK128" i="2"/>
  <c r="CJ128" i="2"/>
  <c r="CI128" i="2"/>
  <c r="CH128" i="2"/>
  <c r="CA128" i="2"/>
  <c r="BZ128" i="2"/>
  <c r="BY128" i="2"/>
  <c r="BX128" i="2"/>
  <c r="I128" i="2"/>
  <c r="F128" i="2"/>
  <c r="DO127" i="2"/>
  <c r="DN127" i="2"/>
  <c r="DM127" i="2"/>
  <c r="DL127" i="2"/>
  <c r="DE127" i="2"/>
  <c r="DD127" i="2"/>
  <c r="DC127" i="2"/>
  <c r="DB127" i="2"/>
  <c r="CU127" i="2"/>
  <c r="CT127" i="2"/>
  <c r="CS127" i="2"/>
  <c r="CR127" i="2"/>
  <c r="CK127" i="2"/>
  <c r="CJ127" i="2"/>
  <c r="CI127" i="2"/>
  <c r="CH127" i="2"/>
  <c r="CA127" i="2"/>
  <c r="BZ127" i="2"/>
  <c r="BY127" i="2"/>
  <c r="BX127" i="2"/>
  <c r="F127" i="2"/>
  <c r="DO126" i="2"/>
  <c r="DL126" i="2"/>
  <c r="DE126" i="2"/>
  <c r="DB126" i="2"/>
  <c r="CU126" i="2"/>
  <c r="CR126" i="2"/>
  <c r="CK126" i="2"/>
  <c r="CH126" i="2"/>
  <c r="CA126" i="2"/>
  <c r="BX126" i="2"/>
  <c r="S126" i="2"/>
  <c r="F126" i="2"/>
  <c r="DO125" i="2"/>
  <c r="DL125" i="2"/>
  <c r="DE125" i="2"/>
  <c r="DB125" i="2"/>
  <c r="CU125" i="2"/>
  <c r="CR125" i="2"/>
  <c r="CK125" i="2"/>
  <c r="CH125" i="2"/>
  <c r="CA125" i="2"/>
  <c r="BX125" i="2"/>
  <c r="S125" i="2"/>
  <c r="I125" i="2"/>
  <c r="DO124" i="2"/>
  <c r="DL124" i="2"/>
  <c r="DE124" i="2"/>
  <c r="DB124" i="2"/>
  <c r="CU124" i="2"/>
  <c r="CR124" i="2"/>
  <c r="CK124" i="2"/>
  <c r="CH124" i="2"/>
  <c r="CA124" i="2"/>
  <c r="BX124" i="2"/>
  <c r="S124" i="2"/>
  <c r="I124" i="2"/>
  <c r="DO123" i="2"/>
  <c r="DN123" i="2"/>
  <c r="DM123" i="2"/>
  <c r="DL123" i="2"/>
  <c r="DE123" i="2"/>
  <c r="DD123" i="2"/>
  <c r="DC123" i="2"/>
  <c r="DB123" i="2"/>
  <c r="CU123" i="2"/>
  <c r="CT123" i="2"/>
  <c r="CS123" i="2"/>
  <c r="CR123" i="2"/>
  <c r="CK123" i="2"/>
  <c r="CJ123" i="2"/>
  <c r="CI123" i="2"/>
  <c r="CH123" i="2"/>
  <c r="CA123" i="2"/>
  <c r="BZ123" i="2"/>
  <c r="BY123" i="2"/>
  <c r="BX123" i="2"/>
  <c r="S123" i="2"/>
  <c r="I123" i="2"/>
  <c r="H123" i="2"/>
  <c r="F123" i="2"/>
  <c r="DO122" i="2"/>
  <c r="DM122" i="2"/>
  <c r="DL122" i="2"/>
  <c r="DE122" i="2"/>
  <c r="DC122" i="2"/>
  <c r="DB122" i="2"/>
  <c r="CU122" i="2"/>
  <c r="CS122" i="2"/>
  <c r="CR122" i="2"/>
  <c r="CK122" i="2"/>
  <c r="CI122" i="2"/>
  <c r="CH122" i="2"/>
  <c r="CA122" i="2"/>
  <c r="BY122" i="2"/>
  <c r="BX122" i="2"/>
  <c r="S122" i="2"/>
  <c r="I122" i="2"/>
  <c r="F122" i="2"/>
  <c r="DO121" i="2"/>
  <c r="DL121" i="2"/>
  <c r="DE121" i="2"/>
  <c r="DB121" i="2"/>
  <c r="CU121" i="2"/>
  <c r="CR121" i="2"/>
  <c r="CK121" i="2"/>
  <c r="CH121" i="2"/>
  <c r="CA121" i="2"/>
  <c r="BX121" i="2"/>
  <c r="S121" i="2"/>
  <c r="I121" i="2"/>
  <c r="DO120" i="2"/>
  <c r="DL120" i="2"/>
  <c r="DE120" i="2"/>
  <c r="DB120" i="2"/>
  <c r="CU120" i="2"/>
  <c r="CR120" i="2"/>
  <c r="CK120" i="2"/>
  <c r="CH120" i="2"/>
  <c r="CA120" i="2"/>
  <c r="BX120" i="2"/>
  <c r="BP120" i="2"/>
  <c r="BO120" i="2"/>
  <c r="BF120" i="2"/>
  <c r="BE120" i="2"/>
  <c r="AV120" i="2"/>
  <c r="AU120" i="2"/>
  <c r="AL120" i="2"/>
  <c r="AK120" i="2"/>
  <c r="AB120" i="2"/>
  <c r="AA120" i="2"/>
  <c r="S120" i="2"/>
  <c r="I120" i="2"/>
  <c r="DO119" i="2"/>
  <c r="DL119" i="2"/>
  <c r="DE119" i="2"/>
  <c r="DB119" i="2"/>
  <c r="CU119" i="2"/>
  <c r="CR119" i="2"/>
  <c r="CK119" i="2"/>
  <c r="CH119" i="2"/>
  <c r="CA119" i="2"/>
  <c r="BX119" i="2"/>
  <c r="S119" i="2"/>
  <c r="DO118" i="2"/>
  <c r="DL118" i="2"/>
  <c r="DE118" i="2"/>
  <c r="DB118" i="2"/>
  <c r="CU118" i="2"/>
  <c r="CR118" i="2"/>
  <c r="CK118" i="2"/>
  <c r="CH118" i="2"/>
  <c r="CA118" i="2"/>
  <c r="BX118" i="2"/>
  <c r="S118" i="2"/>
  <c r="DO117" i="2"/>
  <c r="DL117" i="2"/>
  <c r="DE117" i="2"/>
  <c r="DB117" i="2"/>
  <c r="CU117" i="2"/>
  <c r="CR117" i="2"/>
  <c r="CK117" i="2"/>
  <c r="CH117" i="2"/>
  <c r="CA117" i="2"/>
  <c r="BX117" i="2"/>
  <c r="BP117" i="2"/>
  <c r="BO117" i="2"/>
  <c r="BF117" i="2"/>
  <c r="BE117" i="2"/>
  <c r="AV117" i="2"/>
  <c r="AU117" i="2"/>
  <c r="AL117" i="2"/>
  <c r="AK117" i="2"/>
  <c r="AB117" i="2"/>
  <c r="AA117" i="2"/>
  <c r="S117" i="2"/>
  <c r="G117" i="2"/>
  <c r="F117" i="2"/>
  <c r="DO116" i="2"/>
  <c r="DL116" i="2"/>
  <c r="DE116" i="2"/>
  <c r="DB116" i="2"/>
  <c r="CU116" i="2"/>
  <c r="CR116" i="2"/>
  <c r="CK116" i="2"/>
  <c r="CH116" i="2"/>
  <c r="CA116" i="2"/>
  <c r="BX116" i="2"/>
  <c r="BP116" i="2"/>
  <c r="BO116" i="2"/>
  <c r="BF116" i="2"/>
  <c r="BE116" i="2"/>
  <c r="AV116" i="2"/>
  <c r="AU116" i="2"/>
  <c r="AL116" i="2"/>
  <c r="AK116" i="2"/>
  <c r="AB116" i="2"/>
  <c r="AA116" i="2"/>
  <c r="S116" i="2"/>
  <c r="DO115" i="2"/>
  <c r="DL115" i="2"/>
  <c r="DE115" i="2"/>
  <c r="DB115" i="2"/>
  <c r="CU115" i="2"/>
  <c r="CR115" i="2"/>
  <c r="CK115" i="2"/>
  <c r="CH115" i="2"/>
  <c r="CA115" i="2"/>
  <c r="BX115" i="2"/>
  <c r="S115" i="2"/>
  <c r="I115" i="2"/>
  <c r="DO114" i="2"/>
  <c r="DL114" i="2"/>
  <c r="DE114" i="2"/>
  <c r="DB114" i="2"/>
  <c r="CU114" i="2"/>
  <c r="CR114" i="2"/>
  <c r="CK114" i="2"/>
  <c r="CH114" i="2"/>
  <c r="CA114" i="2"/>
  <c r="BX114" i="2"/>
  <c r="Q114" i="2"/>
  <c r="I114" i="2"/>
  <c r="DO113" i="2"/>
  <c r="DL113" i="2"/>
  <c r="DE113" i="2"/>
  <c r="DB113" i="2"/>
  <c r="CU113" i="2"/>
  <c r="CR113" i="2"/>
  <c r="CK113" i="2"/>
  <c r="CH113" i="2"/>
  <c r="CA113" i="2"/>
  <c r="BX113" i="2"/>
  <c r="I113" i="2"/>
  <c r="DO112" i="2"/>
  <c r="DL112" i="2"/>
  <c r="DE112" i="2"/>
  <c r="DB112" i="2"/>
  <c r="CU112" i="2"/>
  <c r="CR112" i="2"/>
  <c r="CK112" i="2"/>
  <c r="CH112" i="2"/>
  <c r="CA112" i="2"/>
  <c r="BX112" i="2"/>
  <c r="BP112" i="2"/>
  <c r="BO112" i="2"/>
  <c r="BF112" i="2"/>
  <c r="BE112" i="2"/>
  <c r="AV112" i="2"/>
  <c r="AU112" i="2"/>
  <c r="AL112" i="2"/>
  <c r="AK112" i="2"/>
  <c r="AB112" i="2"/>
  <c r="AA112" i="2"/>
  <c r="I112" i="2"/>
  <c r="DO111" i="2"/>
  <c r="DL111" i="2"/>
  <c r="DE111" i="2"/>
  <c r="DB111" i="2"/>
  <c r="CU111" i="2"/>
  <c r="CR111" i="2"/>
  <c r="CK111" i="2"/>
  <c r="CH111" i="2"/>
  <c r="CA111" i="2"/>
  <c r="BX111" i="2"/>
  <c r="I111" i="2"/>
  <c r="DO110" i="2"/>
  <c r="DL110" i="2"/>
  <c r="DE110" i="2"/>
  <c r="DB110" i="2"/>
  <c r="CU110" i="2"/>
  <c r="CR110" i="2"/>
  <c r="CK110" i="2"/>
  <c r="CH110" i="2"/>
  <c r="CA110" i="2"/>
  <c r="BX110" i="2"/>
  <c r="I110" i="2"/>
  <c r="DO109" i="2"/>
  <c r="DM109" i="2"/>
  <c r="DE109" i="2"/>
  <c r="DC109" i="2"/>
  <c r="CU109" i="2"/>
  <c r="CS109" i="2"/>
  <c r="CK109" i="2"/>
  <c r="CI109" i="2"/>
  <c r="CA109" i="2"/>
  <c r="BY109" i="2"/>
  <c r="G109" i="2"/>
  <c r="H116" i="2" s="1"/>
  <c r="F109" i="2"/>
  <c r="DO108" i="2"/>
  <c r="DM108" i="2"/>
  <c r="DE108" i="2"/>
  <c r="DC108" i="2"/>
  <c r="CU108" i="2"/>
  <c r="CS108" i="2"/>
  <c r="CK108" i="2"/>
  <c r="CI108" i="2"/>
  <c r="CA108" i="2"/>
  <c r="BY108" i="2"/>
  <c r="DO107" i="2"/>
  <c r="DM107" i="2"/>
  <c r="DE107" i="2"/>
  <c r="DC107" i="2"/>
  <c r="CU107" i="2"/>
  <c r="CS107" i="2"/>
  <c r="CK107" i="2"/>
  <c r="CI107" i="2"/>
  <c r="CA107" i="2"/>
  <c r="BY107" i="2"/>
  <c r="S107" i="2"/>
  <c r="I107" i="2"/>
  <c r="DO106" i="2"/>
  <c r="DE106" i="2"/>
  <c r="CU106" i="2"/>
  <c r="CK106" i="2"/>
  <c r="CA106" i="2"/>
  <c r="S106" i="2"/>
  <c r="I106" i="2"/>
  <c r="S105" i="2"/>
  <c r="I105" i="2"/>
  <c r="S104" i="2"/>
  <c r="Q104" i="2"/>
  <c r="I104" i="2"/>
  <c r="S103" i="2"/>
  <c r="I103" i="2"/>
  <c r="DO102" i="2"/>
  <c r="DM102" i="2"/>
  <c r="DN102" i="2" s="1"/>
  <c r="DE102" i="2"/>
  <c r="DC102" i="2"/>
  <c r="DD102" i="2" s="1"/>
  <c r="CU102" i="2"/>
  <c r="CS102" i="2"/>
  <c r="CT102" i="2" s="1"/>
  <c r="CK102" i="2"/>
  <c r="CI102" i="2"/>
  <c r="CJ102" i="2" s="1"/>
  <c r="CA102" i="2"/>
  <c r="BY102" i="2"/>
  <c r="BZ102" i="2" s="1"/>
  <c r="I102" i="2"/>
  <c r="DO101" i="2"/>
  <c r="DM101" i="2"/>
  <c r="DN101" i="2" s="1"/>
  <c r="DH101" i="2"/>
  <c r="DE101" i="2"/>
  <c r="DC101" i="2"/>
  <c r="DD101" i="2" s="1"/>
  <c r="CX101" i="2"/>
  <c r="CU101" i="2"/>
  <c r="CS101" i="2"/>
  <c r="CT101" i="2" s="1"/>
  <c r="CN101" i="2"/>
  <c r="CK101" i="2"/>
  <c r="CI101" i="2"/>
  <c r="CJ101" i="2" s="1"/>
  <c r="CD101" i="2"/>
  <c r="CA101" i="2"/>
  <c r="BY101" i="2"/>
  <c r="BZ101" i="2" s="1"/>
  <c r="BT101" i="2"/>
  <c r="S101" i="2"/>
  <c r="G101" i="2"/>
  <c r="H108" i="2" s="1"/>
  <c r="F101" i="2"/>
  <c r="DO100" i="2"/>
  <c r="DM100" i="2"/>
  <c r="DN100" i="2" s="1"/>
  <c r="DH100" i="2"/>
  <c r="DE100" i="2"/>
  <c r="DC100" i="2"/>
  <c r="DD100" i="2" s="1"/>
  <c r="CX100" i="2"/>
  <c r="CU100" i="2"/>
  <c r="CS100" i="2"/>
  <c r="CT100" i="2" s="1"/>
  <c r="CN100" i="2"/>
  <c r="CK100" i="2"/>
  <c r="CI100" i="2"/>
  <c r="CJ100" i="2" s="1"/>
  <c r="CD100" i="2"/>
  <c r="CA100" i="2"/>
  <c r="BY100" i="2"/>
  <c r="BZ100" i="2" s="1"/>
  <c r="BT100" i="2"/>
  <c r="S100" i="2"/>
  <c r="DO99" i="2"/>
  <c r="DL99" i="2"/>
  <c r="DE99" i="2"/>
  <c r="DB99" i="2"/>
  <c r="CU99" i="2"/>
  <c r="CR99" i="2"/>
  <c r="CK99" i="2"/>
  <c r="CH99" i="2"/>
  <c r="CA99" i="2"/>
  <c r="BX99" i="2"/>
  <c r="BO99" i="2"/>
  <c r="BO111" i="2" s="1"/>
  <c r="BE99" i="2"/>
  <c r="BE111" i="2" s="1"/>
  <c r="AU99" i="2"/>
  <c r="AU111" i="2" s="1"/>
  <c r="AK99" i="2"/>
  <c r="AK111" i="2" s="1"/>
  <c r="AA99" i="2"/>
  <c r="AA111" i="2" s="1"/>
  <c r="I99" i="2"/>
  <c r="DO98" i="2"/>
  <c r="DL98" i="2"/>
  <c r="DE98" i="2"/>
  <c r="DB98" i="2"/>
  <c r="CU98" i="2"/>
  <c r="CR98" i="2"/>
  <c r="CK98" i="2"/>
  <c r="CH98" i="2"/>
  <c r="CA98" i="2"/>
  <c r="BX98" i="2"/>
  <c r="I98" i="2"/>
  <c r="DO97" i="2"/>
  <c r="DL97" i="2"/>
  <c r="DE97" i="2"/>
  <c r="DB97" i="2"/>
  <c r="CU97" i="2"/>
  <c r="CR97" i="2"/>
  <c r="CK97" i="2"/>
  <c r="CH97" i="2"/>
  <c r="CA97" i="2"/>
  <c r="BX97" i="2"/>
  <c r="I97" i="2"/>
  <c r="DO96" i="2"/>
  <c r="DL96" i="2"/>
  <c r="DE96" i="2"/>
  <c r="DB96" i="2"/>
  <c r="CU96" i="2"/>
  <c r="CR96" i="2"/>
  <c r="CK96" i="2"/>
  <c r="CH96" i="2"/>
  <c r="CA96" i="2"/>
  <c r="BX96" i="2"/>
  <c r="S96" i="2"/>
  <c r="I96" i="2"/>
  <c r="DO95" i="2"/>
  <c r="DE95" i="2"/>
  <c r="CU95" i="2"/>
  <c r="CK95" i="2"/>
  <c r="CA95" i="2"/>
  <c r="BO95" i="2"/>
  <c r="BE95" i="2"/>
  <c r="AU95" i="2"/>
  <c r="AK95" i="2"/>
  <c r="AA95" i="2"/>
  <c r="S95" i="2"/>
  <c r="I95" i="2"/>
  <c r="S94" i="2"/>
  <c r="I94" i="2"/>
  <c r="S93" i="2"/>
  <c r="S92" i="2"/>
  <c r="BO91" i="2"/>
  <c r="BP91" i="2" s="1"/>
  <c r="BE91" i="2"/>
  <c r="BF91" i="2" s="1"/>
  <c r="AU91" i="2"/>
  <c r="AV91" i="2" s="1"/>
  <c r="AK91" i="2"/>
  <c r="AL91" i="2" s="1"/>
  <c r="AA91" i="2"/>
  <c r="AB91" i="2" s="1"/>
  <c r="S91" i="2"/>
  <c r="DM90" i="2"/>
  <c r="DN90" i="2" s="1"/>
  <c r="DL90" i="2"/>
  <c r="DC90" i="2"/>
  <c r="DD90" i="2" s="1"/>
  <c r="DB90" i="2"/>
  <c r="CS90" i="2"/>
  <c r="CT90" i="2" s="1"/>
  <c r="CR90" i="2"/>
  <c r="CI90" i="2"/>
  <c r="CJ90" i="2" s="1"/>
  <c r="CH90" i="2"/>
  <c r="BY90" i="2"/>
  <c r="BZ90" i="2" s="1"/>
  <c r="BX90" i="2"/>
  <c r="BO90" i="2"/>
  <c r="BP90" i="2" s="1"/>
  <c r="BJ90" i="2"/>
  <c r="BE90" i="2"/>
  <c r="BF90" i="2" s="1"/>
  <c r="AZ90" i="2"/>
  <c r="AU90" i="2"/>
  <c r="AV90" i="2" s="1"/>
  <c r="AP90" i="2"/>
  <c r="AK90" i="2"/>
  <c r="AL90" i="2" s="1"/>
  <c r="AF90" i="2"/>
  <c r="AA90" i="2"/>
  <c r="AB90" i="2" s="1"/>
  <c r="V90" i="2"/>
  <c r="S90" i="2"/>
  <c r="Q90" i="2"/>
  <c r="BO89" i="2"/>
  <c r="BP89" i="2" s="1"/>
  <c r="BJ89" i="2"/>
  <c r="BI89" i="2"/>
  <c r="BE89" i="2"/>
  <c r="BF89" i="2" s="1"/>
  <c r="AZ89" i="2"/>
  <c r="AY89" i="2"/>
  <c r="AU89" i="2"/>
  <c r="AV89" i="2" s="1"/>
  <c r="AP89" i="2"/>
  <c r="AO89" i="2"/>
  <c r="AK89" i="2"/>
  <c r="AL89" i="2" s="1"/>
  <c r="AF89" i="2"/>
  <c r="AE89" i="2"/>
  <c r="AC89" i="2"/>
  <c r="AA89" i="2"/>
  <c r="AB89" i="2" s="1"/>
  <c r="V89" i="2"/>
  <c r="U89" i="2"/>
  <c r="S89" i="2"/>
  <c r="Q89" i="2"/>
  <c r="R89" i="2" s="1"/>
  <c r="I89" i="2"/>
  <c r="BN88" i="2"/>
  <c r="BD88" i="2"/>
  <c r="AT88" i="2"/>
  <c r="AJ88" i="2"/>
  <c r="Z88" i="2"/>
  <c r="S88" i="2"/>
  <c r="Q88" i="2"/>
  <c r="I88" i="2"/>
  <c r="DM87" i="2"/>
  <c r="DC87" i="2"/>
  <c r="CS87" i="2"/>
  <c r="CI87" i="2"/>
  <c r="BY87" i="2"/>
  <c r="BN87" i="2"/>
  <c r="BD87" i="2"/>
  <c r="AT87" i="2"/>
  <c r="AJ87" i="2"/>
  <c r="AC87" i="2"/>
  <c r="Z87" i="2"/>
  <c r="S87" i="2"/>
  <c r="I87" i="2"/>
  <c r="A86" i="2" s="1" a="1"/>
  <c r="A86" i="2" s="1"/>
  <c r="DM86" i="2"/>
  <c r="DD86" i="2"/>
  <c r="DC86" i="2"/>
  <c r="CS86" i="2"/>
  <c r="CI86" i="2"/>
  <c r="BY86" i="2"/>
  <c r="BN86" i="2"/>
  <c r="BD86" i="2"/>
  <c r="AT86" i="2"/>
  <c r="AJ86" i="2"/>
  <c r="Z86" i="2"/>
  <c r="S86" i="2"/>
  <c r="DO85" i="2"/>
  <c r="DO86" i="2" s="1"/>
  <c r="DO87" i="2" s="1"/>
  <c r="DO88" i="2" s="1"/>
  <c r="DO89" i="2" s="1"/>
  <c r="DO90" i="2" s="1"/>
  <c r="DE85" i="2"/>
  <c r="DE86" i="2" s="1"/>
  <c r="CU85" i="2"/>
  <c r="CU86" i="2" s="1"/>
  <c r="CK85" i="2"/>
  <c r="CK86" i="2" s="1"/>
  <c r="CA85" i="2"/>
  <c r="CA86" i="2" s="1"/>
  <c r="BN85" i="2"/>
  <c r="BD85" i="2"/>
  <c r="AV85" i="2"/>
  <c r="AT85" i="2"/>
  <c r="AJ85" i="2"/>
  <c r="Z85" i="2"/>
  <c r="S85" i="2"/>
  <c r="DE84" i="2"/>
  <c r="CU84" i="2"/>
  <c r="CK84" i="2"/>
  <c r="CA84" i="2"/>
  <c r="Q84" i="2"/>
  <c r="DN83" i="2"/>
  <c r="DL83" i="2"/>
  <c r="DE83" i="2"/>
  <c r="DB83" i="2"/>
  <c r="CU83" i="2"/>
  <c r="CR83" i="2"/>
  <c r="CK83" i="2"/>
  <c r="CH83" i="2"/>
  <c r="CA83" i="2"/>
  <c r="BX83" i="2"/>
  <c r="S83" i="2"/>
  <c r="H83" i="2"/>
  <c r="DE82" i="2"/>
  <c r="CU82" i="2"/>
  <c r="CK82" i="2"/>
  <c r="CA82" i="2"/>
  <c r="G82" i="2"/>
  <c r="I82" i="2" s="1"/>
  <c r="D82" i="2"/>
  <c r="DE81" i="2"/>
  <c r="CU81" i="2"/>
  <c r="CK81" i="2"/>
  <c r="CA81" i="2"/>
  <c r="I81" i="2"/>
  <c r="I80" i="2"/>
  <c r="I79" i="2"/>
  <c r="BI77" i="2"/>
  <c r="BE77" i="2"/>
  <c r="BF77" i="2" s="1"/>
  <c r="BG77" i="2" s="1"/>
  <c r="AY77" i="2"/>
  <c r="AO77" i="2"/>
  <c r="AE77" i="2"/>
  <c r="U77" i="2"/>
  <c r="S77" i="2"/>
  <c r="CU76" i="2"/>
  <c r="CA76" i="2"/>
  <c r="BQ76" i="2"/>
  <c r="BP76" i="2"/>
  <c r="BG76" i="2"/>
  <c r="AW76" i="2"/>
  <c r="AM76" i="2"/>
  <c r="AC76" i="2"/>
  <c r="S76" i="2"/>
  <c r="G76" i="2"/>
  <c r="I76" i="2" s="1"/>
  <c r="DG75" i="2"/>
  <c r="CW75" i="2"/>
  <c r="CU75" i="2"/>
  <c r="CM75" i="2"/>
  <c r="CK75" i="2"/>
  <c r="CC75" i="2"/>
  <c r="CA75" i="2"/>
  <c r="BS75" i="2"/>
  <c r="BG75" i="2"/>
  <c r="BF75" i="2"/>
  <c r="AW75" i="2"/>
  <c r="AM75" i="2"/>
  <c r="AC75" i="2"/>
  <c r="S75" i="2"/>
  <c r="DN74" i="2"/>
  <c r="CU74" i="2"/>
  <c r="CT74" i="2"/>
  <c r="CA74" i="2"/>
  <c r="BZ74" i="2"/>
  <c r="BG74" i="2"/>
  <c r="AW74" i="2"/>
  <c r="AM74" i="2"/>
  <c r="AC74" i="2"/>
  <c r="S74" i="2"/>
  <c r="Q74" i="2"/>
  <c r="I74" i="2"/>
  <c r="DN73" i="2"/>
  <c r="DM73" i="2"/>
  <c r="DC73" i="2"/>
  <c r="CS73" i="2"/>
  <c r="CK73" i="2"/>
  <c r="CJ73" i="2"/>
  <c r="CI73" i="2"/>
  <c r="CA73" i="2"/>
  <c r="BZ73" i="2"/>
  <c r="BY73" i="2"/>
  <c r="BG73" i="2"/>
  <c r="AW73" i="2"/>
  <c r="AM73" i="2"/>
  <c r="AC73" i="2"/>
  <c r="S73" i="2"/>
  <c r="I73" i="2"/>
  <c r="DM72" i="2"/>
  <c r="DC72" i="2"/>
  <c r="CS72" i="2"/>
  <c r="CI72" i="2"/>
  <c r="BY72" i="2"/>
  <c r="BG72" i="2"/>
  <c r="AW72" i="2"/>
  <c r="AM72" i="2"/>
  <c r="AC72" i="2"/>
  <c r="S72" i="2"/>
  <c r="G72" i="2"/>
  <c r="I72" i="2" s="1"/>
  <c r="DM71" i="2"/>
  <c r="DG71" i="2"/>
  <c r="DC71" i="2"/>
  <c r="CW71" i="2"/>
  <c r="CU71" i="2"/>
  <c r="CT71" i="2"/>
  <c r="CS71" i="2"/>
  <c r="CM71" i="2"/>
  <c r="CI71" i="2"/>
  <c r="CA71" i="2"/>
  <c r="BY71" i="2"/>
  <c r="BQ71" i="2"/>
  <c r="BG71" i="2"/>
  <c r="AW71" i="2"/>
  <c r="AM71" i="2"/>
  <c r="AC71" i="2"/>
  <c r="S71" i="2"/>
  <c r="I71" i="2"/>
  <c r="G71" i="2"/>
  <c r="G75" i="2" s="1"/>
  <c r="I75" i="2" s="1"/>
  <c r="A64" i="2" s="1"/>
  <c r="DM70" i="2"/>
  <c r="DC70" i="2"/>
  <c r="CS70" i="2"/>
  <c r="CI70" i="2"/>
  <c r="CI75" i="2" s="1"/>
  <c r="CJ75" i="2" s="1"/>
  <c r="CA70" i="2"/>
  <c r="BY70" i="2"/>
  <c r="BI70" i="2"/>
  <c r="BG70" i="2"/>
  <c r="AY70" i="2"/>
  <c r="AW70" i="2"/>
  <c r="AV70" i="2"/>
  <c r="AO70" i="2"/>
  <c r="AM70" i="2"/>
  <c r="AE70" i="2"/>
  <c r="AC70" i="2"/>
  <c r="AB70" i="2"/>
  <c r="U70" i="2"/>
  <c r="S70" i="2"/>
  <c r="I70" i="2"/>
  <c r="DD69" i="2"/>
  <c r="CA69" i="2"/>
  <c r="BO69" i="2"/>
  <c r="BE69" i="2"/>
  <c r="AY91" i="2" s="1"/>
  <c r="AU69" i="2"/>
  <c r="AU78" i="2" s="1"/>
  <c r="AV78" i="2" s="1"/>
  <c r="AW78" i="2" s="1"/>
  <c r="AL69" i="2"/>
  <c r="AK69" i="2"/>
  <c r="AE91" i="2" s="1"/>
  <c r="AA69" i="2"/>
  <c r="I69" i="2"/>
  <c r="DG68" i="2"/>
  <c r="DE68" i="2"/>
  <c r="DD68" i="2"/>
  <c r="CW68" i="2"/>
  <c r="CT68" i="2"/>
  <c r="CM68" i="2"/>
  <c r="CK68" i="2"/>
  <c r="CC68" i="2"/>
  <c r="CA68" i="2"/>
  <c r="BS68" i="2"/>
  <c r="BO68" i="2"/>
  <c r="BI90" i="2" s="1"/>
  <c r="BE68" i="2"/>
  <c r="AY90" i="2" s="1"/>
  <c r="AU68" i="2"/>
  <c r="AO90" i="2" s="1"/>
  <c r="AK68" i="2"/>
  <c r="AE90" i="2" s="1"/>
  <c r="AA68" i="2"/>
  <c r="U90" i="2" s="1"/>
  <c r="I68" i="2"/>
  <c r="DM67" i="2"/>
  <c r="DE67" i="2"/>
  <c r="DC67" i="2"/>
  <c r="CS67" i="2"/>
  <c r="CS77" i="2" s="1"/>
  <c r="CM100" i="2" s="1"/>
  <c r="CI67" i="2"/>
  <c r="CA67" i="2"/>
  <c r="BY67" i="2"/>
  <c r="BO67" i="2"/>
  <c r="BE67" i="2"/>
  <c r="AU67" i="2"/>
  <c r="AK67" i="2"/>
  <c r="AA67" i="2"/>
  <c r="I67" i="2"/>
  <c r="DM66" i="2"/>
  <c r="DG101" i="2" s="1"/>
  <c r="DE66" i="2"/>
  <c r="DC66" i="2"/>
  <c r="CW101" i="2" s="1"/>
  <c r="CU66" i="2"/>
  <c r="CS66" i="2"/>
  <c r="CM101" i="2" s="1"/>
  <c r="CI66" i="2"/>
  <c r="CC101" i="2" s="1"/>
  <c r="CA66" i="2"/>
  <c r="BY66" i="2"/>
  <c r="BS101" i="2" s="1"/>
  <c r="I66" i="2"/>
  <c r="DM65" i="2"/>
  <c r="DC65" i="2"/>
  <c r="CU65" i="2"/>
  <c r="CS65" i="2"/>
  <c r="CI65" i="2"/>
  <c r="CA65" i="2"/>
  <c r="BY65" i="2"/>
  <c r="BO65" i="2"/>
  <c r="BI65" i="2"/>
  <c r="BE65" i="2"/>
  <c r="BG90" i="2" s="1"/>
  <c r="AY65" i="2"/>
  <c r="AU65" i="2"/>
  <c r="AW87" i="2" s="1"/>
  <c r="AO65" i="2"/>
  <c r="AK65" i="2"/>
  <c r="AM86" i="2" s="1"/>
  <c r="AE65" i="2"/>
  <c r="AA65" i="2"/>
  <c r="AC85" i="2" s="1"/>
  <c r="U65" i="2"/>
  <c r="S65" i="2"/>
  <c r="I65" i="2"/>
  <c r="DL64" i="2"/>
  <c r="DE64" i="2"/>
  <c r="DE74" i="2" s="1"/>
  <c r="DB64" i="2"/>
  <c r="CU64" i="2"/>
  <c r="CU70" i="2" s="1"/>
  <c r="CR64" i="2"/>
  <c r="CK64" i="2"/>
  <c r="CK74" i="2" s="1"/>
  <c r="CH64" i="2"/>
  <c r="CA64" i="2"/>
  <c r="CA72" i="2" s="1"/>
  <c r="BX64" i="2"/>
  <c r="BG64" i="2"/>
  <c r="AW64" i="2"/>
  <c r="AM64" i="2"/>
  <c r="AC64" i="2"/>
  <c r="K64" i="2"/>
  <c r="DE63" i="2"/>
  <c r="CU63" i="2"/>
  <c r="CT63" i="2"/>
  <c r="CK63" i="2"/>
  <c r="CA63" i="2"/>
  <c r="BG63" i="2"/>
  <c r="AW63" i="2"/>
  <c r="AM63" i="2"/>
  <c r="AC63" i="2"/>
  <c r="BG62" i="2"/>
  <c r="AW62" i="2"/>
  <c r="AV62" i="2"/>
  <c r="AM62" i="2"/>
  <c r="AC62" i="2"/>
  <c r="DO61" i="2"/>
  <c r="DO63" i="2" s="1"/>
  <c r="DE61" i="2"/>
  <c r="CU61" i="2"/>
  <c r="CK61" i="2"/>
  <c r="CA61" i="2"/>
  <c r="CY56" i="2"/>
  <c r="CO56" i="2"/>
  <c r="CE56" i="2"/>
  <c r="BU56" i="2"/>
  <c r="BA56" i="2"/>
  <c r="AQ56" i="2"/>
  <c r="AG56" i="2"/>
  <c r="CC71" i="2" s="1"/>
  <c r="W56" i="2"/>
  <c r="BS71" i="2" s="1"/>
  <c r="CW39" i="2"/>
  <c r="CM39" i="2"/>
  <c r="CC39" i="2"/>
  <c r="BS39" i="2"/>
  <c r="AY39" i="2"/>
  <c r="AO39" i="2"/>
  <c r="AE39" i="2"/>
  <c r="U39" i="2"/>
  <c r="AA25" i="2"/>
  <c r="AA24" i="2"/>
  <c r="V23" i="2"/>
  <c r="N23" i="2"/>
  <c r="M23" i="2"/>
  <c r="H23" i="2"/>
  <c r="F23" i="2"/>
  <c r="G23" i="2" s="1"/>
  <c r="AA22" i="2"/>
  <c r="N22" i="2"/>
  <c r="O19" i="2" a="1"/>
  <c r="O19" i="2" s="1"/>
  <c r="N19" i="2" a="1"/>
  <c r="N19" i="2" s="1"/>
  <c r="M19" i="2" a="1"/>
  <c r="M19" i="2" s="1"/>
  <c r="K19" i="2" a="1"/>
  <c r="K19" i="2" s="1"/>
  <c r="I19" i="2" a="1"/>
  <c r="I19" i="2" s="1"/>
  <c r="G19" i="2" a="1"/>
  <c r="G19" i="2" s="1"/>
  <c r="D19" i="2" a="1"/>
  <c r="D19" i="2" s="1"/>
  <c r="O18" i="2" a="1"/>
  <c r="O18" i="2" s="1"/>
  <c r="N18" i="2" a="1"/>
  <c r="N18" i="2" s="1"/>
  <c r="M18" i="2" a="1"/>
  <c r="M18" i="2" s="1"/>
  <c r="K18" i="2" a="1"/>
  <c r="K18" i="2" s="1"/>
  <c r="I18" i="2" a="1"/>
  <c r="I18" i="2" s="1"/>
  <c r="G18" i="2" a="1"/>
  <c r="G18" i="2" s="1"/>
  <c r="D18" i="2" a="1"/>
  <c r="D18" i="2" s="1"/>
  <c r="O17" i="2" a="1"/>
  <c r="O17" i="2" s="1"/>
  <c r="N17" i="2" a="1"/>
  <c r="N17" i="2" s="1"/>
  <c r="M17" i="2" a="1"/>
  <c r="M17" i="2" s="1"/>
  <c r="K17" i="2" a="1"/>
  <c r="K17" i="2" s="1"/>
  <c r="I17" i="2" a="1"/>
  <c r="I17" i="2" s="1"/>
  <c r="G17" i="2" a="1"/>
  <c r="G17" i="2" s="1"/>
  <c r="D17" i="2" a="1"/>
  <c r="D17" i="2" s="1"/>
  <c r="O16" i="2" a="1"/>
  <c r="O16" i="2" s="1"/>
  <c r="N16" i="2" a="1"/>
  <c r="N16" i="2" s="1"/>
  <c r="M16" i="2" a="1"/>
  <c r="M16" i="2" s="1"/>
  <c r="K16" i="2" a="1"/>
  <c r="K16" i="2" s="1"/>
  <c r="I16" i="2" a="1"/>
  <c r="I16" i="2" s="1"/>
  <c r="G16" i="2" a="1"/>
  <c r="G16" i="2" s="1"/>
  <c r="D16" i="2" a="1"/>
  <c r="D16" i="2" s="1"/>
  <c r="O15" i="2" a="1"/>
  <c r="O15" i="2" s="1"/>
  <c r="N15" i="2" a="1"/>
  <c r="N15" i="2" s="1"/>
  <c r="M15" i="2" a="1"/>
  <c r="M15" i="2" s="1"/>
  <c r="K15" i="2" a="1"/>
  <c r="K15" i="2" s="1"/>
  <c r="I15" i="2" a="1"/>
  <c r="I15" i="2" s="1"/>
  <c r="G15" i="2" a="1"/>
  <c r="G15" i="2" s="1"/>
  <c r="D15" i="2" a="1"/>
  <c r="D15" i="2" s="1"/>
  <c r="O14" i="2" a="1"/>
  <c r="O14" i="2" s="1"/>
  <c r="N14" i="2" a="1"/>
  <c r="N14" i="2" s="1"/>
  <c r="M14" i="2" a="1"/>
  <c r="M14" i="2" s="1"/>
  <c r="K14" i="2" a="1"/>
  <c r="K14" i="2" s="1"/>
  <c r="I14" i="2" a="1"/>
  <c r="I14" i="2" s="1"/>
  <c r="G14" i="2" a="1"/>
  <c r="G14" i="2" s="1"/>
  <c r="D14" i="2" a="1"/>
  <c r="D14" i="2" s="1"/>
  <c r="O13" i="2" a="1"/>
  <c r="O13" i="2" s="1"/>
  <c r="N13" i="2" a="1"/>
  <c r="N13" i="2" s="1"/>
  <c r="M13" i="2" a="1"/>
  <c r="M13" i="2" s="1"/>
  <c r="K13" i="2" a="1"/>
  <c r="K13" i="2" s="1"/>
  <c r="I13" i="2" a="1"/>
  <c r="I13" i="2" s="1"/>
  <c r="G13" i="2" a="1"/>
  <c r="G13" i="2" s="1"/>
  <c r="D13" i="2" a="1"/>
  <c r="D13" i="2" s="1"/>
  <c r="O12" i="2" a="1"/>
  <c r="O12" i="2" s="1"/>
  <c r="N12" i="2" a="1"/>
  <c r="N12" i="2" s="1"/>
  <c r="M12" i="2" a="1"/>
  <c r="M12" i="2" s="1"/>
  <c r="K12" i="2" a="1"/>
  <c r="K12" i="2" s="1"/>
  <c r="I12" i="2" a="1"/>
  <c r="I12" i="2" s="1"/>
  <c r="G12" i="2" a="1"/>
  <c r="G12" i="2" s="1"/>
  <c r="D12" i="2" a="1"/>
  <c r="D12" i="2" s="1"/>
  <c r="O11" i="2" a="1"/>
  <c r="O11" i="2" s="1"/>
  <c r="N11" i="2" a="1"/>
  <c r="N11" i="2" s="1"/>
  <c r="M11" i="2" a="1"/>
  <c r="M11" i="2" s="1"/>
  <c r="K11" i="2" a="1"/>
  <c r="K11" i="2" s="1"/>
  <c r="I11" i="2" a="1"/>
  <c r="I11" i="2" s="1"/>
  <c r="G11" i="2" a="1"/>
  <c r="G11" i="2" s="1"/>
  <c r="D11" i="2" a="1"/>
  <c r="D11" i="2" s="1"/>
  <c r="O10" i="2" a="1"/>
  <c r="O10" i="2" s="1"/>
  <c r="N10" i="2" a="1"/>
  <c r="N10" i="2" s="1"/>
  <c r="M10" i="2" a="1"/>
  <c r="M10" i="2" s="1"/>
  <c r="K10" i="2" a="1"/>
  <c r="K10" i="2" s="1"/>
  <c r="I10" i="2" a="1"/>
  <c r="I10" i="2" s="1"/>
  <c r="G10" i="2" a="1"/>
  <c r="G10" i="2" s="1"/>
  <c r="D10" i="2" a="1"/>
  <c r="D10" i="2" s="1"/>
  <c r="M8" i="2"/>
  <c r="K8" i="2"/>
  <c r="K7" i="2"/>
  <c r="I6" i="2"/>
  <c r="K6" i="2" s="1"/>
  <c r="I5" i="2"/>
  <c r="K5" i="2" s="1"/>
  <c r="I2" i="2"/>
  <c r="CI113" i="1"/>
  <c r="CH113" i="1"/>
  <c r="CG113" i="1"/>
  <c r="CC113" i="1"/>
  <c r="CI112" i="1"/>
  <c r="CH112" i="1"/>
  <c r="CG112" i="1"/>
  <c r="CC112" i="1"/>
  <c r="CI111" i="1"/>
  <c r="CH111" i="1"/>
  <c r="CG111" i="1"/>
  <c r="CC111" i="1"/>
  <c r="CH110" i="1"/>
  <c r="CG110" i="1"/>
  <c r="CC110" i="1"/>
  <c r="CI109" i="1"/>
  <c r="CG109" i="1"/>
  <c r="CC109" i="1"/>
  <c r="CH108" i="1"/>
  <c r="CG108" i="1"/>
  <c r="CH104" i="1"/>
  <c r="CG104" i="1"/>
  <c r="CH103" i="1"/>
  <c r="CG103" i="1"/>
  <c r="CH102" i="1"/>
  <c r="CH101" i="1"/>
  <c r="CG102" i="1"/>
  <c r="CG101" i="1"/>
  <c r="N136" i="2" a="1"/>
  <c r="M9" i="2" a="1"/>
  <c r="T52" i="3" a="1"/>
  <c r="AN68" i="3" a="1"/>
  <c r="Q107" i="2" a="1"/>
  <c r="Q106" i="2" a="1"/>
  <c r="E88" i="3" a="1"/>
  <c r="Q77" i="2" a="1"/>
  <c r="AN107" i="3" a="1"/>
  <c r="Q137" i="2" a="1"/>
  <c r="T63" i="3" a="1"/>
  <c r="AN60" i="3" a="1"/>
  <c r="T61" i="3" a="1"/>
  <c r="Q76" i="2" a="1"/>
  <c r="AX91" i="3" a="1"/>
  <c r="D9" i="2" a="1"/>
  <c r="AX94" i="3" a="1"/>
  <c r="O9" i="2" a="1"/>
  <c r="Q50" i="3" a="1"/>
  <c r="AN67" i="3" a="1"/>
  <c r="N105" i="2" a="1"/>
  <c r="N75" i="2" a="1"/>
  <c r="AN75" i="3" a="1"/>
  <c r="E89" i="3" a="1"/>
  <c r="J89" i="3" a="1"/>
  <c r="G9" i="2" a="1"/>
  <c r="AK106" i="3" a="1"/>
  <c r="AN71" i="3" a="1"/>
  <c r="Q138" i="2" a="1"/>
  <c r="A16" i="2" a="1"/>
  <c r="K9" i="2" a="1"/>
  <c r="AM121" i="3" a="1"/>
  <c r="AN77" i="3" a="1"/>
  <c r="AM119" i="3" a="1"/>
  <c r="AN108" i="3" a="1"/>
  <c r="N9" i="2" a="1"/>
  <c r="AK58" i="3" a="1"/>
  <c r="AN72" i="3" a="1"/>
  <c r="AN59" i="3" a="1"/>
  <c r="T51" i="3" a="1"/>
  <c r="AX89" i="3" a="1"/>
  <c r="T62" i="3" a="1"/>
  <c r="J109" i="3" a="1"/>
  <c r="AN73" i="3" a="1"/>
  <c r="J88" i="3" a="1"/>
  <c r="AM120" i="3" a="1"/>
  <c r="AN76" i="3" a="1"/>
  <c r="S57" i="4" l="1"/>
  <c r="AN49" i="3"/>
  <c r="AN50" i="3" s="1"/>
  <c r="AP58" i="3"/>
  <c r="BL76" i="3" a="1"/>
  <c r="BL76" i="3" s="1"/>
  <c r="AR40" i="3"/>
  <c r="V48" i="3"/>
  <c r="H89" i="3"/>
  <c r="AZ66" i="3"/>
  <c r="AP54" i="3"/>
  <c r="AP59" i="3"/>
  <c r="AZ65" i="3"/>
  <c r="AP61" i="3"/>
  <c r="AP55" i="3"/>
  <c r="AP65" i="3"/>
  <c r="D47" i="3" a="1"/>
  <c r="D47" i="3" s="1"/>
  <c r="AW39" i="4"/>
  <c r="N49" i="5"/>
  <c r="CB11" i="3"/>
  <c r="AM79" i="3"/>
  <c r="CD11" i="3"/>
  <c r="AM43" i="3"/>
  <c r="B3" i="3"/>
  <c r="E1" i="2"/>
  <c r="BF63" i="2"/>
  <c r="DD65" i="2"/>
  <c r="BF67" i="2"/>
  <c r="DD67" i="2"/>
  <c r="BF68" i="2"/>
  <c r="AV69" i="2"/>
  <c r="BF70" i="2"/>
  <c r="BP71" i="2"/>
  <c r="AB73" i="2"/>
  <c r="R74" i="2"/>
  <c r="BP75" i="2"/>
  <c r="BQ78" i="2"/>
  <c r="L24" i="2"/>
  <c r="BP63" i="2"/>
  <c r="AB64" i="2"/>
  <c r="AB65" i="2"/>
  <c r="BP65" i="2"/>
  <c r="BP67" i="2"/>
  <c r="DM77" i="2"/>
  <c r="DG100" i="2" s="1"/>
  <c r="BP68" i="2"/>
  <c r="DD71" i="2"/>
  <c r="BQ72" i="2"/>
  <c r="AL73" i="2"/>
  <c r="R75" i="2"/>
  <c r="R77" i="2"/>
  <c r="P79" i="2"/>
  <c r="CT84" i="2"/>
  <c r="BZ71" i="2"/>
  <c r="O8" i="2"/>
  <c r="BQ67" i="2"/>
  <c r="DN67" i="2"/>
  <c r="BP70" i="2"/>
  <c r="I3" i="2"/>
  <c r="K3" i="2" s="1"/>
  <c r="M22" i="2"/>
  <c r="BP62" i="2"/>
  <c r="BZ63" i="2"/>
  <c r="AL64" i="2"/>
  <c r="BZ65" i="2"/>
  <c r="BY77" i="2"/>
  <c r="BS100" i="2" s="1"/>
  <c r="AL70" i="2"/>
  <c r="BQ70" i="2"/>
  <c r="AB71" i="2"/>
  <c r="CT73" i="2"/>
  <c r="AV76" i="2"/>
  <c r="M80" i="2"/>
  <c r="H88" i="2"/>
  <c r="N8" i="2"/>
  <c r="M24" i="2"/>
  <c r="DN66" i="2"/>
  <c r="BQ68" i="2"/>
  <c r="BZ69" i="2"/>
  <c r="G4" i="2"/>
  <c r="P88" i="2" s="1"/>
  <c r="K25" i="2"/>
  <c r="BQ62" i="2"/>
  <c r="AL65" i="2"/>
  <c r="BZ66" i="2"/>
  <c r="BZ67" i="2"/>
  <c r="AA79" i="2"/>
  <c r="AB79" i="2" s="1"/>
  <c r="AC79" i="2" s="1"/>
  <c r="CJ69" i="2"/>
  <c r="BY75" i="2"/>
  <c r="BZ75" i="2" s="1"/>
  <c r="S80" i="2"/>
  <c r="DN84" i="2"/>
  <c r="CK87" i="2"/>
  <c r="CK88" i="2" s="1"/>
  <c r="CK89" i="2" s="1"/>
  <c r="CK90" i="2" s="1"/>
  <c r="K2" i="2"/>
  <c r="G3" i="2"/>
  <c r="BQ63" i="2"/>
  <c r="BQ66" i="2"/>
  <c r="I4" i="2"/>
  <c r="K4" i="2" s="1"/>
  <c r="P151" i="2" s="1"/>
  <c r="M25" i="2"/>
  <c r="AB63" i="2"/>
  <c r="CJ63" i="2"/>
  <c r="AV64" i="2"/>
  <c r="AB67" i="2"/>
  <c r="AB68" i="2"/>
  <c r="AB69" i="2"/>
  <c r="CT69" i="2"/>
  <c r="AL71" i="2"/>
  <c r="R72" i="2"/>
  <c r="BQ73" i="2"/>
  <c r="DM75" i="2"/>
  <c r="DN75" i="2" s="1"/>
  <c r="BQ74" i="2"/>
  <c r="AV75" i="2"/>
  <c r="CS75" i="2"/>
  <c r="CT75" i="2" s="1"/>
  <c r="BF76" i="2"/>
  <c r="CU87" i="2"/>
  <c r="CU88" i="2" s="1"/>
  <c r="CU89" i="2" s="1"/>
  <c r="A4" i="3"/>
  <c r="C8" i="3" s="1"/>
  <c r="B7" i="3"/>
  <c r="AO49" i="4"/>
  <c r="AY47" i="4"/>
  <c r="AW40" i="4"/>
  <c r="B4" i="3"/>
  <c r="B8" i="3" s="1"/>
  <c r="BI39" i="3"/>
  <c r="I39" i="4"/>
  <c r="AM41" i="4"/>
  <c r="K49" i="4"/>
  <c r="A5" i="3"/>
  <c r="A15" i="3" s="1"/>
  <c r="AM132" i="3"/>
  <c r="S39" i="4"/>
  <c r="V39" i="4" s="1"/>
  <c r="X49" i="5"/>
  <c r="B5" i="3"/>
  <c r="AO52" i="5"/>
  <c r="AE50" i="5"/>
  <c r="S40" i="4"/>
  <c r="A6" i="3"/>
  <c r="C10" i="3" s="1"/>
  <c r="AE48" i="4"/>
  <c r="U41" i="5"/>
  <c r="AR40" i="5"/>
  <c r="B6" i="3"/>
  <c r="BX11" i="3"/>
  <c r="AC42" i="4"/>
  <c r="A7" i="3"/>
  <c r="C11" i="3" s="1"/>
  <c r="CA11" i="3"/>
  <c r="AM39" i="4"/>
  <c r="AY52" i="5"/>
  <c r="DG105" i="2"/>
  <c r="CW105" i="2"/>
  <c r="R151" i="2"/>
  <c r="AE41" i="5"/>
  <c r="J56" i="4"/>
  <c r="K56" i="4" s="1"/>
  <c r="K52" i="4"/>
  <c r="AO54" i="4"/>
  <c r="CM94" i="2"/>
  <c r="N36" i="3"/>
  <c r="CC105" i="2"/>
  <c r="AY52" i="4"/>
  <c r="AE55" i="4"/>
  <c r="X33" i="4"/>
  <c r="CC94" i="2"/>
  <c r="AN56" i="4"/>
  <c r="AO56" i="4" s="1"/>
  <c r="AH49" i="5"/>
  <c r="AH33" i="4"/>
  <c r="U53" i="4"/>
  <c r="V53" i="4" s="1"/>
  <c r="K54" i="4"/>
  <c r="AY41" i="5"/>
  <c r="AK79" i="2"/>
  <c r="AL79" i="2" s="1"/>
  <c r="AM79" i="2" s="1"/>
  <c r="AY55" i="4"/>
  <c r="BE79" i="2"/>
  <c r="BF79" i="2" s="1"/>
  <c r="BG79" i="2" s="1"/>
  <c r="K57" i="4"/>
  <c r="AO52" i="4"/>
  <c r="U55" i="4"/>
  <c r="V55" i="4" s="1"/>
  <c r="K42" i="5"/>
  <c r="AE54" i="4"/>
  <c r="DO62" i="2"/>
  <c r="U91" i="2"/>
  <c r="AA96" i="2"/>
  <c r="A2" i="5"/>
  <c r="AK78" i="2"/>
  <c r="AL78" i="2" s="1"/>
  <c r="AM78" i="2" s="1"/>
  <c r="DG94" i="2"/>
  <c r="CW94" i="2"/>
  <c r="CU90" i="2"/>
  <c r="CM80" i="2" s="1"/>
  <c r="BS105" i="2"/>
  <c r="AR74" i="3" a="1"/>
  <c r="AR74" i="3" s="1"/>
  <c r="AR83" i="3" a="1"/>
  <c r="AR83" i="3" s="1"/>
  <c r="AO55" i="3"/>
  <c r="AM82" i="3" s="1"/>
  <c r="AM86" i="3" s="1"/>
  <c r="X47" i="3" a="1"/>
  <c r="X47" i="3" s="1"/>
  <c r="AR33" i="4"/>
  <c r="AE53" i="4"/>
  <c r="AO53" i="4"/>
  <c r="AY53" i="4"/>
  <c r="AD56" i="4"/>
  <c r="AE56" i="4" s="1"/>
  <c r="U52" i="4"/>
  <c r="V52" i="4" s="1"/>
  <c r="K53" i="4"/>
  <c r="AO55" i="4"/>
  <c r="AO57" i="4"/>
  <c r="AY54" i="4"/>
  <c r="AE52" i="4"/>
  <c r="U54" i="4"/>
  <c r="V54" i="4" s="1"/>
  <c r="K55" i="4"/>
  <c r="AH40" i="5"/>
  <c r="D49" i="5"/>
  <c r="K52" i="5"/>
  <c r="K50" i="5"/>
  <c r="AE42" i="5"/>
  <c r="U51" i="5"/>
  <c r="U50" i="5"/>
  <c r="N40" i="5"/>
  <c r="AE52" i="5"/>
  <c r="AO42" i="5"/>
  <c r="AO50" i="5"/>
  <c r="AO51" i="5"/>
  <c r="AR49" i="5"/>
  <c r="K41" i="5"/>
  <c r="AO41" i="5"/>
  <c r="U42" i="5"/>
  <c r="AY42" i="5"/>
  <c r="AE51" i="5"/>
  <c r="U52" i="5"/>
  <c r="K51" i="5"/>
  <c r="AY51" i="5"/>
  <c r="U57" i="4"/>
  <c r="V57" i="4" s="1"/>
  <c r="AE57" i="4"/>
  <c r="AY57" i="4"/>
  <c r="U40" i="4"/>
  <c r="AY40" i="4"/>
  <c r="AO41" i="4"/>
  <c r="AE42" i="4"/>
  <c r="AE43" i="4"/>
  <c r="AO44" i="4"/>
  <c r="AY45" i="4"/>
  <c r="AE50" i="4"/>
  <c r="U51" i="4"/>
  <c r="T56" i="4"/>
  <c r="U56" i="4" s="1"/>
  <c r="V56" i="4" s="1"/>
  <c r="AX56" i="4"/>
  <c r="AY56" i="4" s="1"/>
  <c r="D32" i="4"/>
  <c r="A34" i="4"/>
  <c r="A39" i="4"/>
  <c r="AO39" i="4"/>
  <c r="AE47" i="4"/>
  <c r="N32" i="4"/>
  <c r="B34" i="4"/>
  <c r="B39" i="4"/>
  <c r="I41" i="4"/>
  <c r="AW41" i="4"/>
  <c r="AM42" i="4"/>
  <c r="AO43" i="4"/>
  <c r="AY44" i="4"/>
  <c r="K46" i="4"/>
  <c r="X32" i="4"/>
  <c r="AC40" i="4"/>
  <c r="K41" i="4"/>
  <c r="AY41" i="4"/>
  <c r="AO42" i="4"/>
  <c r="K47" i="4"/>
  <c r="K48" i="4"/>
  <c r="AO48" i="4"/>
  <c r="U49" i="4"/>
  <c r="AY49" i="4"/>
  <c r="AO50" i="4"/>
  <c r="AE51" i="4"/>
  <c r="AH32" i="4"/>
  <c r="K39" i="4"/>
  <c r="AY39" i="4"/>
  <c r="AE40" i="4"/>
  <c r="AY43" i="4"/>
  <c r="K45" i="4"/>
  <c r="U46" i="4"/>
  <c r="AR32" i="4"/>
  <c r="S41" i="4"/>
  <c r="I42" i="4"/>
  <c r="AW42" i="4"/>
  <c r="A33" i="4"/>
  <c r="A38" i="4"/>
  <c r="U41" i="4"/>
  <c r="K42" i="4"/>
  <c r="AY42" i="4"/>
  <c r="K44" i="4"/>
  <c r="U45" i="4"/>
  <c r="AE46" i="4"/>
  <c r="AO47" i="4"/>
  <c r="K50" i="4"/>
  <c r="AY50" i="4"/>
  <c r="AO51" i="4"/>
  <c r="B33" i="4"/>
  <c r="B38" i="4"/>
  <c r="U39" i="4"/>
  <c r="I40" i="4"/>
  <c r="AM40" i="4"/>
  <c r="U48" i="4"/>
  <c r="AY48" i="4"/>
  <c r="AE49" i="4"/>
  <c r="A35" i="4"/>
  <c r="K40" i="4"/>
  <c r="AO40" i="4"/>
  <c r="AC41" i="4"/>
  <c r="S42" i="4"/>
  <c r="K43" i="4"/>
  <c r="U44" i="4"/>
  <c r="AE45" i="4"/>
  <c r="AO46" i="4"/>
  <c r="U47" i="4"/>
  <c r="B35" i="4"/>
  <c r="AC39" i="4"/>
  <c r="AE41" i="4"/>
  <c r="U42" i="4"/>
  <c r="U50" i="4"/>
  <c r="K51" i="4"/>
  <c r="AY51" i="4"/>
  <c r="AE39" i="4"/>
  <c r="U43" i="4"/>
  <c r="AE44" i="4"/>
  <c r="AO45" i="4"/>
  <c r="T52" i="3"/>
  <c r="O78" i="3" s="1"/>
  <c r="T62" i="3"/>
  <c r="T68" i="3" s="1"/>
  <c r="AN68" i="3"/>
  <c r="AN73" i="3"/>
  <c r="AI99" i="3" s="1"/>
  <c r="AX91" i="3"/>
  <c r="AK58" i="3"/>
  <c r="E88" i="3"/>
  <c r="AN59" i="3"/>
  <c r="AI91" i="3" s="1"/>
  <c r="AL92" i="3" s="1"/>
  <c r="AX89" i="3"/>
  <c r="AX94" i="3"/>
  <c r="Q50" i="3"/>
  <c r="AN60" i="3"/>
  <c r="AI94" i="3" s="1"/>
  <c r="T63" i="3"/>
  <c r="AN75" i="3"/>
  <c r="J88" i="3"/>
  <c r="AK106" i="3"/>
  <c r="T51" i="3"/>
  <c r="O75" i="3" s="1"/>
  <c r="R76" i="3" s="1"/>
  <c r="T61" i="3"/>
  <c r="AN67" i="3"/>
  <c r="AN71" i="3"/>
  <c r="AN72" i="3"/>
  <c r="AI96" i="3" s="1"/>
  <c r="AN107" i="3"/>
  <c r="AM115" i="3" s="1"/>
  <c r="J109" i="3"/>
  <c r="AN76" i="3"/>
  <c r="E89" i="3"/>
  <c r="AN108" i="3"/>
  <c r="AM116" i="3" s="1"/>
  <c r="AM119" i="3"/>
  <c r="AN119" i="3" s="1"/>
  <c r="AM121" i="3"/>
  <c r="AN121" i="3" s="1"/>
  <c r="AX70" i="3"/>
  <c r="AN77" i="3"/>
  <c r="J89" i="3"/>
  <c r="AM120" i="3"/>
  <c r="AN120" i="3" s="1"/>
  <c r="AF71" i="3"/>
  <c r="BR60" i="3"/>
  <c r="AD72" i="3"/>
  <c r="AD73" i="3" s="1"/>
  <c r="AD74" i="3" s="1"/>
  <c r="BX16" i="3"/>
  <c r="BY17" i="3"/>
  <c r="AY54" i="3"/>
  <c r="AY63" i="3"/>
  <c r="U64" i="3"/>
  <c r="I65" i="3"/>
  <c r="AO66" i="3"/>
  <c r="AO69" i="3"/>
  <c r="V70" i="3"/>
  <c r="AY71" i="3"/>
  <c r="AY72" i="3"/>
  <c r="V74" i="3"/>
  <c r="V78" i="3"/>
  <c r="V80" i="3"/>
  <c r="P81" i="3"/>
  <c r="BS81" i="3"/>
  <c r="O83" i="3"/>
  <c r="BQ83" i="3"/>
  <c r="V84" i="3"/>
  <c r="L85" i="3"/>
  <c r="C88" i="3"/>
  <c r="K90" i="3"/>
  <c r="AJ93" i="3"/>
  <c r="AJ94" i="3"/>
  <c r="AL95" i="3"/>
  <c r="AJ96" i="3"/>
  <c r="K100" i="3"/>
  <c r="AO116" i="3"/>
  <c r="AM129" i="3"/>
  <c r="AP131" i="3"/>
  <c r="BV11" i="3"/>
  <c r="AP38" i="3"/>
  <c r="AO44" i="3"/>
  <c r="AO45" i="3"/>
  <c r="V49" i="3"/>
  <c r="AZ50" i="3"/>
  <c r="U54" i="3"/>
  <c r="AZ54" i="3"/>
  <c r="U59" i="3"/>
  <c r="AY61" i="3"/>
  <c r="V64" i="3"/>
  <c r="AP66" i="3"/>
  <c r="U67" i="3"/>
  <c r="AP69" i="3"/>
  <c r="AZ71" i="3"/>
  <c r="T72" i="3"/>
  <c r="AZ72" i="3"/>
  <c r="S75" i="3"/>
  <c r="P76" i="3"/>
  <c r="AO77" i="3"/>
  <c r="AM80" i="3"/>
  <c r="P83" i="3"/>
  <c r="BS83" i="3"/>
  <c r="AP88" i="3"/>
  <c r="K89" i="3"/>
  <c r="AP92" i="3"/>
  <c r="AO95" i="3"/>
  <c r="AJ98" i="3"/>
  <c r="K101" i="3"/>
  <c r="AL120" i="3"/>
  <c r="BW11" i="3"/>
  <c r="BG38" i="3"/>
  <c r="AO43" i="3"/>
  <c r="AP45" i="3"/>
  <c r="AC49" i="3"/>
  <c r="U52" i="3"/>
  <c r="U53" i="3"/>
  <c r="V54" i="3"/>
  <c r="L57" i="3"/>
  <c r="AZ57" i="3"/>
  <c r="V59" i="3"/>
  <c r="AZ61" i="3"/>
  <c r="U62" i="3"/>
  <c r="K65" i="3"/>
  <c r="AY66" i="3"/>
  <c r="V67" i="3"/>
  <c r="AO68" i="3"/>
  <c r="U69" i="3"/>
  <c r="AY69" i="3"/>
  <c r="AO73" i="3"/>
  <c r="AP77" i="3"/>
  <c r="AP78" i="3"/>
  <c r="AY79" i="3"/>
  <c r="S81" i="3"/>
  <c r="AO82" i="3"/>
  <c r="AP86" i="3"/>
  <c r="K87" i="3"/>
  <c r="AY88" i="3"/>
  <c r="AI90" i="3"/>
  <c r="E91" i="3"/>
  <c r="AY91" i="3"/>
  <c r="AW92" i="3"/>
  <c r="AM93" i="3"/>
  <c r="AP94" i="3"/>
  <c r="AY95" i="3"/>
  <c r="AM96" i="3"/>
  <c r="AJ99" i="3"/>
  <c r="AI100" i="3"/>
  <c r="AO112" i="3"/>
  <c r="AL115" i="3"/>
  <c r="AO118" i="3"/>
  <c r="AJ132" i="3"/>
  <c r="BX9" i="3"/>
  <c r="BR61" i="3" s="1"/>
  <c r="BR62" i="3" s="1"/>
  <c r="BI38" i="3"/>
  <c r="AP43" i="3"/>
  <c r="BS45" i="3"/>
  <c r="BS46" i="3"/>
  <c r="AE49" i="3"/>
  <c r="AN51" i="3"/>
  <c r="V52" i="3"/>
  <c r="V53" i="3"/>
  <c r="AW55" i="3"/>
  <c r="AE56" i="3"/>
  <c r="T57" i="3"/>
  <c r="O72" i="3" s="1"/>
  <c r="AO58" i="3"/>
  <c r="U60" i="3"/>
  <c r="I61" i="3"/>
  <c r="I63" i="3" s="1"/>
  <c r="V62" i="3"/>
  <c r="K63" i="3"/>
  <c r="AO64" i="3"/>
  <c r="AP68" i="3"/>
  <c r="V69" i="3"/>
  <c r="AZ69" i="3"/>
  <c r="AL70" i="3"/>
  <c r="V72" i="3"/>
  <c r="AP73" i="3"/>
  <c r="V75" i="3"/>
  <c r="S76" i="3"/>
  <c r="AY78" i="3"/>
  <c r="AO80" i="3"/>
  <c r="AP82" i="3"/>
  <c r="S83" i="3"/>
  <c r="F88" i="3"/>
  <c r="AJ90" i="3"/>
  <c r="AM98" i="3"/>
  <c r="AJ100" i="3"/>
  <c r="AI37" i="3"/>
  <c r="AY44" i="3"/>
  <c r="K51" i="3"/>
  <c r="U57" i="3"/>
  <c r="V60" i="3"/>
  <c r="K61" i="3"/>
  <c r="BS61" i="3"/>
  <c r="AO62" i="3"/>
  <c r="AP64" i="3"/>
  <c r="I66" i="3"/>
  <c r="AY68" i="3"/>
  <c r="AP70" i="3"/>
  <c r="AE71" i="3"/>
  <c r="AO74" i="3"/>
  <c r="AM75" i="3"/>
  <c r="O77" i="3"/>
  <c r="AP80" i="3"/>
  <c r="V81" i="3"/>
  <c r="BS82" i="3"/>
  <c r="AP84" i="3"/>
  <c r="AP85" i="3"/>
  <c r="AM87" i="3"/>
  <c r="H88" i="3"/>
  <c r="K91" i="3"/>
  <c r="AP93" i="3"/>
  <c r="AP96" i="3"/>
  <c r="AM99" i="3"/>
  <c r="AX101" i="3"/>
  <c r="K107" i="3"/>
  <c r="AO120" i="3"/>
  <c r="AJ130" i="3"/>
  <c r="AP132" i="3"/>
  <c r="AJ131" i="3"/>
  <c r="AP129" i="3"/>
  <c r="AJ128" i="3"/>
  <c r="AI131" i="3"/>
  <c r="AI128" i="3"/>
  <c r="AP37" i="3"/>
  <c r="AM40" i="3"/>
  <c r="AM42" i="3" s="1"/>
  <c r="AE52" i="3"/>
  <c r="AD54" i="3"/>
  <c r="U55" i="3"/>
  <c r="AP56" i="3"/>
  <c r="V57" i="3"/>
  <c r="AV58" i="3"/>
  <c r="AO59" i="3"/>
  <c r="AP62" i="3"/>
  <c r="U65" i="3"/>
  <c r="AM67" i="3"/>
  <c r="AZ68" i="3"/>
  <c r="AE72" i="3"/>
  <c r="AP74" i="3"/>
  <c r="V76" i="3"/>
  <c r="P77" i="3"/>
  <c r="AY80" i="3"/>
  <c r="V83" i="3"/>
  <c r="AY89" i="3"/>
  <c r="AM90" i="3"/>
  <c r="AY94" i="3"/>
  <c r="AX96" i="3"/>
  <c r="AP98" i="3"/>
  <c r="AM100" i="3"/>
  <c r="AY101" i="3"/>
  <c r="K105" i="3"/>
  <c r="K108" i="3"/>
  <c r="AO115" i="3"/>
  <c r="AM130" i="3"/>
  <c r="AO40" i="3"/>
  <c r="AO41" i="3"/>
  <c r="AO42" i="3"/>
  <c r="U50" i="3"/>
  <c r="AY51" i="3"/>
  <c r="AE54" i="3"/>
  <c r="V55" i="3"/>
  <c r="AZ55" i="3"/>
  <c r="T58" i="3"/>
  <c r="S72" i="3" s="1"/>
  <c r="U72" i="3" s="1"/>
  <c r="AY64" i="3"/>
  <c r="V65" i="3"/>
  <c r="K66" i="3"/>
  <c r="K68" i="3"/>
  <c r="AY70" i="3"/>
  <c r="AM76" i="3"/>
  <c r="AM77" i="3" s="1"/>
  <c r="AM88" i="3" s="1"/>
  <c r="C87" i="3"/>
  <c r="C89" i="3"/>
  <c r="AY96" i="3"/>
  <c r="AJ97" i="3"/>
  <c r="AP99" i="3"/>
  <c r="K104" i="3"/>
  <c r="AO113" i="3"/>
  <c r="AL119" i="3"/>
  <c r="AM128" i="3"/>
  <c r="AP130" i="3"/>
  <c r="CE11" i="3"/>
  <c r="D33" i="3"/>
  <c r="BI37" i="3"/>
  <c r="AP40" i="3"/>
  <c r="AP41" i="3"/>
  <c r="AP42" i="3"/>
  <c r="BS44" i="3"/>
  <c r="BS47" i="3"/>
  <c r="V50" i="3"/>
  <c r="AZ51" i="3"/>
  <c r="AY52" i="3"/>
  <c r="U58" i="3"/>
  <c r="AO60" i="3"/>
  <c r="AY62" i="3"/>
  <c r="U63" i="3"/>
  <c r="AZ64" i="3"/>
  <c r="AE69" i="3"/>
  <c r="AZ70" i="3"/>
  <c r="O74" i="3"/>
  <c r="AO75" i="3"/>
  <c r="S77" i="3"/>
  <c r="O80" i="3"/>
  <c r="BS80" i="3"/>
  <c r="AO81" i="3"/>
  <c r="P82" i="3"/>
  <c r="D87" i="3" a="1"/>
  <c r="D87" i="3" s="1"/>
  <c r="K88" i="3"/>
  <c r="AP90" i="3"/>
  <c r="AJ91" i="3"/>
  <c r="AP100" i="3"/>
  <c r="AO106" i="3"/>
  <c r="AO110" i="3"/>
  <c r="AO117" i="3"/>
  <c r="BX15" i="3"/>
  <c r="AM39" i="3"/>
  <c r="AM41" i="3" s="1"/>
  <c r="U51" i="3"/>
  <c r="AZ52" i="3"/>
  <c r="AE55" i="3"/>
  <c r="AW56" i="3"/>
  <c r="AE57" i="3"/>
  <c r="V58" i="3"/>
  <c r="AP60" i="3"/>
  <c r="U61" i="3"/>
  <c r="AZ62" i="3"/>
  <c r="V63" i="3"/>
  <c r="AO65" i="3"/>
  <c r="I67" i="3"/>
  <c r="AO67" i="3"/>
  <c r="AO71" i="3"/>
  <c r="AO72" i="3"/>
  <c r="AC73" i="3"/>
  <c r="P74" i="3"/>
  <c r="AP75" i="3"/>
  <c r="P78" i="3"/>
  <c r="P80" i="3"/>
  <c r="AP81" i="3"/>
  <c r="P84" i="3"/>
  <c r="C85" i="3"/>
  <c r="C86" i="3"/>
  <c r="AP87" i="3"/>
  <c r="AM97" i="3"/>
  <c r="AN104" i="3"/>
  <c r="AL118" i="3" s="1"/>
  <c r="AO107" i="3"/>
  <c r="K109" i="3"/>
  <c r="AP128" i="3"/>
  <c r="AO39" i="3"/>
  <c r="BG40" i="3"/>
  <c r="BG41" i="3"/>
  <c r="AY49" i="3"/>
  <c r="V51" i="3"/>
  <c r="AY53" i="3"/>
  <c r="BS59" i="3"/>
  <c r="V61" i="3"/>
  <c r="I62" i="3"/>
  <c r="I64" i="3" s="1"/>
  <c r="AO63" i="3"/>
  <c r="K64" i="3"/>
  <c r="U66" i="3"/>
  <c r="AP67" i="3"/>
  <c r="V68" i="3"/>
  <c r="AP71" i="3"/>
  <c r="P72" i="3"/>
  <c r="AP72" i="3"/>
  <c r="AO76" i="3"/>
  <c r="V77" i="3"/>
  <c r="S82" i="3"/>
  <c r="AP83" i="3"/>
  <c r="E85" i="3"/>
  <c r="E87" i="3"/>
  <c r="AL88" i="3"/>
  <c r="F89" i="3"/>
  <c r="AY90" i="3"/>
  <c r="AM91" i="3"/>
  <c r="AJ92" i="3"/>
  <c r="K93" i="3"/>
  <c r="K94" i="3"/>
  <c r="J99" i="3" a="1"/>
  <c r="J99" i="3" s="1"/>
  <c r="AY105" i="3"/>
  <c r="AO108" i="3"/>
  <c r="AL116" i="3"/>
  <c r="AO119" i="3"/>
  <c r="BI40" i="3"/>
  <c r="BI41" i="3"/>
  <c r="V47" i="3"/>
  <c r="AZ49" i="3"/>
  <c r="K52" i="3"/>
  <c r="AZ53" i="3"/>
  <c r="U56" i="3"/>
  <c r="AP57" i="3"/>
  <c r="E59" i="3"/>
  <c r="AZ60" i="3"/>
  <c r="K62" i="3"/>
  <c r="AP63" i="3"/>
  <c r="V66" i="3"/>
  <c r="K67" i="3"/>
  <c r="AY67" i="3"/>
  <c r="AW71" i="3"/>
  <c r="AW72" i="3"/>
  <c r="AE73" i="3"/>
  <c r="S74" i="3"/>
  <c r="AP76" i="3"/>
  <c r="S78" i="3"/>
  <c r="AO79" i="3"/>
  <c r="S80" i="3"/>
  <c r="S84" i="3"/>
  <c r="E90" i="3"/>
  <c r="AP97" i="3"/>
  <c r="AJ129" i="3"/>
  <c r="AM131" i="3"/>
  <c r="A3" i="3"/>
  <c r="BI36" i="3"/>
  <c r="U38" i="3"/>
  <c r="BG39" i="3"/>
  <c r="AM44" i="3"/>
  <c r="AP44" i="3" s="1"/>
  <c r="AM45" i="3"/>
  <c r="AO46" i="3"/>
  <c r="AO61" i="3"/>
  <c r="AY65" i="3"/>
  <c r="AZ67" i="3"/>
  <c r="AM68" i="3"/>
  <c r="R72" i="3"/>
  <c r="P75" i="3"/>
  <c r="V82" i="3"/>
  <c r="K85" i="3"/>
  <c r="AP91" i="3"/>
  <c r="AM92" i="3"/>
  <c r="AI95" i="3"/>
  <c r="AW97" i="3"/>
  <c r="K99" i="3"/>
  <c r="AY107" i="3"/>
  <c r="AO109" i="3"/>
  <c r="AO121" i="3"/>
  <c r="A16" i="2"/>
  <c r="Q76" i="2"/>
  <c r="L80" i="2" s="1"/>
  <c r="O81" i="2" s="1"/>
  <c r="G9" i="2"/>
  <c r="D9" i="2"/>
  <c r="M9" i="2"/>
  <c r="N75" i="2"/>
  <c r="K9" i="2"/>
  <c r="N9" i="2"/>
  <c r="Q77" i="2"/>
  <c r="L83" i="2" s="1"/>
  <c r="O9" i="2"/>
  <c r="N105" i="2"/>
  <c r="Q107" i="2"/>
  <c r="L113" i="2" s="1"/>
  <c r="Q106" i="2"/>
  <c r="N136" i="2"/>
  <c r="Q137" i="2"/>
  <c r="L141" i="2" s="1"/>
  <c r="O142" i="2" s="1"/>
  <c r="Q138" i="2"/>
  <c r="L144" i="2" s="1"/>
  <c r="CC102" i="2"/>
  <c r="CI77" i="2"/>
  <c r="Q119" i="2"/>
  <c r="R119" i="2" s="1"/>
  <c r="F21" i="2"/>
  <c r="R167" i="2"/>
  <c r="Q146" i="2"/>
  <c r="Q147" i="2" s="1"/>
  <c r="CT130" i="2"/>
  <c r="DD126" i="2"/>
  <c r="CT122" i="2"/>
  <c r="CT121" i="2"/>
  <c r="DM119" i="2"/>
  <c r="DN119" i="2" s="1"/>
  <c r="BP118" i="2"/>
  <c r="AB118" i="2"/>
  <c r="AV115" i="2"/>
  <c r="CJ114" i="2"/>
  <c r="AV114" i="2"/>
  <c r="S113" i="2"/>
  <c r="DD112" i="2"/>
  <c r="P146" i="2"/>
  <c r="P148" i="2" s="1"/>
  <c r="M143" i="2"/>
  <c r="M141" i="2"/>
  <c r="CT125" i="2"/>
  <c r="CJ124" i="2"/>
  <c r="AV119" i="2"/>
  <c r="CS118" i="2"/>
  <c r="CT118" i="2" s="1"/>
  <c r="CT117" i="2"/>
  <c r="R116" i="2"/>
  <c r="H115" i="2"/>
  <c r="BF113" i="2"/>
  <c r="R163" i="2"/>
  <c r="L143" i="2"/>
  <c r="R137" i="2"/>
  <c r="G135" i="2"/>
  <c r="H132" i="2"/>
  <c r="DN129" i="2"/>
  <c r="BZ129" i="2"/>
  <c r="H125" i="2"/>
  <c r="DN116" i="2"/>
  <c r="BZ116" i="2"/>
  <c r="P113" i="2"/>
  <c r="H112" i="2"/>
  <c r="BP111" i="2"/>
  <c r="AL111" i="2"/>
  <c r="L111" i="2"/>
  <c r="BE107" i="2"/>
  <c r="BF107" i="2" s="1"/>
  <c r="AA107" i="2"/>
  <c r="AB107" i="2" s="1"/>
  <c r="BF99" i="2"/>
  <c r="AB99" i="2"/>
  <c r="DN96" i="2"/>
  <c r="BZ96" i="2"/>
  <c r="AL96" i="2"/>
  <c r="R148" i="2"/>
  <c r="S144" i="2"/>
  <c r="S142" i="2"/>
  <c r="S140" i="2"/>
  <c r="G131" i="2"/>
  <c r="CJ130" i="2"/>
  <c r="CT126" i="2"/>
  <c r="H126" i="2"/>
  <c r="CJ121" i="2"/>
  <c r="DM120" i="2"/>
  <c r="DN120" i="2" s="1"/>
  <c r="G126" i="2"/>
  <c r="CJ125" i="2"/>
  <c r="DN124" i="2"/>
  <c r="BZ124" i="2"/>
  <c r="DN122" i="2"/>
  <c r="CJ122" i="2"/>
  <c r="AL119" i="2"/>
  <c r="CJ117" i="2"/>
  <c r="AV113" i="2"/>
  <c r="M113" i="2"/>
  <c r="H111" i="2"/>
  <c r="CJ109" i="2"/>
  <c r="DN108" i="2"/>
  <c r="BZ108" i="2"/>
  <c r="G108" i="2"/>
  <c r="BP106" i="2"/>
  <c r="AB106" i="2"/>
  <c r="H104" i="2"/>
  <c r="H100" i="2"/>
  <c r="CJ99" i="2"/>
  <c r="CT98" i="2"/>
  <c r="BF98" i="2"/>
  <c r="H98" i="2"/>
  <c r="DN88" i="2"/>
  <c r="R162" i="2"/>
  <c r="P144" i="2"/>
  <c r="P142" i="2"/>
  <c r="P140" i="2"/>
  <c r="DD129" i="2"/>
  <c r="R136" i="2"/>
  <c r="H134" i="2"/>
  <c r="DN130" i="2"/>
  <c r="BZ130" i="2"/>
  <c r="H128" i="2"/>
  <c r="G127" i="2"/>
  <c r="CJ126" i="2"/>
  <c r="DN121" i="2"/>
  <c r="BZ121" i="2"/>
  <c r="AV118" i="2"/>
  <c r="R117" i="2"/>
  <c r="G116" i="2"/>
  <c r="BP115" i="2"/>
  <c r="AB115" i="2"/>
  <c r="DD114" i="2"/>
  <c r="BP114" i="2"/>
  <c r="AB114" i="2"/>
  <c r="CJ112" i="2"/>
  <c r="R147" i="2"/>
  <c r="M144" i="2"/>
  <c r="M142" i="2"/>
  <c r="M140" i="2"/>
  <c r="H129" i="2"/>
  <c r="DN125" i="2"/>
  <c r="BZ125" i="2"/>
  <c r="DD124" i="2"/>
  <c r="BY120" i="2"/>
  <c r="BZ120" i="2" s="1"/>
  <c r="BP119" i="2"/>
  <c r="AB119" i="2"/>
  <c r="DN117" i="2"/>
  <c r="BZ117" i="2"/>
  <c r="AL113" i="2"/>
  <c r="H113" i="2"/>
  <c r="S112" i="2"/>
  <c r="R165" i="2"/>
  <c r="R161" i="2"/>
  <c r="L142" i="2"/>
  <c r="L140" i="2"/>
  <c r="R133" i="2"/>
  <c r="CT129" i="2"/>
  <c r="DD122" i="2"/>
  <c r="BZ122" i="2"/>
  <c r="CT116" i="2"/>
  <c r="H99" i="2"/>
  <c r="CT96" i="2"/>
  <c r="BF96" i="2"/>
  <c r="DD89" i="2"/>
  <c r="R168" i="2"/>
  <c r="Q161" i="2"/>
  <c r="S166" i="2" s="1"/>
  <c r="S143" i="2"/>
  <c r="S141" i="2"/>
  <c r="DD130" i="2"/>
  <c r="DN126" i="2"/>
  <c r="BZ126" i="2"/>
  <c r="DD121" i="2"/>
  <c r="DC118" i="2"/>
  <c r="DD118" i="2" s="1"/>
  <c r="BY118" i="2"/>
  <c r="BZ118" i="2" s="1"/>
  <c r="AL118" i="2"/>
  <c r="P161" i="2"/>
  <c r="R138" i="2"/>
  <c r="R135" i="2"/>
  <c r="H133" i="2"/>
  <c r="DD125" i="2"/>
  <c r="CT124" i="2"/>
  <c r="BF119" i="2"/>
  <c r="DD117" i="2"/>
  <c r="Q115" i="2"/>
  <c r="H114" i="2"/>
  <c r="BP113" i="2"/>
  <c r="AB113" i="2"/>
  <c r="AV111" i="2"/>
  <c r="DD109" i="2"/>
  <c r="L109" i="2"/>
  <c r="CT108" i="2"/>
  <c r="BO107" i="2"/>
  <c r="BP107" i="2" s="1"/>
  <c r="AK107" i="2"/>
  <c r="AL107" i="2" s="1"/>
  <c r="AV106" i="2"/>
  <c r="H103" i="2"/>
  <c r="DD99" i="2"/>
  <c r="BP99" i="2"/>
  <c r="AL99" i="2"/>
  <c r="DN98" i="2"/>
  <c r="BZ98" i="2"/>
  <c r="AL98" i="2"/>
  <c r="CT89" i="2"/>
  <c r="CJ88" i="2"/>
  <c r="H124" i="2"/>
  <c r="AL115" i="2"/>
  <c r="CT114" i="2"/>
  <c r="P112" i="2"/>
  <c r="AB111" i="2"/>
  <c r="DN109" i="2"/>
  <c r="DD108" i="2"/>
  <c r="BF105" i="2"/>
  <c r="H105" i="2"/>
  <c r="BP103" i="2"/>
  <c r="DN99" i="2"/>
  <c r="CJ98" i="2"/>
  <c r="AL97" i="2"/>
  <c r="H95" i="2"/>
  <c r="BZ88" i="2"/>
  <c r="AB88" i="2"/>
  <c r="BF87" i="2"/>
  <c r="AV86" i="2"/>
  <c r="Q85" i="2"/>
  <c r="Q86" i="2" s="1"/>
  <c r="L79" i="2"/>
  <c r="BO77" i="2"/>
  <c r="BP77" i="2" s="1"/>
  <c r="AK77" i="2"/>
  <c r="AL77" i="2" s="1"/>
  <c r="AM77" i="2" s="1"/>
  <c r="R76" i="2"/>
  <c r="H130" i="2"/>
  <c r="DM118" i="2"/>
  <c r="DN118" i="2" s="1"/>
  <c r="BF118" i="2"/>
  <c r="M112" i="2"/>
  <c r="S111" i="2"/>
  <c r="CT110" i="2"/>
  <c r="AV110" i="2"/>
  <c r="S109" i="2"/>
  <c r="DN107" i="2"/>
  <c r="BZ107" i="2"/>
  <c r="AB101" i="2"/>
  <c r="AB98" i="2"/>
  <c r="CJ97" i="2"/>
  <c r="CJ96" i="2"/>
  <c r="AB96" i="2"/>
  <c r="CT87" i="2"/>
  <c r="CJ86" i="2"/>
  <c r="P85" i="2"/>
  <c r="CT83" i="2"/>
  <c r="R149" i="2"/>
  <c r="CS120" i="2"/>
  <c r="CT120" i="2" s="1"/>
  <c r="L112" i="2"/>
  <c r="P111" i="2"/>
  <c r="R106" i="2"/>
  <c r="AV105" i="2"/>
  <c r="BF103" i="2"/>
  <c r="AB97" i="2"/>
  <c r="R164" i="2"/>
  <c r="CJ116" i="2"/>
  <c r="R115" i="2"/>
  <c r="CT112" i="2"/>
  <c r="AL110" i="2"/>
  <c r="P109" i="2"/>
  <c r="R88" i="2"/>
  <c r="AV87" i="2"/>
  <c r="H87" i="2"/>
  <c r="BZ86" i="2"/>
  <c r="AL86" i="2"/>
  <c r="P115" i="2"/>
  <c r="M111" i="2"/>
  <c r="CJ110" i="2"/>
  <c r="M109" i="2"/>
  <c r="DD107" i="2"/>
  <c r="AL105" i="2"/>
  <c r="AV103" i="2"/>
  <c r="DN97" i="2"/>
  <c r="BZ97" i="2"/>
  <c r="H97" i="2"/>
  <c r="DN89" i="2"/>
  <c r="H89" i="2"/>
  <c r="BF88" i="2"/>
  <c r="CJ87" i="2"/>
  <c r="DN86" i="2"/>
  <c r="CJ83" i="2"/>
  <c r="S82" i="2"/>
  <c r="R118" i="2"/>
  <c r="BZ114" i="2"/>
  <c r="BF111" i="2"/>
  <c r="AB110" i="2"/>
  <c r="CT109" i="2"/>
  <c r="CJ108" i="2"/>
  <c r="R107" i="2"/>
  <c r="H106" i="2"/>
  <c r="BP101" i="2"/>
  <c r="CT99" i="2"/>
  <c r="BP98" i="2"/>
  <c r="BP96" i="2"/>
  <c r="AL87" i="2"/>
  <c r="AL85" i="2"/>
  <c r="DD84" i="2"/>
  <c r="P83" i="2"/>
  <c r="S110" i="2"/>
  <c r="BF106" i="2"/>
  <c r="AB105" i="2"/>
  <c r="AL103" i="2"/>
  <c r="AV99" i="2"/>
  <c r="BP97" i="2"/>
  <c r="H96" i="2"/>
  <c r="BZ87" i="2"/>
  <c r="BP86" i="2"/>
  <c r="AB86" i="2"/>
  <c r="DO83" i="2"/>
  <c r="P82" i="2"/>
  <c r="S81" i="2"/>
  <c r="R146" i="2"/>
  <c r="DN114" i="2"/>
  <c r="DN110" i="2"/>
  <c r="BZ110" i="2"/>
  <c r="CT107" i="2"/>
  <c r="BF101" i="2"/>
  <c r="DD98" i="2"/>
  <c r="DD97" i="2"/>
  <c r="CI118" i="2"/>
  <c r="CJ118" i="2" s="1"/>
  <c r="BF114" i="2"/>
  <c r="BZ112" i="2"/>
  <c r="P110" i="2"/>
  <c r="R104" i="2"/>
  <c r="AB103" i="2"/>
  <c r="S102" i="2"/>
  <c r="BF97" i="2"/>
  <c r="DD96" i="2"/>
  <c r="CJ89" i="2"/>
  <c r="DN87" i="2"/>
  <c r="AB87" i="2"/>
  <c r="BP85" i="2"/>
  <c r="AB85" i="2"/>
  <c r="M82" i="2"/>
  <c r="P81" i="2"/>
  <c r="BO80" i="2"/>
  <c r="BP80" i="2" s="1"/>
  <c r="AA80" i="2"/>
  <c r="AB80" i="2" s="1"/>
  <c r="AC80" i="2" s="1"/>
  <c r="AU77" i="2"/>
  <c r="AV77" i="2" s="1"/>
  <c r="AW77" i="2" s="1"/>
  <c r="AL76" i="2"/>
  <c r="AL75" i="2"/>
  <c r="DD74" i="2"/>
  <c r="AV73" i="2"/>
  <c r="BQ69" i="2"/>
  <c r="CJ68" i="2"/>
  <c r="AL68" i="2"/>
  <c r="CT67" i="2"/>
  <c r="DD66" i="2"/>
  <c r="CT65" i="2"/>
  <c r="BF65" i="2"/>
  <c r="BQ64" i="2"/>
  <c r="BF62" i="2"/>
  <c r="G6" i="2"/>
  <c r="G2" i="2"/>
  <c r="P143" i="2"/>
  <c r="BP110" i="2"/>
  <c r="M110" i="2"/>
  <c r="AU107" i="2"/>
  <c r="AV107" i="2" s="1"/>
  <c r="H107" i="2"/>
  <c r="R105" i="2"/>
  <c r="R102" i="2"/>
  <c r="AV101" i="2"/>
  <c r="AV98" i="2"/>
  <c r="AV96" i="2"/>
  <c r="CT88" i="2"/>
  <c r="AL88" i="2"/>
  <c r="BP87" i="2"/>
  <c r="BF86" i="2"/>
  <c r="R86" i="2"/>
  <c r="CJ84" i="2"/>
  <c r="I83" i="2"/>
  <c r="A78" i="2" s="1" a="1"/>
  <c r="A78" i="2" s="1"/>
  <c r="L82" i="2"/>
  <c r="P141" i="2"/>
  <c r="CJ129" i="2"/>
  <c r="DD116" i="2"/>
  <c r="BF115" i="2"/>
  <c r="AL114" i="2"/>
  <c r="DN112" i="2"/>
  <c r="DD110" i="2"/>
  <c r="BZ109" i="2"/>
  <c r="CJ107" i="2"/>
  <c r="AL106" i="2"/>
  <c r="BP105" i="2"/>
  <c r="G100" i="2"/>
  <c r="BZ99" i="2"/>
  <c r="CT97" i="2"/>
  <c r="AV97" i="2"/>
  <c r="BZ89" i="2"/>
  <c r="CT86" i="2"/>
  <c r="DD83" i="2"/>
  <c r="BF110" i="2"/>
  <c r="AL101" i="2"/>
  <c r="DD87" i="2"/>
  <c r="R87" i="2"/>
  <c r="BF85" i="2"/>
  <c r="R85" i="2"/>
  <c r="BZ84" i="2"/>
  <c r="DO82" i="2"/>
  <c r="L81" i="2"/>
  <c r="BE80" i="2"/>
  <c r="BF80" i="2" s="1"/>
  <c r="BG80" i="2" s="1"/>
  <c r="P80" i="2"/>
  <c r="M79" i="2"/>
  <c r="DN71" i="2"/>
  <c r="CJ71" i="2"/>
  <c r="AV71" i="2"/>
  <c r="DN69" i="2"/>
  <c r="BF69" i="2"/>
  <c r="DN68" i="2"/>
  <c r="BZ68" i="2"/>
  <c r="CJ67" i="2"/>
  <c r="AL67" i="2"/>
  <c r="CT66" i="2"/>
  <c r="CJ65" i="2"/>
  <c r="AV65" i="2"/>
  <c r="BF64" i="2"/>
  <c r="DD63" i="2"/>
  <c r="AV63" i="2"/>
  <c r="G5" i="2"/>
  <c r="AB62" i="2"/>
  <c r="AL63" i="2"/>
  <c r="BP64" i="2"/>
  <c r="BN120" i="2"/>
  <c r="BN117" i="2"/>
  <c r="BN118" i="2"/>
  <c r="BN112" i="2"/>
  <c r="BQ104" i="2"/>
  <c r="BQ101" i="2"/>
  <c r="BQ116" i="2"/>
  <c r="BN111" i="2"/>
  <c r="BN101" i="2"/>
  <c r="BQ100" i="2"/>
  <c r="BQ96" i="2"/>
  <c r="BQ119" i="2"/>
  <c r="BN116" i="2"/>
  <c r="BN115" i="2"/>
  <c r="BN114" i="2"/>
  <c r="BN119" i="2"/>
  <c r="BQ110" i="2"/>
  <c r="BQ107" i="2"/>
  <c r="BN102" i="2"/>
  <c r="BQ97" i="2"/>
  <c r="BQ120" i="2"/>
  <c r="BQ117" i="2"/>
  <c r="BN110" i="2"/>
  <c r="BQ118" i="2"/>
  <c r="BQ113" i="2"/>
  <c r="BQ109" i="2"/>
  <c r="BQ99" i="2"/>
  <c r="BQ95" i="2"/>
  <c r="BQ84" i="2"/>
  <c r="BN113" i="2"/>
  <c r="BN104" i="2"/>
  <c r="BN103" i="2"/>
  <c r="BN100" i="2"/>
  <c r="BQ88" i="2"/>
  <c r="BQ111" i="2"/>
  <c r="BN109" i="2"/>
  <c r="BQ102" i="2"/>
  <c r="BN99" i="2"/>
  <c r="BQ106" i="2"/>
  <c r="BQ90" i="2"/>
  <c r="BN107" i="2"/>
  <c r="BN106" i="2"/>
  <c r="BQ98" i="2"/>
  <c r="BQ86" i="2"/>
  <c r="BQ91" i="2"/>
  <c r="BQ80" i="2"/>
  <c r="BQ114" i="2"/>
  <c r="BQ87" i="2"/>
  <c r="BQ115" i="2"/>
  <c r="BQ108" i="2"/>
  <c r="BQ105" i="2"/>
  <c r="BQ112" i="2"/>
  <c r="BN108" i="2"/>
  <c r="BN105" i="2"/>
  <c r="BQ103" i="2"/>
  <c r="BQ89" i="2"/>
  <c r="DE65" i="2"/>
  <c r="CJ66" i="2"/>
  <c r="CK67" i="2"/>
  <c r="CU69" i="2"/>
  <c r="CK70" i="2"/>
  <c r="CK71" i="2"/>
  <c r="CU72" i="2"/>
  <c r="BF73" i="2"/>
  <c r="CU73" i="2"/>
  <c r="CI76" i="2"/>
  <c r="CJ76" i="2" s="1"/>
  <c r="AA77" i="2"/>
  <c r="AB77" i="2" s="1"/>
  <c r="AC77" i="2" s="1"/>
  <c r="BQ77" i="2"/>
  <c r="AA78" i="2"/>
  <c r="AB78" i="2" s="1"/>
  <c r="AC78" i="2" s="1"/>
  <c r="BQ79" i="2"/>
  <c r="DO81" i="2"/>
  <c r="AK96" i="2"/>
  <c r="P90" i="2"/>
  <c r="Q120" i="2"/>
  <c r="CK66" i="2"/>
  <c r="CM102" i="2"/>
  <c r="CS76" i="2"/>
  <c r="CT76" i="2" s="1"/>
  <c r="CK76" i="2"/>
  <c r="AM84" i="2"/>
  <c r="BP88" i="2"/>
  <c r="R90" i="2"/>
  <c r="Q96" i="2"/>
  <c r="AU96" i="2"/>
  <c r="Q118" i="2"/>
  <c r="L25" i="2"/>
  <c r="U23" i="2" s="1"/>
  <c r="AL62" i="2"/>
  <c r="DN63" i="2"/>
  <c r="AC120" i="2"/>
  <c r="Z118" i="2"/>
  <c r="AC117" i="2"/>
  <c r="AC101" i="2"/>
  <c r="AC95" i="2"/>
  <c r="Z120" i="2"/>
  <c r="Z117" i="2"/>
  <c r="Z109" i="2"/>
  <c r="Z102" i="2"/>
  <c r="Z101" i="2"/>
  <c r="Z99" i="2"/>
  <c r="AC96" i="2"/>
  <c r="AC119" i="2"/>
  <c r="Z112" i="2"/>
  <c r="Z115" i="2"/>
  <c r="Z114" i="2"/>
  <c r="Z119" i="2"/>
  <c r="AC116" i="2"/>
  <c r="Z111" i="2"/>
  <c r="AC110" i="2"/>
  <c r="AC97" i="2"/>
  <c r="Z110" i="2"/>
  <c r="AC108" i="2"/>
  <c r="AC104" i="2"/>
  <c r="Z106" i="2"/>
  <c r="AC98" i="2"/>
  <c r="AC115" i="2"/>
  <c r="AC107" i="2"/>
  <c r="AC118" i="2"/>
  <c r="Z107" i="2"/>
  <c r="AC113" i="2"/>
  <c r="AC84" i="2"/>
  <c r="Z113" i="2"/>
  <c r="AC105" i="2"/>
  <c r="AC91" i="2"/>
  <c r="AC86" i="2"/>
  <c r="Z104" i="2"/>
  <c r="AC100" i="2"/>
  <c r="Z116" i="2"/>
  <c r="Z105" i="2"/>
  <c r="AC103" i="2"/>
  <c r="AC102" i="2"/>
  <c r="Z100" i="2"/>
  <c r="AC90" i="2"/>
  <c r="AC112" i="2"/>
  <c r="Z103" i="2"/>
  <c r="Z108" i="2"/>
  <c r="AC114" i="2"/>
  <c r="AC111" i="2"/>
  <c r="AC109" i="2"/>
  <c r="AC106" i="2"/>
  <c r="AC99" i="2"/>
  <c r="AC88" i="2"/>
  <c r="AC66" i="2"/>
  <c r="BQ65" i="2"/>
  <c r="DN65" i="2"/>
  <c r="AV67" i="2"/>
  <c r="CU67" i="2"/>
  <c r="AV68" i="2"/>
  <c r="CU68" i="2"/>
  <c r="AO91" i="2"/>
  <c r="AU79" i="2"/>
  <c r="AV79" i="2" s="1"/>
  <c r="AW79" i="2" s="1"/>
  <c r="DE69" i="2"/>
  <c r="DC75" i="2"/>
  <c r="DD75" i="2" s="1"/>
  <c r="BF71" i="2"/>
  <c r="DE72" i="2"/>
  <c r="BP73" i="2"/>
  <c r="DD73" i="2"/>
  <c r="BQ75" i="2"/>
  <c r="AB76" i="2"/>
  <c r="CA77" i="2"/>
  <c r="BS60" i="2" s="1"/>
  <c r="S79" i="2"/>
  <c r="BZ83" i="2"/>
  <c r="AW84" i="2"/>
  <c r="DD88" i="2"/>
  <c r="AM89" i="2"/>
  <c r="BE98" i="2"/>
  <c r="BE96" i="2"/>
  <c r="BE97" i="2"/>
  <c r="DC77" i="2"/>
  <c r="CW102" i="2"/>
  <c r="DE70" i="2"/>
  <c r="DE73" i="2"/>
  <c r="BO96" i="2"/>
  <c r="DE75" i="2"/>
  <c r="DC76" i="2"/>
  <c r="DD76" i="2" s="1"/>
  <c r="CK77" i="2"/>
  <c r="AJ120" i="2"/>
  <c r="AJ117" i="2"/>
  <c r="AM115" i="2"/>
  <c r="AM114" i="2"/>
  <c r="AJ112" i="2"/>
  <c r="AJ106" i="2"/>
  <c r="AM105" i="2"/>
  <c r="AM103" i="2"/>
  <c r="AJ102" i="2"/>
  <c r="AM119" i="2"/>
  <c r="AM116" i="2"/>
  <c r="AJ115" i="2"/>
  <c r="AJ114" i="2"/>
  <c r="AJ111" i="2"/>
  <c r="AJ105" i="2"/>
  <c r="AJ103" i="2"/>
  <c r="AM113" i="2"/>
  <c r="AJ116" i="2"/>
  <c r="AM118" i="2"/>
  <c r="AJ113" i="2"/>
  <c r="AM107" i="2"/>
  <c r="AM104" i="2"/>
  <c r="AM120" i="2"/>
  <c r="AM117" i="2"/>
  <c r="AJ118" i="2"/>
  <c r="AM100" i="2"/>
  <c r="AM88" i="2"/>
  <c r="AM87" i="2"/>
  <c r="AJ107" i="2"/>
  <c r="AJ101" i="2"/>
  <c r="AM110" i="2"/>
  <c r="AM90" i="2"/>
  <c r="AJ110" i="2"/>
  <c r="AM95" i="2"/>
  <c r="AM85" i="2"/>
  <c r="AM108" i="2"/>
  <c r="AJ104" i="2"/>
  <c r="AJ100" i="2"/>
  <c r="AM112" i="2"/>
  <c r="AM102" i="2"/>
  <c r="AJ108" i="2"/>
  <c r="AM109" i="2"/>
  <c r="AM99" i="2"/>
  <c r="AJ119" i="2"/>
  <c r="AM111" i="2"/>
  <c r="AM106" i="2"/>
  <c r="AJ109" i="2"/>
  <c r="AM101" i="2"/>
  <c r="AJ99" i="2"/>
  <c r="AM98" i="2"/>
  <c r="AM97" i="2"/>
  <c r="AM96" i="2"/>
  <c r="AM66" i="2"/>
  <c r="BI91" i="2"/>
  <c r="BO79" i="2"/>
  <c r="BP79" i="2" s="1"/>
  <c r="AW66" i="2"/>
  <c r="DG102" i="2"/>
  <c r="DM76" i="2"/>
  <c r="DN76" i="2" s="1"/>
  <c r="BP69" i="2"/>
  <c r="CJ74" i="2"/>
  <c r="AB75" i="2"/>
  <c r="DE76" i="2"/>
  <c r="CT77" i="2"/>
  <c r="BE78" i="2"/>
  <c r="BF78" i="2" s="1"/>
  <c r="BG78" i="2" s="1"/>
  <c r="M81" i="2"/>
  <c r="CC80" i="2"/>
  <c r="BQ85" i="2"/>
  <c r="CK65" i="2"/>
  <c r="CU77" i="2"/>
  <c r="AK80" i="2"/>
  <c r="AL80" i="2" s="1"/>
  <c r="AM80" i="2" s="1"/>
  <c r="AW119" i="2"/>
  <c r="AW116" i="2"/>
  <c r="AT115" i="2"/>
  <c r="AT114" i="2"/>
  <c r="AT119" i="2"/>
  <c r="AW110" i="2"/>
  <c r="AW108" i="2"/>
  <c r="AW97" i="2"/>
  <c r="AT110" i="2"/>
  <c r="AW107" i="2"/>
  <c r="AW120" i="2"/>
  <c r="AT118" i="2"/>
  <c r="AW112" i="2"/>
  <c r="AT120" i="2"/>
  <c r="AT117" i="2"/>
  <c r="AT109" i="2"/>
  <c r="AW101" i="2"/>
  <c r="AW100" i="2"/>
  <c r="AT99" i="2"/>
  <c r="AT112" i="2"/>
  <c r="AT101" i="2"/>
  <c r="AW96" i="2"/>
  <c r="AW95" i="2"/>
  <c r="AW91" i="2"/>
  <c r="AW105" i="2"/>
  <c r="AW85" i="2"/>
  <c r="AW118" i="2"/>
  <c r="AT116" i="2"/>
  <c r="AW113" i="2"/>
  <c r="AT113" i="2"/>
  <c r="AT105" i="2"/>
  <c r="AW104" i="2"/>
  <c r="AW103" i="2"/>
  <c r="AT108" i="2"/>
  <c r="AT104" i="2"/>
  <c r="AW102" i="2"/>
  <c r="AT100" i="2"/>
  <c r="AW109" i="2"/>
  <c r="AT103" i="2"/>
  <c r="AT102" i="2"/>
  <c r="AW99" i="2"/>
  <c r="AW111" i="2"/>
  <c r="AW88" i="2"/>
  <c r="AW106" i="2"/>
  <c r="AT111" i="2"/>
  <c r="AT106" i="2"/>
  <c r="AW98" i="2"/>
  <c r="AW117" i="2"/>
  <c r="AW114" i="2"/>
  <c r="AW89" i="2"/>
  <c r="AT107" i="2"/>
  <c r="AW115" i="2"/>
  <c r="AW90" i="2"/>
  <c r="AW86" i="2"/>
  <c r="BY76" i="2"/>
  <c r="BZ76" i="2" s="1"/>
  <c r="BS102" i="2"/>
  <c r="DE71" i="2"/>
  <c r="DE77" i="2"/>
  <c r="BO78" i="2"/>
  <c r="BP78" i="2" s="1"/>
  <c r="AM91" i="2"/>
  <c r="DO64" i="2"/>
  <c r="BG113" i="2"/>
  <c r="BG120" i="2"/>
  <c r="BG117" i="2"/>
  <c r="BG118" i="2"/>
  <c r="BD113" i="2"/>
  <c r="BD120" i="2"/>
  <c r="BD118" i="2"/>
  <c r="BD117" i="2"/>
  <c r="BD109" i="2"/>
  <c r="BG104" i="2"/>
  <c r="BD99" i="2"/>
  <c r="BG88" i="2"/>
  <c r="BD112" i="2"/>
  <c r="BG116" i="2"/>
  <c r="BG115" i="2"/>
  <c r="BG114" i="2"/>
  <c r="BD111" i="2"/>
  <c r="BD106" i="2"/>
  <c r="BG105" i="2"/>
  <c r="BG103" i="2"/>
  <c r="BG95" i="2"/>
  <c r="BG119" i="2"/>
  <c r="BD115" i="2"/>
  <c r="BD114" i="2"/>
  <c r="BG108" i="2"/>
  <c r="BD105" i="2"/>
  <c r="BD103" i="2"/>
  <c r="BD102" i="2"/>
  <c r="BD110" i="2"/>
  <c r="BG112" i="2"/>
  <c r="BG84" i="2"/>
  <c r="BD108" i="2"/>
  <c r="BD104" i="2"/>
  <c r="BG100" i="2"/>
  <c r="BG109" i="2"/>
  <c r="BG102" i="2"/>
  <c r="BD100" i="2"/>
  <c r="BG99" i="2"/>
  <c r="BG111" i="2"/>
  <c r="BG89" i="2"/>
  <c r="BG107" i="2"/>
  <c r="BG106" i="2"/>
  <c r="BG101" i="2"/>
  <c r="BG98" i="2"/>
  <c r="BD107" i="2"/>
  <c r="BG97" i="2"/>
  <c r="BG96" i="2"/>
  <c r="BD119" i="2"/>
  <c r="BD101" i="2"/>
  <c r="BG86" i="2"/>
  <c r="BG66" i="2"/>
  <c r="BG91" i="2"/>
  <c r="BG110" i="2"/>
  <c r="BG85" i="2"/>
  <c r="BD116" i="2"/>
  <c r="BG87" i="2"/>
  <c r="CK69" i="2"/>
  <c r="CK72" i="2"/>
  <c r="AU80" i="2"/>
  <c r="AV80" i="2" s="1"/>
  <c r="AW80" i="2" s="1"/>
  <c r="M83" i="2"/>
  <c r="DE87" i="2"/>
  <c r="DE88" i="2" s="1"/>
  <c r="DE89" i="2" s="1"/>
  <c r="DE90" i="2" s="1"/>
  <c r="AV88" i="2"/>
  <c r="BS94" i="2"/>
  <c r="AK98" i="2"/>
  <c r="BY119" i="2"/>
  <c r="BZ119" i="2" s="1"/>
  <c r="CI119" i="2"/>
  <c r="CJ119" i="2" s="1"/>
  <c r="CI120" i="2"/>
  <c r="CJ120" i="2" s="1"/>
  <c r="CA87" i="2"/>
  <c r="CA88" i="2" s="1"/>
  <c r="CA89" i="2" s="1"/>
  <c r="CA90" i="2" s="1"/>
  <c r="AA98" i="2"/>
  <c r="AA97" i="2"/>
  <c r="CS119" i="2"/>
  <c r="CT119" i="2" s="1"/>
  <c r="Q92" i="2"/>
  <c r="AU97" i="2"/>
  <c r="AU98" i="2"/>
  <c r="DC119" i="2"/>
  <c r="DD119" i="2" s="1"/>
  <c r="DC120" i="2"/>
  <c r="DD120" i="2" s="1"/>
  <c r="BO98" i="2"/>
  <c r="BO97" i="2"/>
  <c r="AK97" i="2"/>
  <c r="CM105" i="2"/>
  <c r="Q153" i="2"/>
  <c r="BQ74" i="1"/>
  <c r="AJ80" i="1"/>
  <c r="AM80" i="1"/>
  <c r="AM81" i="1"/>
  <c r="AJ81" i="1"/>
  <c r="CH82" i="1"/>
  <c r="CK82" i="1"/>
  <c r="CC68" i="1"/>
  <c r="J87" i="3" a="1"/>
  <c r="I9" i="2" a="1"/>
  <c r="N33" i="4" l="1"/>
  <c r="N46" i="3"/>
  <c r="AH53" i="3" a="1"/>
  <c r="AH53" i="3" s="1"/>
  <c r="AL117" i="3"/>
  <c r="AL123" i="3" s="1"/>
  <c r="B11" i="3"/>
  <c r="P149" i="2"/>
  <c r="P118" i="2"/>
  <c r="P120" i="2"/>
  <c r="BZ77" i="2"/>
  <c r="DN77" i="2"/>
  <c r="P89" i="2"/>
  <c r="P150" i="2"/>
  <c r="P154" i="2" s="1"/>
  <c r="P119" i="2"/>
  <c r="B9" i="3"/>
  <c r="B13" i="3" s="1"/>
  <c r="AF74" i="3"/>
  <c r="B10" i="3"/>
  <c r="H131" i="2"/>
  <c r="X30" i="5"/>
  <c r="D30" i="5"/>
  <c r="C9" i="3"/>
  <c r="AM81" i="3"/>
  <c r="AM84" i="3" s="1"/>
  <c r="A14" i="3"/>
  <c r="H135" i="2"/>
  <c r="I135" i="2" s="1"/>
  <c r="AM78" i="3"/>
  <c r="Q116" i="2"/>
  <c r="Q169" i="2"/>
  <c r="Q170" i="2"/>
  <c r="Q87" i="2"/>
  <c r="K69" i="2" a="1"/>
  <c r="K69" i="2" s="1"/>
  <c r="N30" i="5"/>
  <c r="AH30" i="5"/>
  <c r="H127" i="2"/>
  <c r="I127" i="2" s="1"/>
  <c r="AM83" i="3"/>
  <c r="AY60" i="2" a="1"/>
  <c r="AY60" i="2" s="1"/>
  <c r="P152" i="2"/>
  <c r="AF73" i="3"/>
  <c r="AE60" i="2" a="1"/>
  <c r="AE60" i="2" s="1"/>
  <c r="CM60" i="2"/>
  <c r="U60" i="2" a="1"/>
  <c r="U60" i="2" s="1"/>
  <c r="BI60" i="2" a="1"/>
  <c r="BI60" i="2" s="1"/>
  <c r="K99" i="2" a="1"/>
  <c r="K99" i="2" s="1"/>
  <c r="Q148" i="2"/>
  <c r="CW60" i="2"/>
  <c r="DG80" i="2"/>
  <c r="CC60" i="2"/>
  <c r="I69" i="3"/>
  <c r="AR46" i="3" a="1"/>
  <c r="AR46" i="3" s="1"/>
  <c r="AR30" i="5"/>
  <c r="O81" i="3"/>
  <c r="R82" i="3" s="1"/>
  <c r="AN115" i="3"/>
  <c r="AI129" i="3"/>
  <c r="AL130" i="3" s="1"/>
  <c r="AC48" i="4"/>
  <c r="AW48" i="4"/>
  <c r="S48" i="4"/>
  <c r="AM48" i="4"/>
  <c r="I48" i="4"/>
  <c r="AM49" i="4"/>
  <c r="I49" i="4"/>
  <c r="AC49" i="4"/>
  <c r="AW49" i="4"/>
  <c r="S49" i="4"/>
  <c r="AW47" i="4"/>
  <c r="S47" i="4"/>
  <c r="AM47" i="4"/>
  <c r="I47" i="4"/>
  <c r="AC47" i="4"/>
  <c r="AN116" i="3"/>
  <c r="O84" i="3"/>
  <c r="U81" i="3" s="1"/>
  <c r="AL132" i="3"/>
  <c r="AO132" i="3" s="1"/>
  <c r="AM118" i="3" s="1"/>
  <c r="AM126" i="3" s="1" a="1"/>
  <c r="AM126" i="3" s="1"/>
  <c r="AI132" i="3"/>
  <c r="AO129" i="3" s="1"/>
  <c r="O82" i="2"/>
  <c r="O113" i="2"/>
  <c r="J87" i="3"/>
  <c r="AL121" i="3"/>
  <c r="AL124" i="3"/>
  <c r="AX65" i="3"/>
  <c r="AN61" i="3"/>
  <c r="BT62" i="3"/>
  <c r="BT59" i="3"/>
  <c r="BT42" i="3"/>
  <c r="BT47" i="3"/>
  <c r="BT44" i="3"/>
  <c r="BT43" i="3"/>
  <c r="BJ37" i="3"/>
  <c r="BT61" i="3"/>
  <c r="BT46" i="3"/>
  <c r="BT45" i="3"/>
  <c r="BJ38" i="3"/>
  <c r="BT63" i="3"/>
  <c r="BJ39" i="3"/>
  <c r="BT60" i="3"/>
  <c r="BT41" i="3"/>
  <c r="BJ36" i="3"/>
  <c r="AM47" i="3"/>
  <c r="AO47" i="3" s="1"/>
  <c r="AP47" i="3" s="1"/>
  <c r="J71" i="3"/>
  <c r="J69" i="3"/>
  <c r="K69" i="3" s="1"/>
  <c r="L69" i="3" s="1"/>
  <c r="J70" i="3"/>
  <c r="AO90" i="3"/>
  <c r="AL90" i="3"/>
  <c r="L67" i="3"/>
  <c r="L62" i="3"/>
  <c r="L59" i="3"/>
  <c r="L64" i="3"/>
  <c r="L66" i="3"/>
  <c r="L61" i="3"/>
  <c r="L58" i="3"/>
  <c r="L63" i="3"/>
  <c r="L65" i="3"/>
  <c r="L60" i="3"/>
  <c r="AO97" i="3"/>
  <c r="AL97" i="3"/>
  <c r="L83" i="3"/>
  <c r="AX97" i="3"/>
  <c r="AY97" i="3" s="1"/>
  <c r="BL66" i="3"/>
  <c r="AX90" i="3"/>
  <c r="AX92" i="3"/>
  <c r="AY92" i="3" s="1"/>
  <c r="AL126" i="3"/>
  <c r="AL125" i="3"/>
  <c r="L110" i="2"/>
  <c r="O111" i="2" s="1"/>
  <c r="AN74" i="3"/>
  <c r="AI98" i="3" s="1"/>
  <c r="AI93" i="3" s="1"/>
  <c r="AN79" i="3"/>
  <c r="AX64" i="3"/>
  <c r="AL100" i="3"/>
  <c r="AR59" i="3"/>
  <c r="AV73" i="3"/>
  <c r="AZ100" i="3" s="1"/>
  <c r="AX108" i="3" s="1"/>
  <c r="AN103" i="3"/>
  <c r="AK114" i="3"/>
  <c r="AL122" i="3"/>
  <c r="U75" i="3"/>
  <c r="R75" i="3"/>
  <c r="U74" i="3"/>
  <c r="R74" i="3"/>
  <c r="R84" i="3"/>
  <c r="R78" i="3"/>
  <c r="D97" i="3"/>
  <c r="E97" i="3" s="1"/>
  <c r="D98" i="3"/>
  <c r="E98" i="3" s="1"/>
  <c r="G33" i="3"/>
  <c r="AM69" i="3"/>
  <c r="AM85" i="3"/>
  <c r="J110" i="3"/>
  <c r="K110" i="3" s="1"/>
  <c r="J108" i="3"/>
  <c r="AN109" i="3"/>
  <c r="AI130" i="3" s="1"/>
  <c r="BY18" i="3"/>
  <c r="BX17" i="3"/>
  <c r="T53" i="3"/>
  <c r="O143" i="2"/>
  <c r="I9" i="2"/>
  <c r="AO60" i="2" a="1"/>
  <c r="AO60" i="2" s="1"/>
  <c r="BO108" i="2"/>
  <c r="BP108" i="2" s="1"/>
  <c r="BO109" i="2"/>
  <c r="BP109" i="2" s="1"/>
  <c r="AY94" i="2"/>
  <c r="AE83" i="2"/>
  <c r="P155" i="2"/>
  <c r="P156" i="2"/>
  <c r="P157" i="2"/>
  <c r="R157" i="2" s="1"/>
  <c r="P147" i="2"/>
  <c r="AU108" i="2"/>
  <c r="AV108" i="2" s="1"/>
  <c r="AU109" i="2"/>
  <c r="AV109" i="2" s="1"/>
  <c r="AY83" i="2"/>
  <c r="CW100" i="2"/>
  <c r="DD77" i="2"/>
  <c r="BD90" i="2"/>
  <c r="AJ90" i="2"/>
  <c r="BN90" i="2"/>
  <c r="AT90" i="2"/>
  <c r="Z90" i="2"/>
  <c r="BN89" i="2"/>
  <c r="DL101" i="2"/>
  <c r="CR101" i="2"/>
  <c r="BX101" i="2"/>
  <c r="DB100" i="2"/>
  <c r="CH100" i="2"/>
  <c r="AJ89" i="2"/>
  <c r="BD89" i="2"/>
  <c r="DB101" i="2"/>
  <c r="CH101" i="2"/>
  <c r="Z89" i="2"/>
  <c r="DL100" i="2"/>
  <c r="CR100" i="2"/>
  <c r="BX100" i="2"/>
  <c r="AT89" i="2"/>
  <c r="AA23" i="2"/>
  <c r="R21" i="2" s="1"/>
  <c r="O110" i="2"/>
  <c r="R110" i="2"/>
  <c r="R140" i="2"/>
  <c r="O140" i="2"/>
  <c r="AK108" i="2"/>
  <c r="AL108" i="2" s="1"/>
  <c r="AK109" i="2"/>
  <c r="AL109" i="2" s="1"/>
  <c r="U83" i="2" a="1"/>
  <c r="U83" i="2" s="1"/>
  <c r="BI83" i="2"/>
  <c r="AE94" i="2"/>
  <c r="BE108" i="2"/>
  <c r="BF108" i="2" s="1"/>
  <c r="BE109" i="2"/>
  <c r="BF109" i="2" s="1"/>
  <c r="BI94" i="2"/>
  <c r="R79" i="2"/>
  <c r="O79" i="2"/>
  <c r="BS80" i="2"/>
  <c r="AA109" i="2"/>
  <c r="AB109" i="2" s="1"/>
  <c r="AA108" i="2"/>
  <c r="AB108" i="2" s="1"/>
  <c r="AO94" i="2"/>
  <c r="Q122" i="2"/>
  <c r="Q126" i="2"/>
  <c r="R120" i="2"/>
  <c r="CW80" i="2"/>
  <c r="U94" i="2"/>
  <c r="P96" i="2"/>
  <c r="R96" i="2" s="1"/>
  <c r="P86" i="2"/>
  <c r="I116" i="2"/>
  <c r="H117" i="2"/>
  <c r="I117" i="2" s="1"/>
  <c r="AO83" i="2"/>
  <c r="CC100" i="2"/>
  <c r="CJ77" i="2"/>
  <c r="P87" i="2"/>
  <c r="P91" i="2" s="1"/>
  <c r="I131" i="2"/>
  <c r="O112" i="2"/>
  <c r="O144" i="2"/>
  <c r="H101" i="2"/>
  <c r="I101" i="2" s="1"/>
  <c r="I100" i="2"/>
  <c r="O80" i="2"/>
  <c r="R80" i="2"/>
  <c r="P126" i="2"/>
  <c r="P116" i="2"/>
  <c r="P117" i="2"/>
  <c r="P121" i="2" s="1"/>
  <c r="K129" i="2" a="1"/>
  <c r="K129" i="2" s="1"/>
  <c r="O83" i="2"/>
  <c r="DO77" i="2"/>
  <c r="DO75" i="2"/>
  <c r="DO67" i="2"/>
  <c r="DO66" i="2"/>
  <c r="DO76" i="2"/>
  <c r="DO68" i="2"/>
  <c r="DO73" i="2"/>
  <c r="DO70" i="2"/>
  <c r="DO72" i="2"/>
  <c r="DO69" i="2"/>
  <c r="DO65" i="2"/>
  <c r="DO74" i="2"/>
  <c r="DO71" i="2"/>
  <c r="Q117" i="2"/>
  <c r="Q121" i="2" s="1"/>
  <c r="I108" i="2"/>
  <c r="H109" i="2"/>
  <c r="I109" i="2" s="1"/>
  <c r="O141" i="2"/>
  <c r="R141" i="2"/>
  <c r="AK113" i="1"/>
  <c r="AL116" i="1"/>
  <c r="P122" i="2" l="1"/>
  <c r="B14" i="3"/>
  <c r="P92" i="2"/>
  <c r="R92" i="2" s="1"/>
  <c r="P153" i="2"/>
  <c r="R153" i="2" s="1"/>
  <c r="B15" i="3"/>
  <c r="X67" i="3" a="1"/>
  <c r="X67" i="3" s="1"/>
  <c r="X30" i="3" s="1" a="1"/>
  <c r="X30" i="3" s="1"/>
  <c r="CM56" i="2"/>
  <c r="A27" i="5"/>
  <c r="BI154" i="1" s="1"/>
  <c r="A119" i="2" a="1"/>
  <c r="A119" i="2" s="1"/>
  <c r="CW56" i="2"/>
  <c r="CC56" i="2"/>
  <c r="C15" i="3"/>
  <c r="C14" i="3"/>
  <c r="C13" i="3"/>
  <c r="BS56" i="2"/>
  <c r="Q152" i="2"/>
  <c r="R152" i="2" s="1"/>
  <c r="Q154" i="2"/>
  <c r="R154" i="2" s="1"/>
  <c r="Q93" i="2"/>
  <c r="Q91" i="2"/>
  <c r="R91" i="2" s="1"/>
  <c r="R169" i="2"/>
  <c r="S169" i="2"/>
  <c r="R170" i="2"/>
  <c r="S170" i="2"/>
  <c r="U56" i="2"/>
  <c r="BI56" i="2"/>
  <c r="P93" i="2"/>
  <c r="AH30" i="4"/>
  <c r="AO56" i="2"/>
  <c r="AR30" i="4"/>
  <c r="X30" i="4"/>
  <c r="N30" i="4"/>
  <c r="AE56" i="2"/>
  <c r="U80" i="3"/>
  <c r="R121" i="2"/>
  <c r="AY56" i="2"/>
  <c r="R122" i="2"/>
  <c r="DG60" i="2"/>
  <c r="DG56" i="2" s="1"/>
  <c r="Q123" i="2"/>
  <c r="Q125" i="2" s="1"/>
  <c r="AO131" i="3"/>
  <c r="BB35" i="3" a="1"/>
  <c r="BB35" i="3" s="1"/>
  <c r="BB30" i="3" s="1" a="1"/>
  <c r="BB30" i="3" s="1"/>
  <c r="AO130" i="3"/>
  <c r="R80" i="3"/>
  <c r="R81" i="3"/>
  <c r="AL128" i="3"/>
  <c r="AO128" i="3"/>
  <c r="AX72" i="3"/>
  <c r="AL131" i="3"/>
  <c r="AL129" i="3"/>
  <c r="O109" i="2"/>
  <c r="R109" i="2"/>
  <c r="U84" i="3"/>
  <c r="T60" i="3" s="1"/>
  <c r="U82" i="3"/>
  <c r="U83" i="3"/>
  <c r="AN124" i="3"/>
  <c r="AN125" i="3" s="1"/>
  <c r="AP122" i="3"/>
  <c r="AM124" i="3"/>
  <c r="AM125" i="3" s="1"/>
  <c r="AO125" i="3" s="1"/>
  <c r="AP123" i="3"/>
  <c r="AN123" i="3"/>
  <c r="AP121" i="3"/>
  <c r="AP114" i="3"/>
  <c r="AP111" i="3"/>
  <c r="AP119" i="3"/>
  <c r="AP108" i="3"/>
  <c r="AP107" i="3"/>
  <c r="AP104" i="3"/>
  <c r="AM123" i="3"/>
  <c r="AO123" i="3" s="1"/>
  <c r="AP117" i="3"/>
  <c r="AP110" i="3"/>
  <c r="AP106" i="3"/>
  <c r="AP125" i="3"/>
  <c r="AP113" i="3"/>
  <c r="AP105" i="3"/>
  <c r="AP115" i="3"/>
  <c r="AP120" i="3"/>
  <c r="AN122" i="3"/>
  <c r="AM122" i="3"/>
  <c r="AO122" i="3" s="1"/>
  <c r="AP118" i="3"/>
  <c r="AP112" i="3"/>
  <c r="AP124" i="3"/>
  <c r="AP126" i="3"/>
  <c r="AP116" i="3"/>
  <c r="AP109" i="3"/>
  <c r="AP103" i="3"/>
  <c r="R112" i="2"/>
  <c r="I101" i="3"/>
  <c r="I100" i="3"/>
  <c r="L98" i="3"/>
  <c r="I90" i="3"/>
  <c r="L103" i="3"/>
  <c r="C97" i="3"/>
  <c r="L96" i="3"/>
  <c r="L95" i="3"/>
  <c r="L94" i="3"/>
  <c r="L93" i="3"/>
  <c r="L109" i="3"/>
  <c r="I103" i="3"/>
  <c r="I102" i="3"/>
  <c r="I95" i="3"/>
  <c r="I99" i="3"/>
  <c r="I98" i="3"/>
  <c r="I94" i="3"/>
  <c r="I93" i="3"/>
  <c r="L104" i="3"/>
  <c r="I96" i="3"/>
  <c r="L92" i="3"/>
  <c r="L110" i="3"/>
  <c r="L108" i="3"/>
  <c r="L105" i="3"/>
  <c r="I92" i="3"/>
  <c r="L84" i="3"/>
  <c r="I109" i="3"/>
  <c r="L107" i="3"/>
  <c r="I104" i="3"/>
  <c r="C98" i="3"/>
  <c r="L91" i="3"/>
  <c r="L106" i="3"/>
  <c r="I105" i="3"/>
  <c r="L97" i="3"/>
  <c r="I110" i="3"/>
  <c r="I108" i="3"/>
  <c r="I107" i="3"/>
  <c r="I91" i="3"/>
  <c r="L87" i="3"/>
  <c r="L101" i="3"/>
  <c r="I106" i="3"/>
  <c r="L100" i="3"/>
  <c r="I97" i="3"/>
  <c r="L90" i="3"/>
  <c r="L102" i="3"/>
  <c r="L99" i="3"/>
  <c r="L86" i="3"/>
  <c r="L88" i="3"/>
  <c r="L89" i="3"/>
  <c r="AN81" i="3"/>
  <c r="AX62" i="3"/>
  <c r="AN80" i="3"/>
  <c r="AI92" i="3"/>
  <c r="AW108" i="3"/>
  <c r="AX104" i="3"/>
  <c r="AY104" i="3" s="1"/>
  <c r="AW107" i="3"/>
  <c r="AZ107" i="3" s="1"/>
  <c r="AX106" i="3"/>
  <c r="AY106" i="3" s="1"/>
  <c r="AW104" i="3"/>
  <c r="AW106" i="3"/>
  <c r="AW105" i="3"/>
  <c r="AZ105" i="3" s="1"/>
  <c r="AZ101" i="3"/>
  <c r="AY102" i="3"/>
  <c r="AW102" i="3"/>
  <c r="AZ102" i="3" s="1"/>
  <c r="AT102" i="3"/>
  <c r="AW101" i="3"/>
  <c r="AZ108" i="3"/>
  <c r="AR102" i="3"/>
  <c r="AZ104" i="3"/>
  <c r="AW103" i="3"/>
  <c r="AZ103" i="3" s="1"/>
  <c r="AY108" i="3"/>
  <c r="AZ106" i="3"/>
  <c r="AO100" i="3"/>
  <c r="AO99" i="3"/>
  <c r="AO98" i="3"/>
  <c r="AO93" i="3"/>
  <c r="AO94" i="3"/>
  <c r="AN82" i="3"/>
  <c r="AO92" i="3"/>
  <c r="AN83" i="3"/>
  <c r="AO83" i="3" s="1"/>
  <c r="AN84" i="3"/>
  <c r="AO84" i="3" s="1"/>
  <c r="AN85" i="3"/>
  <c r="AO85" i="3" s="1"/>
  <c r="O76" i="3"/>
  <c r="R77" i="3" s="1"/>
  <c r="O82" i="3"/>
  <c r="R83" i="3" s="1"/>
  <c r="AX71" i="3"/>
  <c r="J73" i="3"/>
  <c r="J72" i="3"/>
  <c r="AO91" i="3"/>
  <c r="AL91" i="3"/>
  <c r="BY19" i="3"/>
  <c r="BX18" i="3"/>
  <c r="U78" i="3"/>
  <c r="T59" i="3" s="1"/>
  <c r="U77" i="3"/>
  <c r="U76" i="3"/>
  <c r="T69" i="3"/>
  <c r="T70" i="3" s="1"/>
  <c r="AO126" i="3"/>
  <c r="BL40" i="3" a="1"/>
  <c r="BL40" i="3" s="1"/>
  <c r="J98" i="3"/>
  <c r="K98" i="3" s="1"/>
  <c r="J97" i="3"/>
  <c r="K97" i="3" s="1"/>
  <c r="P123" i="2"/>
  <c r="R82" i="2"/>
  <c r="R81" i="2"/>
  <c r="P95" i="2"/>
  <c r="P94" i="2"/>
  <c r="P125" i="2"/>
  <c r="P124" i="2"/>
  <c r="R126" i="2"/>
  <c r="A93" i="2" a="1"/>
  <c r="A93" i="2" s="1"/>
  <c r="R142" i="2"/>
  <c r="R143" i="2"/>
  <c r="BK128" i="1"/>
  <c r="A56" i="2" l="1"/>
  <c r="AL46" i="3"/>
  <c r="AH48" i="3" s="1"/>
  <c r="H68" i="3"/>
  <c r="D70" i="3" s="1"/>
  <c r="I68" i="3"/>
  <c r="AM46" i="3"/>
  <c r="J68" i="3"/>
  <c r="L68" i="3" s="1"/>
  <c r="AN46" i="3"/>
  <c r="AP46" i="3" s="1"/>
  <c r="R93" i="2"/>
  <c r="Q155" i="2"/>
  <c r="R155" i="2" s="1"/>
  <c r="Q156" i="2"/>
  <c r="R156" i="2" s="1"/>
  <c r="Q94" i="2"/>
  <c r="R94" i="2" s="1"/>
  <c r="Q95" i="2"/>
  <c r="R95" i="2" s="1"/>
  <c r="K159" i="2" a="1"/>
  <c r="K159" i="2" s="1"/>
  <c r="AR99" i="3" a="1"/>
  <c r="AR99" i="3" s="1"/>
  <c r="R123" i="2"/>
  <c r="R125" i="2"/>
  <c r="N30" i="3"/>
  <c r="AM117" i="3"/>
  <c r="D82" i="3" a="1"/>
  <c r="D82" i="3" s="1"/>
  <c r="R111" i="2"/>
  <c r="R113" i="2" s="1"/>
  <c r="AO124" i="3"/>
  <c r="AH102" i="3"/>
  <c r="AL98" i="3"/>
  <c r="AL99" i="3" s="1"/>
  <c r="AL93" i="3"/>
  <c r="AI97" i="3"/>
  <c r="BY20" i="3"/>
  <c r="BX19" i="3"/>
  <c r="AR30" i="3"/>
  <c r="AN87" i="3" a="1"/>
  <c r="AN87" i="3" s="1"/>
  <c r="AO87" i="3" s="1"/>
  <c r="AN86" i="3"/>
  <c r="R144" i="2"/>
  <c r="Q124" i="2"/>
  <c r="R124" i="2" s="1"/>
  <c r="R83" i="2"/>
  <c r="BQ127" i="1"/>
  <c r="BO130" i="1"/>
  <c r="AM48" i="3" l="1"/>
  <c r="AO48" i="3" s="1"/>
  <c r="AP48" i="3" s="1"/>
  <c r="AM49" i="3"/>
  <c r="I71" i="3"/>
  <c r="I70" i="3"/>
  <c r="K70" i="3" s="1"/>
  <c r="L70" i="3" s="1"/>
  <c r="K56" i="2"/>
  <c r="A17" i="2" s="1"/>
  <c r="BI148" i="1" s="1"/>
  <c r="BY21" i="3"/>
  <c r="BX20" i="3"/>
  <c r="AO96" i="3"/>
  <c r="AL96" i="3"/>
  <c r="AN88" i="3"/>
  <c r="AO88" i="3" s="1"/>
  <c r="AO86" i="3"/>
  <c r="AJ73" i="1"/>
  <c r="I73" i="3" l="1"/>
  <c r="K73" i="3" s="1"/>
  <c r="L73" i="3" s="1"/>
  <c r="I72" i="3"/>
  <c r="K72" i="3" s="1"/>
  <c r="L72" i="3" s="1"/>
  <c r="K71" i="3"/>
  <c r="AM50" i="3"/>
  <c r="AO50" i="3" s="1"/>
  <c r="AP50" i="3" s="1"/>
  <c r="AO49" i="3"/>
  <c r="AP49" i="3" s="1"/>
  <c r="AM51" i="3"/>
  <c r="AO51" i="3" s="1"/>
  <c r="AP51" i="3" s="1"/>
  <c r="BX21" i="3"/>
  <c r="BY22" i="3"/>
  <c r="AH34" i="3" l="1"/>
  <c r="AH30" i="3" s="1"/>
  <c r="L71" i="3"/>
  <c r="D56" i="3" s="1"/>
  <c r="D30" i="3" s="1"/>
  <c r="BX22" i="3"/>
  <c r="BY23" i="3"/>
  <c r="CI119" i="1"/>
  <c r="CI105" i="1"/>
  <c r="CH105" i="1"/>
  <c r="CK121" i="1"/>
  <c r="CJ127" i="1"/>
  <c r="CJ126" i="1"/>
  <c r="CI125" i="1"/>
  <c r="CJ124" i="1"/>
  <c r="CJ123" i="1"/>
  <c r="CI122" i="1"/>
  <c r="CJ121" i="1"/>
  <c r="CJ120" i="1"/>
  <c r="CJ119" i="1"/>
  <c r="BQ75" i="1"/>
  <c r="BY24" i="3" l="1"/>
  <c r="BX23" i="3"/>
  <c r="CI128" i="1"/>
  <c r="CJ128" i="1" s="1"/>
  <c r="CK128" i="1" s="1"/>
  <c r="CI110" i="1"/>
  <c r="CJ125" i="1"/>
  <c r="CK125" i="1" s="1"/>
  <c r="CJ122" i="1"/>
  <c r="CK122" i="1" s="1"/>
  <c r="CK127" i="1"/>
  <c r="CK126" i="1"/>
  <c r="CK120" i="1"/>
  <c r="CH118" i="1"/>
  <c r="CH119" i="1"/>
  <c r="CK119" i="1"/>
  <c r="CK123" i="1"/>
  <c r="CK124" i="1"/>
  <c r="AU131" i="1"/>
  <c r="C9" i="4"/>
  <c r="B18" i="4" s="1"/>
  <c r="AW130" i="1"/>
  <c r="AW137" i="1" s="1"/>
  <c r="AV137" i="1"/>
  <c r="AU134" i="1"/>
  <c r="AV133" i="1"/>
  <c r="AV132" i="1"/>
  <c r="AV131" i="1"/>
  <c r="AK122" i="1"/>
  <c r="AK110" i="1"/>
  <c r="AL117" i="1" s="1"/>
  <c r="AL128" i="1"/>
  <c r="AK125" i="1"/>
  <c r="AL124" i="1"/>
  <c r="AL123" i="1"/>
  <c r="AL122" i="1"/>
  <c r="AL110" i="1"/>
  <c r="AL112" i="1"/>
  <c r="BI137" i="1"/>
  <c r="AS139" i="1" l="1"/>
  <c r="AW135" i="1"/>
  <c r="AW136" i="1"/>
  <c r="L53" i="4"/>
  <c r="L45" i="4"/>
  <c r="L51" i="4"/>
  <c r="L39" i="4"/>
  <c r="L35" i="4"/>
  <c r="L48" i="4"/>
  <c r="L43" i="4"/>
  <c r="L47" i="4"/>
  <c r="L40" i="4"/>
  <c r="L41" i="4"/>
  <c r="L37" i="4"/>
  <c r="L46" i="4"/>
  <c r="L38" i="4"/>
  <c r="L36" i="4"/>
  <c r="L50" i="4"/>
  <c r="L34" i="4"/>
  <c r="L44" i="4"/>
  <c r="L55" i="4"/>
  <c r="L42" i="4"/>
  <c r="L52" i="4"/>
  <c r="L57" i="4"/>
  <c r="L49" i="4"/>
  <c r="L56" i="4"/>
  <c r="L54" i="4"/>
  <c r="BY25" i="3"/>
  <c r="BX24" i="3"/>
  <c r="AS140" i="1"/>
  <c r="AV134" i="1"/>
  <c r="AR130" i="1"/>
  <c r="AV138" i="1"/>
  <c r="CH125" i="1"/>
  <c r="CC117" i="1" a="1"/>
  <c r="CC117" i="1" s="1"/>
  <c r="CH121" i="1"/>
  <c r="CH128" i="1"/>
  <c r="CH124" i="1"/>
  <c r="CH120" i="1"/>
  <c r="CH127" i="1"/>
  <c r="CH123" i="1"/>
  <c r="CH126" i="1"/>
  <c r="CH122" i="1"/>
  <c r="AL129" i="1"/>
  <c r="AL125" i="1"/>
  <c r="AL113" i="1"/>
  <c r="AW131" i="1"/>
  <c r="AT135" i="1" l="1"/>
  <c r="AT138" i="1"/>
  <c r="AT137" i="1"/>
  <c r="AT136" i="1"/>
  <c r="AT132" i="1"/>
  <c r="AT133" i="1"/>
  <c r="D33" i="4"/>
  <c r="D30" i="4" s="1"/>
  <c r="A19" i="4" s="1"/>
  <c r="BI152" i="1" s="1"/>
  <c r="BY26" i="3"/>
  <c r="BX25" i="3"/>
  <c r="AW132" i="1"/>
  <c r="AW138" i="1"/>
  <c r="AT134" i="1"/>
  <c r="AW134" i="1"/>
  <c r="AW133" i="1"/>
  <c r="AT131" i="1"/>
  <c r="BY27" i="3" l="1"/>
  <c r="BX26" i="3"/>
  <c r="AO129" i="1" a="1"/>
  <c r="AO129" i="1" s="1"/>
  <c r="BX27" i="3" l="1"/>
  <c r="BY28" i="3"/>
  <c r="BQ79" i="1"/>
  <c r="BQ78" i="1"/>
  <c r="BQ77" i="1"/>
  <c r="BQ76" i="1"/>
  <c r="BQ73" i="1"/>
  <c r="BY29" i="3" l="1"/>
  <c r="BX28" i="3"/>
  <c r="AE72" i="1"/>
  <c r="F9" i="1"/>
  <c r="BG78" i="1"/>
  <c r="BN129" i="1"/>
  <c r="BP128" i="1"/>
  <c r="BN130" i="1"/>
  <c r="BN128" i="1"/>
  <c r="BQ129" i="1"/>
  <c r="BQ128" i="1"/>
  <c r="CK100" i="1"/>
  <c r="CG107" i="1"/>
  <c r="CG106" i="1"/>
  <c r="CH100" i="1"/>
  <c r="CG105" i="1" s="1"/>
  <c r="CK72" i="1"/>
  <c r="CK71" i="1"/>
  <c r="CK70" i="1"/>
  <c r="CK69" i="1"/>
  <c r="CA112" i="1"/>
  <c r="BQ110" i="1"/>
  <c r="BQ88" i="1"/>
  <c r="BI128" i="1"/>
  <c r="BY30" i="3" l="1"/>
  <c r="BX29" i="3"/>
  <c r="CK107" i="1"/>
  <c r="CK101" i="1"/>
  <c r="CK106" i="1"/>
  <c r="CK102" i="1"/>
  <c r="CK104" i="1"/>
  <c r="CK103" i="1"/>
  <c r="CK108" i="1"/>
  <c r="AW95" i="1"/>
  <c r="BY31" i="3" l="1"/>
  <c r="BX30" i="3"/>
  <c r="AT117" i="1"/>
  <c r="BY32" i="3" l="1"/>
  <c r="BX31" i="3"/>
  <c r="CA90" i="1"/>
  <c r="CA113" i="1"/>
  <c r="AL111" i="1"/>
  <c r="S88" i="1"/>
  <c r="Q95" i="1"/>
  <c r="Q94" i="1"/>
  <c r="Q93" i="1"/>
  <c r="O93" i="1"/>
  <c r="Q92" i="1"/>
  <c r="R91" i="1"/>
  <c r="P91" i="1"/>
  <c r="O91" i="1"/>
  <c r="R90" i="1"/>
  <c r="P90" i="1"/>
  <c r="O87" i="1"/>
  <c r="S86" i="1"/>
  <c r="K85" i="1" s="1"/>
  <c r="BY33" i="3" l="1"/>
  <c r="BX32" i="3"/>
  <c r="S95" i="1"/>
  <c r="S93" i="1"/>
  <c r="S89" i="1"/>
  <c r="S90" i="1"/>
  <c r="S91" i="1"/>
  <c r="S92" i="1"/>
  <c r="S94" i="1"/>
  <c r="BX33" i="3" l="1"/>
  <c r="BY34" i="3"/>
  <c r="BQ135" i="1"/>
  <c r="BQ134" i="1"/>
  <c r="BQ133" i="1"/>
  <c r="BY35" i="3" l="1"/>
  <c r="BX34" i="3"/>
  <c r="BI132" i="1" a="1"/>
  <c r="BI132" i="1" s="1"/>
  <c r="BI72" i="1" a="1"/>
  <c r="BI72" i="1" s="1"/>
  <c r="BX35" i="3" l="1"/>
  <c r="BY36" i="3"/>
  <c r="CA89" i="1"/>
  <c r="BY37" i="3" l="1"/>
  <c r="BX36" i="3"/>
  <c r="BX37" i="3" l="1"/>
  <c r="BY38" i="3"/>
  <c r="CJ108" i="1"/>
  <c r="CJ107" i="1"/>
  <c r="CJ106" i="1"/>
  <c r="BX38" i="3" l="1"/>
  <c r="BY39" i="3"/>
  <c r="BX89" i="1"/>
  <c r="BY40" i="3" l="1"/>
  <c r="BX39" i="3"/>
  <c r="BZ89" i="1"/>
  <c r="BQ92" i="1"/>
  <c r="BQ91" i="1"/>
  <c r="BQ90" i="1"/>
  <c r="BQ89" i="1"/>
  <c r="BO93" i="1"/>
  <c r="BQ93" i="1" s="1"/>
  <c r="BM93" i="1"/>
  <c r="BO92" i="1"/>
  <c r="BP91" i="1"/>
  <c r="BN91" i="1"/>
  <c r="BM91" i="1"/>
  <c r="BP90" i="1"/>
  <c r="BN90" i="1"/>
  <c r="BJ89" i="1"/>
  <c r="BQ111" i="1"/>
  <c r="BP111" i="1"/>
  <c r="BQ125" i="1"/>
  <c r="BQ124" i="1"/>
  <c r="BQ121" i="1"/>
  <c r="BQ120" i="1"/>
  <c r="AE71" i="1"/>
  <c r="AF71" i="1"/>
  <c r="AK102" i="1"/>
  <c r="AM102" i="1" s="1"/>
  <c r="AI102" i="1"/>
  <c r="AK101" i="1"/>
  <c r="AM101" i="1" s="1"/>
  <c r="AL100" i="1"/>
  <c r="AJ100" i="1"/>
  <c r="AM100" i="1" s="1"/>
  <c r="AI100" i="1"/>
  <c r="AL99" i="1"/>
  <c r="AJ99" i="1"/>
  <c r="AM99" i="1" s="1"/>
  <c r="AM98" i="1"/>
  <c r="AF98" i="1"/>
  <c r="CJ82" i="1"/>
  <c r="CH70" i="1"/>
  <c r="CD69" i="1" s="1"/>
  <c r="CK68" i="1"/>
  <c r="CJ68" i="1"/>
  <c r="BI140" i="1"/>
  <c r="AK103" i="1" l="1"/>
  <c r="AM103" i="1" s="1"/>
  <c r="AK104" i="1"/>
  <c r="AM104" i="1" s="1"/>
  <c r="BY41" i="3"/>
  <c r="BX40" i="3"/>
  <c r="CC70" i="1"/>
  <c r="BO95" i="1"/>
  <c r="BQ95" i="1" s="1"/>
  <c r="BO94" i="1"/>
  <c r="BQ94" i="1" s="1"/>
  <c r="CC71" i="1"/>
  <c r="CC81" i="1" a="1"/>
  <c r="CC81" i="1" s="1"/>
  <c r="AE96" i="1" l="1"/>
  <c r="BY42" i="3"/>
  <c r="BX41" i="3"/>
  <c r="CA80" i="1"/>
  <c r="BY43" i="3" l="1"/>
  <c r="BX42" i="3"/>
  <c r="BS88" i="1" a="1"/>
  <c r="BS88" i="1" s="1"/>
  <c r="BS111" i="1" a="1"/>
  <c r="BS111" i="1" s="1"/>
  <c r="BY44" i="3" l="1"/>
  <c r="BX43" i="3"/>
  <c r="K8" i="1"/>
  <c r="K4" i="1"/>
  <c r="BX44" i="3" l="1"/>
  <c r="BY45" i="3"/>
  <c r="AW117" i="1"/>
  <c r="AW116" i="1"/>
  <c r="AW111" i="1"/>
  <c r="AW112" i="1"/>
  <c r="BG77" i="1"/>
  <c r="BY46" i="3" l="1"/>
  <c r="BX45" i="3"/>
  <c r="AQ70" i="1"/>
  <c r="BK107" i="1"/>
  <c r="BY47" i="3" l="1"/>
  <c r="BX46" i="3"/>
  <c r="BN68" i="1"/>
  <c r="BY48" i="3" l="1"/>
  <c r="BX47" i="3"/>
  <c r="V112" i="1"/>
  <c r="BX48" i="3" l="1"/>
  <c r="BY49" i="3"/>
  <c r="BI143" i="1"/>
  <c r="BO121" i="1"/>
  <c r="BP122" i="1"/>
  <c r="BO122" i="1"/>
  <c r="BQ122" i="1" s="1"/>
  <c r="BP121" i="1"/>
  <c r="BN121" i="1"/>
  <c r="BP126" i="1"/>
  <c r="BP125" i="1"/>
  <c r="BP124" i="1"/>
  <c r="BX49" i="3" l="1"/>
  <c r="BY50" i="3"/>
  <c r="BQ113" i="1"/>
  <c r="BQ112" i="1"/>
  <c r="BY51" i="3" l="1"/>
  <c r="BX50" i="3"/>
  <c r="BO117" i="1"/>
  <c r="BQ117" i="1" s="1"/>
  <c r="BM117" i="1"/>
  <c r="BO116" i="1"/>
  <c r="BQ116" i="1" s="1"/>
  <c r="BP115" i="1"/>
  <c r="BN115" i="1"/>
  <c r="BQ115" i="1" s="1"/>
  <c r="BM115" i="1"/>
  <c r="BP114" i="1"/>
  <c r="BN114" i="1"/>
  <c r="BQ114" i="1" s="1"/>
  <c r="BJ113" i="1"/>
  <c r="BY52" i="3" l="1"/>
  <c r="BX51" i="3"/>
  <c r="BO118" i="1"/>
  <c r="BQ118" i="1" s="1"/>
  <c r="BO119" i="1"/>
  <c r="CA102" i="1"/>
  <c r="CA101" i="1"/>
  <c r="CA100" i="1"/>
  <c r="CA82" i="1"/>
  <c r="CA81" i="1"/>
  <c r="CJ105" i="1"/>
  <c r="CJ104" i="1"/>
  <c r="CJ103" i="1"/>
  <c r="CJ102" i="1"/>
  <c r="CG74" i="1"/>
  <c r="CH72" i="1"/>
  <c r="CG72" i="1"/>
  <c r="CH71" i="1"/>
  <c r="CI74" i="1"/>
  <c r="CK74" i="1" s="1"/>
  <c r="CI73" i="1"/>
  <c r="CK73" i="1" s="1"/>
  <c r="CJ72" i="1"/>
  <c r="CJ71" i="1"/>
  <c r="BY104" i="1"/>
  <c r="BY105" i="1" s="1"/>
  <c r="CA105" i="1" s="1"/>
  <c r="BW104" i="1"/>
  <c r="BY103" i="1"/>
  <c r="CA103" i="1" s="1"/>
  <c r="BZ102" i="1"/>
  <c r="BX102" i="1"/>
  <c r="BW102" i="1"/>
  <c r="BZ101" i="1"/>
  <c r="BX101" i="1"/>
  <c r="BT100" i="1"/>
  <c r="BY84" i="1"/>
  <c r="BY86" i="1" s="1"/>
  <c r="CA86" i="1" s="1"/>
  <c r="BW84" i="1"/>
  <c r="BY83" i="1"/>
  <c r="CA83" i="1" s="1"/>
  <c r="BZ82" i="1"/>
  <c r="BX82" i="1"/>
  <c r="BW82" i="1"/>
  <c r="BZ81" i="1"/>
  <c r="BX81" i="1"/>
  <c r="BT80" i="1"/>
  <c r="CC100" i="1"/>
  <c r="BX52" i="3" l="1"/>
  <c r="BY53" i="3"/>
  <c r="CD70" i="1"/>
  <c r="BQ119" i="1"/>
  <c r="CI75" i="1"/>
  <c r="CK75" i="1" s="1"/>
  <c r="CI76" i="1"/>
  <c r="CK76" i="1" s="1"/>
  <c r="BY106" i="1"/>
  <c r="CA106" i="1" s="1"/>
  <c r="CA104" i="1"/>
  <c r="CA84" i="1"/>
  <c r="BY85" i="1"/>
  <c r="CA85" i="1" s="1"/>
  <c r="CH76" i="1"/>
  <c r="CH107" i="1" s="1"/>
  <c r="CH109" i="1" s="1"/>
  <c r="CH75" i="1"/>
  <c r="CH106" i="1" s="1"/>
  <c r="L64" i="1"/>
  <c r="AP84" i="1"/>
  <c r="AP73" i="1"/>
  <c r="V90" i="1"/>
  <c r="AP102" i="1"/>
  <c r="AZ95" i="1"/>
  <c r="AZ85" i="1"/>
  <c r="AF86" i="1"/>
  <c r="P65" i="1"/>
  <c r="AT85" i="1"/>
  <c r="AT74" i="1"/>
  <c r="S73" i="1"/>
  <c r="BE99" i="1"/>
  <c r="BG99" i="1" s="1"/>
  <c r="BC99" i="1"/>
  <c r="BE98" i="1"/>
  <c r="BG98" i="1" s="1"/>
  <c r="BG97" i="1"/>
  <c r="BF97" i="1"/>
  <c r="BD97" i="1"/>
  <c r="BC97" i="1"/>
  <c r="BG96" i="1"/>
  <c r="BF96" i="1"/>
  <c r="BD96" i="1"/>
  <c r="BG95" i="1"/>
  <c r="AU77" i="1"/>
  <c r="AW77" i="1" s="1"/>
  <c r="AS77" i="1"/>
  <c r="AU76" i="1"/>
  <c r="AW76" i="1" s="1"/>
  <c r="AW75" i="1"/>
  <c r="AV75" i="1"/>
  <c r="AT75" i="1"/>
  <c r="AS75" i="1"/>
  <c r="AW74" i="1"/>
  <c r="AV74" i="1"/>
  <c r="AW73" i="1"/>
  <c r="BE89" i="1"/>
  <c r="BG89" i="1" s="1"/>
  <c r="BC89" i="1"/>
  <c r="BE88" i="1"/>
  <c r="BG88" i="1" s="1"/>
  <c r="BF87" i="1"/>
  <c r="BD87" i="1"/>
  <c r="BG87" i="1" s="1"/>
  <c r="BC87" i="1"/>
  <c r="BF86" i="1"/>
  <c r="BD86" i="1"/>
  <c r="BG86" i="1" s="1"/>
  <c r="BG85" i="1"/>
  <c r="AW104" i="1"/>
  <c r="AW103" i="1"/>
  <c r="AW102" i="1"/>
  <c r="AW101" i="1"/>
  <c r="AW84" i="1"/>
  <c r="AU90" i="1"/>
  <c r="AW90" i="1" s="1"/>
  <c r="AU88" i="1"/>
  <c r="AW88" i="1" s="1"/>
  <c r="AS88" i="1"/>
  <c r="AU87" i="1"/>
  <c r="AW87" i="1" s="1"/>
  <c r="AW86" i="1"/>
  <c r="AV86" i="1"/>
  <c r="AT86" i="1"/>
  <c r="AS86" i="1"/>
  <c r="AW85" i="1"/>
  <c r="AV85" i="1"/>
  <c r="AS92" i="1"/>
  <c r="AU106" i="1"/>
  <c r="AW106" i="1" s="1"/>
  <c r="AS106" i="1"/>
  <c r="AU105" i="1"/>
  <c r="AW105" i="1" s="1"/>
  <c r="AV104" i="1"/>
  <c r="AT104" i="1"/>
  <c r="AS104" i="1"/>
  <c r="AV103" i="1"/>
  <c r="AT103" i="1"/>
  <c r="AK75" i="1"/>
  <c r="AJ77" i="1"/>
  <c r="AJ76" i="1"/>
  <c r="AJ75" i="1"/>
  <c r="AJ71" i="1"/>
  <c r="AK90" i="1"/>
  <c r="AM90" i="1" s="1"/>
  <c r="AI90" i="1"/>
  <c r="AK89" i="1"/>
  <c r="AM89" i="1" s="1"/>
  <c r="AM88" i="1"/>
  <c r="AL88" i="1"/>
  <c r="AJ88" i="1"/>
  <c r="AM109" i="1" s="1"/>
  <c r="AM116" i="1" s="1"/>
  <c r="AI88" i="1"/>
  <c r="AL87" i="1"/>
  <c r="AJ87" i="1"/>
  <c r="AM87" i="1" s="1"/>
  <c r="AM86" i="1"/>
  <c r="AM69" i="1"/>
  <c r="AI75" i="1"/>
  <c r="AK74" i="1"/>
  <c r="AM74" i="1" s="1"/>
  <c r="AM73" i="1"/>
  <c r="AL73" i="1"/>
  <c r="AI73" i="1"/>
  <c r="AL72" i="1"/>
  <c r="AJ72" i="1"/>
  <c r="AM72" i="1" s="1"/>
  <c r="AM71" i="1"/>
  <c r="AL82" i="1"/>
  <c r="AK82" i="1"/>
  <c r="AM82" i="1" s="1"/>
  <c r="AE79" i="1" s="1" a="1"/>
  <c r="AE79" i="1" s="1"/>
  <c r="AL81" i="1"/>
  <c r="AL80" i="1"/>
  <c r="AA127" i="1"/>
  <c r="AA128" i="1" s="1"/>
  <c r="Y127" i="1"/>
  <c r="AA126" i="1"/>
  <c r="AB125" i="1"/>
  <c r="Z125" i="1"/>
  <c r="Y125" i="1"/>
  <c r="AB124" i="1"/>
  <c r="Z124" i="1"/>
  <c r="AA116" i="1"/>
  <c r="AC116" i="1" s="1"/>
  <c r="Y116" i="1"/>
  <c r="AA115" i="1"/>
  <c r="AC115" i="1" s="1"/>
  <c r="AC114" i="1"/>
  <c r="AB114" i="1"/>
  <c r="Z114" i="1"/>
  <c r="Y114" i="1"/>
  <c r="AC113" i="1"/>
  <c r="AB113" i="1"/>
  <c r="Z113" i="1"/>
  <c r="AC112" i="1"/>
  <c r="AA94" i="1"/>
  <c r="AC94" i="1" s="1"/>
  <c r="Y94" i="1"/>
  <c r="AA93" i="1"/>
  <c r="AC93" i="1" s="1"/>
  <c r="AB92" i="1"/>
  <c r="Z92" i="1"/>
  <c r="AC92" i="1" s="1"/>
  <c r="Y92" i="1"/>
  <c r="AB91" i="1"/>
  <c r="Z91" i="1"/>
  <c r="AC91" i="1" s="1"/>
  <c r="AC90" i="1"/>
  <c r="Q68" i="1"/>
  <c r="S68" i="1" s="1"/>
  <c r="O68" i="1"/>
  <c r="Q67" i="1"/>
  <c r="S67" i="1" s="1"/>
  <c r="R66" i="1"/>
  <c r="P66" i="1"/>
  <c r="S66" i="1" s="1"/>
  <c r="O66" i="1"/>
  <c r="S65" i="1"/>
  <c r="R65" i="1"/>
  <c r="S64" i="1"/>
  <c r="AU107" i="1" l="1"/>
  <c r="AW107" i="1" s="1"/>
  <c r="AO100" i="1" s="1"/>
  <c r="AU108" i="1"/>
  <c r="AW108" i="1" s="1"/>
  <c r="AU89" i="1"/>
  <c r="AW89" i="1" s="1"/>
  <c r="AA129" i="1"/>
  <c r="AA118" i="1"/>
  <c r="AC118" i="1" s="1"/>
  <c r="AA117" i="1"/>
  <c r="AC117" i="1" s="1"/>
  <c r="U110" i="1" s="1"/>
  <c r="AK92" i="1"/>
  <c r="AM92" i="1" s="1"/>
  <c r="AK91" i="1"/>
  <c r="AM91" i="1" s="1"/>
  <c r="AA95" i="1"/>
  <c r="AC95" i="1" s="1"/>
  <c r="AA96" i="1"/>
  <c r="AC96" i="1" s="1"/>
  <c r="AM114" i="1"/>
  <c r="AI118" i="1"/>
  <c r="AM115" i="1"/>
  <c r="BX53" i="3"/>
  <c r="BY54" i="3"/>
  <c r="AM117" i="1"/>
  <c r="AM121" i="1"/>
  <c r="AM128" i="1" s="1"/>
  <c r="Q69" i="1"/>
  <c r="S69" i="1" s="1"/>
  <c r="Q70" i="1"/>
  <c r="S70" i="1" s="1"/>
  <c r="BS78" i="1" a="1"/>
  <c r="BS78" i="1" s="1"/>
  <c r="BS98" i="1" a="1"/>
  <c r="BS98" i="1" s="1"/>
  <c r="BE91" i="1"/>
  <c r="AU79" i="1"/>
  <c r="AW79" i="1" s="1"/>
  <c r="AU78" i="1"/>
  <c r="AW78" i="1" s="1"/>
  <c r="BE90" i="1"/>
  <c r="BG90" i="1" s="1"/>
  <c r="BE100" i="1"/>
  <c r="BG100" i="1" s="1"/>
  <c r="BE101" i="1"/>
  <c r="BG101" i="1" s="1"/>
  <c r="AE84" i="1"/>
  <c r="AK77" i="1"/>
  <c r="AM77" i="1" s="1"/>
  <c r="AM75" i="1"/>
  <c r="AK76" i="1"/>
  <c r="AM76" i="1" s="1"/>
  <c r="U88" i="1"/>
  <c r="AI130" i="1" l="1"/>
  <c r="AM126" i="1"/>
  <c r="AM127" i="1"/>
  <c r="BY55" i="3"/>
  <c r="BX54" i="3"/>
  <c r="AI131" i="1"/>
  <c r="BS56" i="1"/>
  <c r="AF109" i="1"/>
  <c r="AM110" i="1"/>
  <c r="AI119" i="1"/>
  <c r="AM122" i="1"/>
  <c r="AH121" i="1"/>
  <c r="K62" i="1"/>
  <c r="CC67" i="1"/>
  <c r="BO123" i="1"/>
  <c r="BG91" i="1"/>
  <c r="AY83" i="1" s="1"/>
  <c r="AO71" i="1"/>
  <c r="CJ109" i="1"/>
  <c r="CK109" i="1" s="1"/>
  <c r="AY93" i="1"/>
  <c r="AE68" i="1"/>
  <c r="AJ126" i="1" l="1"/>
  <c r="AJ129" i="1"/>
  <c r="AJ128" i="1"/>
  <c r="AJ127" i="1"/>
  <c r="AJ114" i="1"/>
  <c r="AJ117" i="1"/>
  <c r="AJ116" i="1"/>
  <c r="AJ115" i="1"/>
  <c r="BX55" i="3"/>
  <c r="BY56" i="3"/>
  <c r="AJ111" i="1"/>
  <c r="AJ123" i="1"/>
  <c r="AJ124" i="1"/>
  <c r="AM123" i="1"/>
  <c r="AM129" i="1"/>
  <c r="AM111" i="1"/>
  <c r="AM125" i="1"/>
  <c r="AM124" i="1"/>
  <c r="AM113" i="1"/>
  <c r="AE108" i="1" s="1" a="1"/>
  <c r="AE108" i="1" s="1"/>
  <c r="AM112" i="1"/>
  <c r="AJ125" i="1"/>
  <c r="AJ113" i="1"/>
  <c r="AJ112" i="1"/>
  <c r="AJ110" i="1"/>
  <c r="AJ122" i="1"/>
  <c r="BQ123" i="1"/>
  <c r="BO126" i="1"/>
  <c r="BP130" i="1" s="1"/>
  <c r="CK105" i="1"/>
  <c r="BY57" i="3" l="1"/>
  <c r="BX56" i="3"/>
  <c r="AE120" i="1" a="1"/>
  <c r="AE120" i="1" s="1"/>
  <c r="AE56" i="1" s="1"/>
  <c r="BQ130" i="1"/>
  <c r="BQ126" i="1"/>
  <c r="C13" i="1"/>
  <c r="BI109" i="1" l="1" a="1"/>
  <c r="BI109" i="1" s="1"/>
  <c r="BY58" i="3"/>
  <c r="BX57" i="3"/>
  <c r="CJ111" i="1"/>
  <c r="CK111" i="1" s="1"/>
  <c r="CJ110" i="1"/>
  <c r="CK110" i="1" s="1"/>
  <c r="BX58" i="3" l="1"/>
  <c r="BY59" i="3"/>
  <c r="CJ112" i="1"/>
  <c r="CK112" i="1" s="1"/>
  <c r="CJ113" i="1"/>
  <c r="CK113" i="1" s="1"/>
  <c r="BX59" i="3" l="1"/>
  <c r="BY60" i="3"/>
  <c r="CC99" i="1"/>
  <c r="CC56" i="1" s="1"/>
  <c r="BY61" i="3" l="1"/>
  <c r="BX60" i="3"/>
  <c r="AW82" i="1"/>
  <c r="AO81" i="1" s="1"/>
  <c r="AC103" i="1"/>
  <c r="AC102" i="1"/>
  <c r="BQ67" i="1"/>
  <c r="BX61" i="3" l="1"/>
  <c r="BY62" i="3"/>
  <c r="K6" i="1"/>
  <c r="K5" i="1"/>
  <c r="K2" i="1"/>
  <c r="K1" i="1"/>
  <c r="BX62" i="3" l="1"/>
  <c r="BY63" i="3"/>
  <c r="K9" i="1"/>
  <c r="BY64" i="3" l="1"/>
  <c r="BX63" i="3"/>
  <c r="C16" i="1"/>
  <c r="BX64" i="3" l="1"/>
  <c r="BY65" i="3"/>
  <c r="S79" i="1"/>
  <c r="K78" i="1" s="1"/>
  <c r="BY66" i="3" l="1"/>
  <c r="BX65" i="3"/>
  <c r="AW125" i="1"/>
  <c r="BQ64" i="1"/>
  <c r="BI63" i="1" s="1"/>
  <c r="BQ68" i="1"/>
  <c r="BI66" i="1" s="1"/>
  <c r="BX66" i="3" l="1"/>
  <c r="BY67" i="3"/>
  <c r="Z104" i="1"/>
  <c r="BD81" i="1"/>
  <c r="BY68" i="3" l="1"/>
  <c r="BX67" i="3"/>
  <c r="Z103" i="1"/>
  <c r="Z99" i="1"/>
  <c r="Z108" i="1"/>
  <c r="BX68" i="3" l="1"/>
  <c r="BY69" i="3"/>
  <c r="AO94" i="1"/>
  <c r="BY70" i="3" l="1"/>
  <c r="BX69" i="3"/>
  <c r="AW124" i="1"/>
  <c r="AW120" i="1"/>
  <c r="AO119" i="1" s="1"/>
  <c r="AO115" i="1"/>
  <c r="AO110" i="1"/>
  <c r="AC108" i="1"/>
  <c r="U107" i="1" s="1"/>
  <c r="AC104" i="1"/>
  <c r="U101" i="1" s="1"/>
  <c r="AC99" i="1"/>
  <c r="U98" i="1" s="1"/>
  <c r="BG81" i="1"/>
  <c r="AY80" i="1" s="1"/>
  <c r="S82" i="1"/>
  <c r="K81" i="1" s="1"/>
  <c r="AY76" i="1"/>
  <c r="BQ87" i="1"/>
  <c r="BI86" i="1" s="1" a="1"/>
  <c r="BI86" i="1" s="1"/>
  <c r="S76" i="1"/>
  <c r="K75" i="1" s="1"/>
  <c r="K72" i="1"/>
  <c r="BX70" i="3" l="1"/>
  <c r="BY71" i="3"/>
  <c r="Y105" i="1"/>
  <c r="AC120" i="1" s="1"/>
  <c r="AU126" i="1"/>
  <c r="BY72" i="3" l="1"/>
  <c r="BX71" i="3"/>
  <c r="AW126" i="1"/>
  <c r="BP87" i="1"/>
  <c r="BP68" i="1"/>
  <c r="BP64" i="1"/>
  <c r="BF81" i="1"/>
  <c r="AY56" i="1" s="1" a="1"/>
  <c r="AY56" i="1" s="1"/>
  <c r="AS113" i="1"/>
  <c r="BC75" i="1" s="1"/>
  <c r="AV124" i="1"/>
  <c r="AV125" i="1"/>
  <c r="AS99" i="1"/>
  <c r="AV120" i="1"/>
  <c r="BY73" i="3" l="1"/>
  <c r="BX72" i="3"/>
  <c r="AO123" i="1"/>
  <c r="AO56" i="1" a="1"/>
  <c r="AO56" i="1" s="1"/>
  <c r="BI56" i="1" a="1"/>
  <c r="BI56" i="1" s="1"/>
  <c r="L83" i="1"/>
  <c r="R76" i="1"/>
  <c r="R73" i="1"/>
  <c r="K56" i="1" s="1" a="1"/>
  <c r="K56" i="1" s="1"/>
  <c r="AB104" i="1"/>
  <c r="AB99" i="1"/>
  <c r="AB108" i="1"/>
  <c r="BY74" i="3" l="1"/>
  <c r="BX73" i="3"/>
  <c r="AB120" i="1"/>
  <c r="BY75" i="3" l="1"/>
  <c r="BX74" i="3"/>
  <c r="U124" i="1"/>
  <c r="U123" i="1"/>
  <c r="V123" i="1"/>
  <c r="U122" i="1"/>
  <c r="AC123" i="1"/>
  <c r="AC125" i="1"/>
  <c r="V122" i="1"/>
  <c r="AC127" i="1"/>
  <c r="AC129" i="1"/>
  <c r="AC122" i="1"/>
  <c r="AC124" i="1"/>
  <c r="Y120" i="1"/>
  <c r="AC126" i="1"/>
  <c r="AC128" i="1"/>
  <c r="Z123" i="1"/>
  <c r="Z129" i="1" s="1"/>
  <c r="BX75" i="3" l="1"/>
  <c r="BY76" i="3"/>
  <c r="U121" i="1"/>
  <c r="U56" i="1" s="1" a="1"/>
  <c r="U56" i="1" s="1"/>
  <c r="Z128" i="1"/>
  <c r="BY77" i="3" l="1"/>
  <c r="BX76" i="3"/>
  <c r="C12" i="1"/>
  <c r="BY78" i="3" l="1"/>
  <c r="BX77" i="3"/>
  <c r="BI146" i="1"/>
  <c r="BY79" i="3" l="1"/>
  <c r="BX78" i="3"/>
  <c r="C15" i="1"/>
  <c r="BY80" i="3" l="1"/>
  <c r="BX79" i="3"/>
  <c r="BX80" i="3" l="1"/>
  <c r="BY81" i="3"/>
  <c r="BY82" i="3" l="1"/>
  <c r="BX81" i="3"/>
  <c r="BX82" i="3" l="1"/>
  <c r="BY83" i="3"/>
  <c r="BY84" i="3" l="1"/>
  <c r="BX83" i="3"/>
  <c r="BY85" i="3" l="1"/>
  <c r="BX84" i="3"/>
  <c r="BX85" i="3" l="1"/>
  <c r="BY86" i="3"/>
  <c r="BY87" i="3" l="1"/>
  <c r="BX86" i="3"/>
  <c r="BX87" i="3" l="1"/>
  <c r="BY88" i="3"/>
  <c r="BY89" i="3" l="1"/>
  <c r="BX88" i="3"/>
  <c r="BX89" i="3" l="1"/>
  <c r="BY90" i="3"/>
  <c r="BX90" i="3" l="1"/>
  <c r="BY91" i="3"/>
  <c r="BY92" i="3" l="1"/>
  <c r="BX91" i="3"/>
  <c r="BY93" i="3" l="1"/>
  <c r="BX92" i="3"/>
  <c r="BY94" i="3" l="1"/>
  <c r="BX93" i="3"/>
  <c r="BX94" i="3" l="1"/>
  <c r="BY95" i="3"/>
  <c r="BY96" i="3" l="1"/>
  <c r="BX95" i="3"/>
  <c r="BX96" i="3" l="1"/>
  <c r="BY97" i="3"/>
  <c r="BY98" i="3" l="1"/>
  <c r="BX97" i="3"/>
  <c r="BY99" i="3" l="1"/>
  <c r="BX98" i="3"/>
  <c r="BY100" i="3" l="1"/>
  <c r="BX99" i="3"/>
  <c r="BX100" i="3" l="1"/>
  <c r="BY101" i="3"/>
  <c r="BY102" i="3" l="1"/>
  <c r="BX101" i="3"/>
  <c r="BX102" i="3" l="1"/>
  <c r="BY103" i="3"/>
  <c r="BY104" i="3" l="1"/>
  <c r="BX103" i="3"/>
  <c r="BX104" i="3" l="1"/>
  <c r="BY105" i="3"/>
  <c r="BX105" i="3" l="1"/>
  <c r="BY106" i="3"/>
  <c r="BY107" i="3" l="1"/>
  <c r="BX106" i="3"/>
  <c r="BY108" i="3" l="1"/>
  <c r="BX107" i="3"/>
  <c r="BX108" i="3" l="1"/>
  <c r="BY109" i="3"/>
  <c r="BY110" i="3" l="1"/>
  <c r="BX109" i="3"/>
  <c r="BX110" i="3" l="1"/>
  <c r="BY111" i="3"/>
  <c r="BY112" i="3" l="1"/>
  <c r="BX111" i="3"/>
  <c r="BY113" i="3" l="1"/>
  <c r="BX112" i="3"/>
  <c r="BX113" i="3" l="1"/>
  <c r="BY114" i="3"/>
  <c r="BY115" i="3" l="1"/>
  <c r="BX114" i="3"/>
  <c r="BX115" i="3" l="1"/>
  <c r="BY116" i="3"/>
  <c r="BY117" i="3" l="1"/>
  <c r="BX116" i="3"/>
  <c r="BX117" i="3" l="1"/>
  <c r="BY118" i="3"/>
  <c r="BX118" i="3" l="1"/>
  <c r="BY119" i="3"/>
  <c r="BY120" i="3" l="1"/>
  <c r="BX119" i="3"/>
  <c r="BX120" i="3" l="1"/>
  <c r="BY121" i="3"/>
  <c r="BY122" i="3" l="1"/>
  <c r="BX121" i="3"/>
  <c r="BY123" i="3" l="1"/>
  <c r="BX122" i="3"/>
  <c r="BX123" i="3" l="1"/>
  <c r="BY124" i="3"/>
  <c r="BY125" i="3" l="1"/>
  <c r="BX124" i="3"/>
  <c r="BX125" i="3" l="1"/>
  <c r="BY126" i="3"/>
  <c r="BX126" i="3" l="1"/>
  <c r="BY127" i="3"/>
  <c r="BY128" i="3" l="1"/>
  <c r="BX127" i="3"/>
  <c r="BX128" i="3" l="1"/>
  <c r="BY129" i="3"/>
  <c r="BY130" i="3" l="1"/>
  <c r="BX129" i="3"/>
  <c r="BX130" i="3" l="1"/>
  <c r="BY131" i="3"/>
  <c r="BX131" i="3" l="1"/>
  <c r="BY132" i="3"/>
  <c r="BY133" i="3" l="1"/>
  <c r="BX132" i="3"/>
  <c r="BY134" i="3" l="1"/>
  <c r="BX133" i="3"/>
  <c r="BX134" i="3" l="1"/>
  <c r="BY135" i="3"/>
  <c r="BX135" i="3" l="1"/>
  <c r="BY136" i="3"/>
  <c r="BY137" i="3" l="1"/>
  <c r="BX136" i="3"/>
  <c r="BX137" i="3" l="1"/>
  <c r="BY138" i="3"/>
  <c r="BY139" i="3" l="1"/>
  <c r="BX138" i="3"/>
  <c r="BY140" i="3" l="1"/>
  <c r="BX139" i="3"/>
  <c r="BX140" i="3" l="1"/>
  <c r="BY141" i="3"/>
  <c r="BX141" i="3" l="1"/>
  <c r="BY142" i="3"/>
  <c r="BY143" i="3" l="1"/>
  <c r="BX142" i="3"/>
  <c r="BX143" i="3" l="1"/>
  <c r="BY144" i="3"/>
  <c r="BX144" i="3" l="1"/>
  <c r="BY145" i="3"/>
  <c r="BX145" i="3" l="1"/>
  <c r="BY146" i="3"/>
  <c r="BX146" i="3" l="1"/>
  <c r="BY147" i="3"/>
  <c r="BX147" i="3" l="1"/>
  <c r="BY148" i="3"/>
  <c r="BY149" i="3" l="1"/>
  <c r="BX148" i="3"/>
  <c r="BX149" i="3" l="1"/>
  <c r="BY150" i="3"/>
  <c r="BY151" i="3" l="1"/>
  <c r="BX150" i="3"/>
  <c r="BY152" i="3" l="1"/>
  <c r="BX151" i="3"/>
  <c r="BX152" i="3" l="1"/>
  <c r="BY153" i="3"/>
  <c r="BX153" i="3" l="1"/>
  <c r="BY154" i="3"/>
  <c r="BY155" i="3" l="1"/>
  <c r="BX154" i="3"/>
  <c r="BX155" i="3" l="1"/>
  <c r="BY156" i="3"/>
  <c r="BY157" i="3" l="1"/>
  <c r="BX156" i="3"/>
  <c r="BY158" i="3" l="1"/>
  <c r="BX157" i="3"/>
  <c r="BX158" i="3" l="1"/>
  <c r="BY159" i="3"/>
  <c r="BX159" i="3" l="1"/>
  <c r="BY160" i="3"/>
  <c r="BY161" i="3" l="1"/>
  <c r="BX160" i="3"/>
  <c r="BX161" i="3" l="1"/>
  <c r="BY162" i="3"/>
  <c r="BX162" i="3" l="1"/>
  <c r="BY163" i="3"/>
  <c r="BX163" i="3" l="1"/>
  <c r="BY164" i="3"/>
  <c r="BX164" i="3" l="1"/>
  <c r="BY165" i="3"/>
  <c r="BX165" i="3" l="1"/>
  <c r="BY166" i="3"/>
  <c r="BY167" i="3" l="1"/>
  <c r="BX166" i="3"/>
  <c r="BX167" i="3" l="1"/>
  <c r="BY168" i="3"/>
  <c r="BY169" i="3" l="1"/>
  <c r="BX168" i="3"/>
  <c r="BY170" i="3" l="1"/>
  <c r="BX169" i="3"/>
  <c r="BX170" i="3" l="1"/>
  <c r="BY171" i="3"/>
  <c r="BX171" i="3" l="1"/>
  <c r="BY172" i="3"/>
  <c r="BY173" i="3" l="1"/>
  <c r="BX172" i="3"/>
  <c r="BX173" i="3" l="1"/>
  <c r="BY174" i="3"/>
  <c r="BY175" i="3" l="1"/>
  <c r="BX174" i="3"/>
  <c r="BY176" i="3" l="1"/>
  <c r="BX175" i="3"/>
  <c r="BX176" i="3" l="1"/>
  <c r="BY177" i="3"/>
  <c r="BX177" i="3" l="1"/>
  <c r="BY178" i="3"/>
  <c r="BY179" i="3" l="1"/>
  <c r="BX178" i="3"/>
  <c r="BX179" i="3" l="1"/>
  <c r="BY180" i="3"/>
  <c r="BX180" i="3" l="1"/>
  <c r="BY181" i="3"/>
  <c r="BX181" i="3" l="1"/>
  <c r="BY182" i="3"/>
  <c r="BX182" i="3" l="1"/>
  <c r="BY183" i="3"/>
  <c r="BX183" i="3" l="1"/>
  <c r="BY184" i="3"/>
  <c r="BY185" i="3" l="1"/>
  <c r="BX184" i="3"/>
  <c r="BX185" i="3" l="1"/>
  <c r="BY186" i="3"/>
  <c r="BY187" i="3" l="1"/>
  <c r="BX186" i="3"/>
  <c r="BY188" i="3" l="1"/>
  <c r="BX187" i="3"/>
  <c r="BX188" i="3" l="1"/>
  <c r="BY189" i="3"/>
  <c r="BX189" i="3" l="1"/>
  <c r="BY190" i="3"/>
  <c r="BY191" i="3" l="1"/>
  <c r="BX190" i="3"/>
  <c r="BX191" i="3" l="1"/>
  <c r="BY192" i="3"/>
  <c r="BY193" i="3" l="1"/>
  <c r="BX192" i="3"/>
  <c r="BY194" i="3" l="1"/>
  <c r="BX193" i="3"/>
  <c r="BX194" i="3" l="1"/>
  <c r="BY195" i="3"/>
  <c r="BX195" i="3" l="1"/>
  <c r="BY196" i="3"/>
  <c r="BY197" i="3" l="1"/>
  <c r="BX196" i="3"/>
  <c r="BX197" i="3" l="1"/>
  <c r="BY198" i="3"/>
  <c r="BX198" i="3" l="1"/>
  <c r="BY199" i="3"/>
  <c r="BX199" i="3" l="1"/>
  <c r="BY200" i="3"/>
  <c r="BX200" i="3" l="1"/>
  <c r="BY201" i="3"/>
  <c r="BX201" i="3" l="1"/>
  <c r="BY202" i="3"/>
  <c r="BY203" i="3" l="1"/>
  <c r="BX202" i="3"/>
  <c r="BX203" i="3" l="1"/>
  <c r="BY204" i="3"/>
  <c r="BY205" i="3" l="1"/>
  <c r="BX204" i="3"/>
  <c r="BY206" i="3" l="1"/>
  <c r="BX205" i="3"/>
  <c r="BX206" i="3" l="1"/>
  <c r="BY207" i="3"/>
  <c r="BX207" i="3" l="1"/>
  <c r="BY208" i="3"/>
  <c r="BY209" i="3" l="1"/>
  <c r="BX208" i="3"/>
  <c r="BX209" i="3" l="1"/>
  <c r="BY210" i="3"/>
  <c r="BY211" i="3" l="1"/>
  <c r="BX210" i="3"/>
  <c r="BY212" i="3" l="1"/>
  <c r="BX211" i="3"/>
  <c r="BX212" i="3" l="1"/>
  <c r="BY213" i="3"/>
  <c r="BX213" i="3" l="1"/>
  <c r="BY214" i="3"/>
  <c r="BY215" i="3" l="1"/>
  <c r="BX214" i="3"/>
  <c r="BX215" i="3" l="1"/>
  <c r="BY216" i="3"/>
  <c r="BX216" i="3" l="1"/>
  <c r="BY217" i="3"/>
  <c r="BX217" i="3" l="1"/>
  <c r="BY218" i="3"/>
  <c r="BX218" i="3" l="1"/>
  <c r="BY219" i="3"/>
  <c r="BX219" i="3" l="1"/>
  <c r="BY220" i="3"/>
  <c r="BY221" i="3" l="1"/>
  <c r="BX220" i="3"/>
  <c r="BX221" i="3" l="1"/>
  <c r="BY222" i="3"/>
  <c r="BY223" i="3" l="1"/>
  <c r="BX222" i="3"/>
  <c r="BY224" i="3" l="1"/>
  <c r="BX223" i="3"/>
  <c r="BX224" i="3" l="1"/>
  <c r="BY225" i="3"/>
  <c r="BX225" i="3" l="1"/>
  <c r="BY226" i="3"/>
  <c r="BY227" i="3" l="1"/>
  <c r="BX226" i="3"/>
  <c r="BX227" i="3" l="1"/>
  <c r="BY228" i="3"/>
  <c r="BY229" i="3" l="1"/>
  <c r="BX228" i="3"/>
  <c r="BY230" i="3" l="1"/>
  <c r="BX229" i="3"/>
  <c r="BX230" i="3" l="1"/>
  <c r="BY231" i="3"/>
  <c r="BX231" i="3" l="1"/>
  <c r="BY232" i="3"/>
  <c r="BY233" i="3" l="1"/>
  <c r="BX232" i="3"/>
  <c r="BX233" i="3" l="1"/>
  <c r="BY234" i="3"/>
  <c r="BX234" i="3" l="1"/>
  <c r="BY235" i="3"/>
  <c r="BX235" i="3" l="1"/>
  <c r="BY236" i="3"/>
  <c r="BX236" i="3" l="1"/>
  <c r="BY237" i="3"/>
  <c r="BX237" i="3" l="1"/>
  <c r="BY238" i="3"/>
  <c r="BY239" i="3" l="1"/>
  <c r="BX238" i="3"/>
  <c r="BX239" i="3" l="1"/>
  <c r="BY240" i="3"/>
  <c r="BY241" i="3" l="1"/>
  <c r="BX240" i="3"/>
  <c r="BY242" i="3" l="1"/>
  <c r="BX241" i="3"/>
  <c r="BX242" i="3" l="1"/>
  <c r="BY243" i="3"/>
  <c r="BX243" i="3" l="1"/>
  <c r="BY244" i="3"/>
  <c r="BY245" i="3" l="1"/>
  <c r="BX244" i="3"/>
  <c r="BX245" i="3" l="1"/>
  <c r="BY246" i="3"/>
  <c r="BY247" i="3" l="1"/>
  <c r="BX246" i="3"/>
  <c r="BY248" i="3" l="1"/>
  <c r="BX247" i="3"/>
  <c r="BX248" i="3" l="1"/>
  <c r="BY249" i="3"/>
  <c r="BX249" i="3" l="1"/>
  <c r="BY250" i="3"/>
  <c r="BY251" i="3" l="1"/>
  <c r="BX250" i="3"/>
  <c r="BX251" i="3" l="1"/>
  <c r="BY252" i="3"/>
  <c r="BX252" i="3" l="1"/>
  <c r="BY253" i="3"/>
  <c r="BX253" i="3" l="1"/>
  <c r="BY254" i="3"/>
  <c r="BX254" i="3" l="1"/>
  <c r="BY255" i="3"/>
  <c r="BX255" i="3" l="1"/>
  <c r="BY256" i="3"/>
  <c r="BY257" i="3" l="1"/>
  <c r="BX256" i="3"/>
  <c r="BX257" i="3" l="1"/>
  <c r="BY258" i="3"/>
  <c r="BY259" i="3" l="1"/>
  <c r="BX258" i="3"/>
  <c r="BY260" i="3" l="1"/>
  <c r="BX259" i="3"/>
  <c r="BX260" i="3" l="1"/>
  <c r="BY261" i="3"/>
  <c r="BX261" i="3" l="1"/>
  <c r="BY262" i="3"/>
  <c r="BY263" i="3" l="1"/>
  <c r="BX262" i="3"/>
  <c r="BX263" i="3" l="1"/>
  <c r="BY264" i="3"/>
  <c r="BY265" i="3" l="1"/>
  <c r="BX264" i="3"/>
  <c r="BY266" i="3" l="1"/>
  <c r="BX265" i="3"/>
  <c r="BX266" i="3" l="1"/>
  <c r="BY267" i="3"/>
  <c r="BX267" i="3" l="1"/>
  <c r="BY268" i="3"/>
  <c r="BY269" i="3" l="1"/>
  <c r="BX268" i="3"/>
  <c r="BX269" i="3" l="1"/>
  <c r="BY270" i="3"/>
  <c r="BX270" i="3" l="1"/>
  <c r="BY271" i="3"/>
  <c r="BX271" i="3" l="1"/>
  <c r="BY272" i="3"/>
  <c r="BX272" i="3" l="1"/>
  <c r="BY273" i="3"/>
  <c r="BX273" i="3" l="1"/>
  <c r="BY274" i="3"/>
  <c r="BY275" i="3" l="1"/>
  <c r="BX274" i="3"/>
  <c r="BX275" i="3" l="1"/>
  <c r="BY276" i="3"/>
  <c r="BY277" i="3" l="1"/>
  <c r="BX276" i="3"/>
  <c r="BY278" i="3" l="1"/>
  <c r="BX277" i="3"/>
  <c r="BX278" i="3" l="1"/>
  <c r="BY279" i="3"/>
  <c r="BX279" i="3" l="1"/>
  <c r="BY280" i="3"/>
  <c r="BY281" i="3" l="1"/>
  <c r="BX280" i="3"/>
  <c r="BX281" i="3" l="1"/>
  <c r="BY282" i="3"/>
  <c r="BY283" i="3" l="1"/>
  <c r="BX282" i="3"/>
  <c r="BY284" i="3" l="1"/>
  <c r="BX283" i="3"/>
  <c r="BX284" i="3" l="1"/>
  <c r="BY285" i="3"/>
  <c r="BX285" i="3" l="1"/>
  <c r="BY286" i="3"/>
  <c r="BY287" i="3" l="1"/>
  <c r="BX286" i="3"/>
  <c r="BX287" i="3" l="1"/>
  <c r="BY288" i="3"/>
  <c r="BX288" i="3" l="1"/>
  <c r="BY289" i="3"/>
  <c r="BX289" i="3" l="1"/>
  <c r="BY290" i="3"/>
  <c r="BX290" i="3" l="1"/>
  <c r="BY291" i="3"/>
  <c r="BX291" i="3" l="1"/>
  <c r="BY292" i="3"/>
  <c r="BY293" i="3" l="1"/>
  <c r="BX292" i="3"/>
  <c r="BX293" i="3" l="1"/>
  <c r="BY294" i="3"/>
  <c r="BY295" i="3" l="1"/>
  <c r="BX294" i="3"/>
  <c r="BY296" i="3" l="1"/>
  <c r="BX295" i="3"/>
  <c r="BX296" i="3" l="1"/>
  <c r="BY297" i="3"/>
  <c r="BX297" i="3" l="1"/>
  <c r="BY298" i="3"/>
  <c r="BY299" i="3" l="1"/>
  <c r="BX298" i="3"/>
  <c r="BX299" i="3" l="1"/>
  <c r="BY300" i="3"/>
  <c r="BY301" i="3" l="1"/>
  <c r="BX300" i="3"/>
  <c r="BY302" i="3" l="1"/>
  <c r="BX301" i="3"/>
  <c r="BX302" i="3" l="1"/>
  <c r="BY303" i="3"/>
  <c r="BX303" i="3" l="1"/>
  <c r="BY304" i="3"/>
  <c r="BY305" i="3" l="1"/>
  <c r="BX304" i="3"/>
  <c r="BX305" i="3" l="1"/>
  <c r="BY306" i="3"/>
  <c r="BX306" i="3" l="1"/>
  <c r="BY307" i="3"/>
  <c r="BX307" i="3" l="1"/>
  <c r="BY308" i="3"/>
  <c r="BX308" i="3" l="1"/>
  <c r="BY309" i="3"/>
  <c r="BX309" i="3" l="1"/>
  <c r="BY310" i="3"/>
  <c r="BY311" i="3" l="1"/>
  <c r="BX310" i="3"/>
  <c r="BX311" i="3" l="1"/>
  <c r="BY312" i="3"/>
  <c r="BY313" i="3" l="1"/>
  <c r="BX312" i="3"/>
  <c r="BY314" i="3" l="1"/>
  <c r="BX313" i="3"/>
  <c r="BX314" i="3" l="1"/>
  <c r="BY315" i="3"/>
  <c r="BX315" i="3" l="1"/>
  <c r="BY316" i="3"/>
  <c r="BY317" i="3" l="1"/>
  <c r="BX316" i="3"/>
  <c r="BX317" i="3" l="1"/>
  <c r="BY318" i="3"/>
  <c r="BY319" i="3" l="1"/>
  <c r="BX318" i="3"/>
  <c r="BY320" i="3" l="1"/>
  <c r="BX319" i="3"/>
  <c r="BX320" i="3" l="1"/>
  <c r="BY321" i="3"/>
  <c r="BX321" i="3" l="1"/>
  <c r="BY322" i="3"/>
  <c r="BY323" i="3" l="1"/>
  <c r="BX322" i="3"/>
  <c r="BX323" i="3" l="1"/>
  <c r="BY324" i="3"/>
  <c r="BX324" i="3" l="1"/>
  <c r="BY325" i="3"/>
  <c r="BX325" i="3" l="1"/>
  <c r="BY326" i="3"/>
  <c r="BX326" i="3" l="1"/>
  <c r="BY327" i="3"/>
  <c r="BX327" i="3" l="1"/>
  <c r="BY328" i="3"/>
  <c r="BY329" i="3" l="1"/>
  <c r="BX328" i="3"/>
  <c r="BX329" i="3" l="1"/>
  <c r="BY330" i="3"/>
  <c r="BY331" i="3" l="1"/>
  <c r="BX330" i="3"/>
  <c r="BY332" i="3" l="1"/>
  <c r="BX331" i="3"/>
  <c r="BX332" i="3" l="1"/>
  <c r="BY333" i="3"/>
  <c r="BX333" i="3" l="1"/>
  <c r="BY334" i="3"/>
  <c r="BY335" i="3" l="1"/>
  <c r="BX334" i="3"/>
  <c r="BX335" i="3" l="1"/>
  <c r="BY336" i="3"/>
  <c r="BY337" i="3" l="1"/>
  <c r="BX336" i="3"/>
  <c r="BY338" i="3" l="1"/>
  <c r="BX337" i="3"/>
  <c r="BX338" i="3" l="1"/>
  <c r="BY339" i="3"/>
  <c r="BX339" i="3" l="1"/>
  <c r="BY340" i="3"/>
  <c r="BY341" i="3" l="1"/>
  <c r="BX340" i="3"/>
  <c r="BX341" i="3" l="1"/>
  <c r="BY342" i="3"/>
  <c r="BX342" i="3" l="1"/>
  <c r="BY343" i="3"/>
  <c r="BX343" i="3" l="1"/>
  <c r="BY344" i="3"/>
  <c r="BX344" i="3" l="1"/>
  <c r="BY345" i="3"/>
  <c r="BX345" i="3" l="1"/>
  <c r="BY346" i="3"/>
  <c r="BY347" i="3" l="1"/>
  <c r="BX346" i="3"/>
  <c r="BX347" i="3" l="1"/>
  <c r="BY348" i="3"/>
  <c r="BY349" i="3" l="1"/>
  <c r="BX348" i="3"/>
  <c r="BY350" i="3" l="1"/>
  <c r="BX349" i="3"/>
  <c r="BX350" i="3" l="1"/>
  <c r="BY351" i="3"/>
  <c r="BX351" i="3" l="1"/>
  <c r="BY352" i="3"/>
  <c r="BY353" i="3" l="1"/>
  <c r="BX352" i="3"/>
  <c r="BX353" i="3" l="1"/>
  <c r="BY354" i="3"/>
  <c r="BY355" i="3" l="1"/>
  <c r="BX354" i="3"/>
  <c r="BY356" i="3" l="1"/>
  <c r="BX355" i="3"/>
  <c r="BX356" i="3" l="1"/>
  <c r="BY357" i="3"/>
  <c r="BX357" i="3" l="1"/>
  <c r="BY358" i="3"/>
  <c r="BY359" i="3" l="1"/>
  <c r="BX358" i="3"/>
  <c r="BX359" i="3" l="1"/>
  <c r="BY360" i="3"/>
  <c r="BX360" i="3" l="1"/>
  <c r="BY361" i="3"/>
  <c r="BX361" i="3" l="1"/>
  <c r="BY362" i="3"/>
  <c r="BX362" i="3" l="1"/>
  <c r="BY363" i="3"/>
  <c r="BX363" i="3" l="1"/>
  <c r="BY364" i="3"/>
  <c r="BY365" i="3" l="1"/>
  <c r="BX364" i="3"/>
  <c r="BX365" i="3" l="1"/>
  <c r="BY366" i="3"/>
  <c r="BY367" i="3" l="1"/>
  <c r="BX366" i="3"/>
  <c r="BY368" i="3" l="1"/>
  <c r="BX367" i="3"/>
  <c r="BX368" i="3" l="1"/>
  <c r="BY369" i="3"/>
  <c r="BX369" i="3" l="1"/>
  <c r="BY370" i="3"/>
  <c r="BY371" i="3" l="1"/>
  <c r="BX370" i="3"/>
  <c r="BX371" i="3" l="1"/>
  <c r="BY372" i="3"/>
  <c r="BY373" i="3" l="1"/>
  <c r="BX372" i="3"/>
  <c r="BY374" i="3" l="1"/>
  <c r="BX373" i="3"/>
  <c r="BX374" i="3" l="1"/>
  <c r="BY375" i="3"/>
  <c r="BX375" i="3" l="1"/>
  <c r="BY376" i="3"/>
  <c r="BY377" i="3" l="1"/>
  <c r="BX376" i="3"/>
  <c r="BX377" i="3" l="1"/>
  <c r="BY378" i="3"/>
  <c r="BX378" i="3" l="1"/>
  <c r="BY379" i="3"/>
  <c r="BX379" i="3" l="1"/>
  <c r="BY380" i="3"/>
  <c r="BX380" i="3" l="1"/>
  <c r="BY381" i="3"/>
  <c r="BX381" i="3" l="1"/>
  <c r="BY382" i="3"/>
  <c r="BY383" i="3" l="1"/>
  <c r="BX382" i="3"/>
  <c r="BX383" i="3" l="1"/>
  <c r="BY384" i="3"/>
  <c r="BY385" i="3" l="1"/>
  <c r="BX384" i="3"/>
  <c r="BY386" i="3" l="1"/>
  <c r="BX385" i="3"/>
  <c r="BX386" i="3" l="1"/>
  <c r="BY387" i="3"/>
  <c r="BX387" i="3" l="1"/>
  <c r="BY388" i="3"/>
  <c r="BY389" i="3" l="1"/>
  <c r="BX388" i="3"/>
  <c r="BX389" i="3" l="1"/>
  <c r="BY390" i="3"/>
  <c r="BY391" i="3" l="1"/>
  <c r="BX390" i="3"/>
  <c r="BY392" i="3" l="1"/>
  <c r="BX391" i="3"/>
  <c r="BX392" i="3" l="1"/>
  <c r="BY393" i="3"/>
  <c r="BX393" i="3" l="1"/>
  <c r="BY394" i="3"/>
  <c r="BY395" i="3" l="1"/>
  <c r="BX394" i="3"/>
  <c r="BX395" i="3" l="1"/>
  <c r="BY396" i="3"/>
  <c r="BX396" i="3" l="1"/>
  <c r="BY397" i="3"/>
  <c r="BX397" i="3" l="1"/>
  <c r="BY398" i="3"/>
  <c r="BX398" i="3" l="1"/>
  <c r="BY399" i="3"/>
  <c r="BX399" i="3" l="1"/>
  <c r="BY400" i="3"/>
  <c r="BY401" i="3" l="1"/>
  <c r="BX400" i="3"/>
  <c r="BX401" i="3" l="1"/>
  <c r="BY402" i="3"/>
  <c r="BY403" i="3" l="1"/>
  <c r="BX402" i="3"/>
  <c r="BY404" i="3" l="1"/>
  <c r="BX403" i="3"/>
  <c r="BX404" i="3" l="1"/>
  <c r="BY405" i="3"/>
  <c r="BX405" i="3" l="1"/>
  <c r="BY406" i="3"/>
  <c r="BY407" i="3" l="1"/>
  <c r="BX406" i="3"/>
  <c r="BX407" i="3" l="1"/>
  <c r="BY408" i="3"/>
  <c r="BY409" i="3" l="1"/>
  <c r="BX408" i="3"/>
  <c r="BY410" i="3" l="1"/>
  <c r="BX409" i="3"/>
  <c r="BX410" i="3" l="1"/>
  <c r="BY411" i="3"/>
  <c r="BX411" i="3" l="1"/>
  <c r="BY412" i="3"/>
  <c r="BY413" i="3" l="1"/>
  <c r="BX412" i="3"/>
  <c r="BY414" i="3" l="1"/>
  <c r="BX413" i="3"/>
  <c r="BY415" i="3" l="1"/>
  <c r="BX414" i="3"/>
  <c r="BX415" i="3" l="1"/>
  <c r="BY416" i="3"/>
  <c r="BX416" i="3" l="1"/>
  <c r="BY417" i="3"/>
  <c r="BX417" i="3" l="1"/>
  <c r="BY418" i="3"/>
  <c r="BY419" i="3" l="1"/>
  <c r="BX418" i="3"/>
  <c r="BY420" i="3" l="1"/>
  <c r="BX419" i="3"/>
  <c r="BY421" i="3" l="1"/>
  <c r="BX420" i="3"/>
  <c r="BY422" i="3" l="1"/>
  <c r="BX421" i="3"/>
  <c r="BX422" i="3" l="1"/>
  <c r="BY423" i="3"/>
  <c r="BX423" i="3" l="1"/>
  <c r="BY424" i="3"/>
  <c r="BY425" i="3" l="1"/>
  <c r="BX424" i="3"/>
  <c r="BY426" i="3" l="1"/>
  <c r="BX425" i="3"/>
  <c r="BX426" i="3" l="1"/>
  <c r="BY427" i="3"/>
  <c r="BY428" i="3" l="1"/>
  <c r="BX427" i="3"/>
  <c r="BX428" i="3" l="1"/>
  <c r="BY429" i="3"/>
  <c r="BX429" i="3" l="1"/>
  <c r="BY430" i="3"/>
  <c r="BY431" i="3" l="1"/>
  <c r="BX430" i="3"/>
  <c r="BY432" i="3" l="1"/>
  <c r="BX431" i="3"/>
  <c r="BY433" i="3" l="1"/>
  <c r="BX432" i="3"/>
  <c r="BY434" i="3" l="1"/>
  <c r="BX433" i="3"/>
  <c r="BX434" i="3" l="1"/>
  <c r="BY435" i="3"/>
  <c r="BX435" i="3" l="1"/>
  <c r="BY436" i="3"/>
  <c r="BY437" i="3" l="1"/>
  <c r="BX436" i="3"/>
  <c r="BY438" i="3" l="1"/>
  <c r="BX437" i="3"/>
  <c r="BY439" i="3" l="1"/>
  <c r="BX438" i="3"/>
  <c r="BY440" i="3" l="1"/>
  <c r="BX439" i="3"/>
  <c r="BX440" i="3" l="1"/>
  <c r="BY441" i="3"/>
  <c r="BX441" i="3" l="1"/>
  <c r="BY442" i="3"/>
  <c r="BY443" i="3" l="1"/>
  <c r="BX442" i="3"/>
  <c r="BY444" i="3" l="1"/>
  <c r="BX443" i="3"/>
  <c r="BY445" i="3" l="1"/>
  <c r="BX444" i="3"/>
  <c r="BY446" i="3" l="1"/>
  <c r="BX445" i="3"/>
  <c r="BX446" i="3" l="1"/>
  <c r="BY447" i="3"/>
  <c r="BX447" i="3" l="1"/>
  <c r="BY448" i="3"/>
  <c r="BY449" i="3" l="1"/>
  <c r="BX448" i="3"/>
  <c r="BY450" i="3" l="1"/>
  <c r="BX449" i="3"/>
  <c r="BY451" i="3" l="1"/>
  <c r="BX450" i="3"/>
  <c r="BY452" i="3" l="1"/>
  <c r="BX451" i="3"/>
  <c r="BX452" i="3" l="1"/>
  <c r="BY453" i="3"/>
  <c r="BX453" i="3" l="1"/>
  <c r="BY454" i="3"/>
  <c r="BY455" i="3" l="1"/>
  <c r="BX454" i="3"/>
  <c r="BY456" i="3" l="1"/>
  <c r="BX455" i="3"/>
  <c r="BX456" i="3" l="1"/>
  <c r="BY457" i="3"/>
  <c r="BX457" i="3" l="1"/>
  <c r="BY458" i="3"/>
  <c r="BX458" i="3" l="1"/>
  <c r="BY459" i="3"/>
  <c r="BX459" i="3" l="1"/>
  <c r="BY460" i="3"/>
  <c r="BY461" i="3" l="1"/>
  <c r="BX460" i="3"/>
  <c r="BY462" i="3" l="1"/>
  <c r="BX461" i="3"/>
  <c r="BY463" i="3" l="1"/>
  <c r="BX462" i="3"/>
  <c r="BY464" i="3" l="1"/>
  <c r="BX463" i="3"/>
  <c r="BX464" i="3" l="1"/>
  <c r="BY465" i="3"/>
  <c r="BX465" i="3" l="1"/>
  <c r="BY466" i="3"/>
  <c r="BY467" i="3" l="1"/>
  <c r="BX466" i="3"/>
  <c r="BY468" i="3" l="1"/>
  <c r="BX467" i="3"/>
  <c r="BY469" i="3" l="1"/>
  <c r="BX468" i="3"/>
  <c r="BY470" i="3" l="1"/>
  <c r="BX469" i="3"/>
  <c r="BX470" i="3" l="1"/>
  <c r="BY471" i="3"/>
  <c r="BX471" i="3" l="1"/>
  <c r="BY472" i="3"/>
  <c r="BY473" i="3" l="1"/>
  <c r="BX472" i="3"/>
  <c r="BY474" i="3" l="1"/>
  <c r="BX473" i="3"/>
  <c r="BY475" i="3" l="1"/>
  <c r="BX474" i="3"/>
  <c r="BY476" i="3" l="1"/>
  <c r="BX475" i="3"/>
  <c r="BX476" i="3" l="1"/>
  <c r="BY477" i="3"/>
  <c r="BX477" i="3" l="1"/>
  <c r="BY478" i="3"/>
  <c r="BY479" i="3" l="1"/>
  <c r="BX478" i="3"/>
  <c r="BY480" i="3" l="1"/>
  <c r="BX479" i="3"/>
  <c r="BY481" i="3" l="1"/>
  <c r="BX480" i="3"/>
  <c r="BY482" i="3" l="1"/>
  <c r="BX481" i="3"/>
  <c r="BX482" i="3" l="1"/>
  <c r="BY483" i="3"/>
  <c r="BX483" i="3" l="1"/>
  <c r="BY484" i="3"/>
  <c r="BY485" i="3" l="1"/>
  <c r="BX484" i="3"/>
  <c r="BY486" i="3" l="1"/>
  <c r="BX485" i="3"/>
  <c r="BY487" i="3" l="1"/>
  <c r="BX486" i="3"/>
  <c r="BX487" i="3" l="1"/>
  <c r="BY488" i="3"/>
  <c r="BX488" i="3" l="1"/>
  <c r="BY489" i="3"/>
  <c r="BX489" i="3" l="1"/>
  <c r="BY490" i="3"/>
  <c r="BY491" i="3" l="1"/>
  <c r="BX490" i="3"/>
  <c r="BY492" i="3" l="1"/>
  <c r="BX491" i="3"/>
  <c r="BY493" i="3" l="1"/>
  <c r="BX492" i="3"/>
  <c r="BY494" i="3" l="1"/>
  <c r="BX493" i="3"/>
  <c r="BX494" i="3" l="1"/>
  <c r="BY495" i="3"/>
  <c r="BX495" i="3" l="1"/>
  <c r="BY496" i="3"/>
  <c r="BY497" i="3" l="1"/>
  <c r="BX496" i="3"/>
  <c r="BY498" i="3" l="1"/>
  <c r="BX497" i="3"/>
  <c r="BX498" i="3" l="1"/>
  <c r="BY499" i="3"/>
  <c r="BY500" i="3" l="1"/>
  <c r="BX499" i="3"/>
  <c r="BX500" i="3" l="1"/>
  <c r="BY501" i="3"/>
  <c r="BX501" i="3" l="1"/>
  <c r="BY502" i="3"/>
  <c r="BY503" i="3" l="1"/>
  <c r="BX502" i="3"/>
  <c r="BY504" i="3" l="1"/>
  <c r="BX503" i="3"/>
  <c r="BY505" i="3" l="1"/>
  <c r="BX504" i="3"/>
  <c r="BY506" i="3" l="1"/>
  <c r="BX505" i="3"/>
  <c r="BX506" i="3" l="1"/>
  <c r="BY507" i="3"/>
  <c r="BX507" i="3" l="1"/>
  <c r="BY508" i="3"/>
  <c r="BY509" i="3" l="1"/>
  <c r="BX508" i="3"/>
  <c r="BY510" i="3" l="1"/>
  <c r="BX509" i="3"/>
  <c r="BY511" i="3" l="1"/>
  <c r="BX510" i="3"/>
  <c r="BY512" i="3" l="1"/>
  <c r="BX511" i="3"/>
  <c r="BX512" i="3" l="1"/>
  <c r="BY513" i="3"/>
  <c r="BX513" i="3" l="1"/>
  <c r="BY514" i="3"/>
  <c r="BY515" i="3" l="1"/>
  <c r="BX514" i="3"/>
  <c r="BY516" i="3" l="1"/>
  <c r="BX515" i="3"/>
  <c r="BY517" i="3" l="1"/>
  <c r="BX516" i="3"/>
  <c r="BY518" i="3" l="1"/>
  <c r="BX517" i="3"/>
  <c r="BX518" i="3" l="1"/>
  <c r="BY519" i="3"/>
  <c r="BX519" i="3" l="1"/>
  <c r="BY520" i="3"/>
  <c r="BY521" i="3" l="1"/>
  <c r="BX520" i="3"/>
  <c r="BY522" i="3" l="1"/>
  <c r="BX521" i="3"/>
  <c r="BY523" i="3" l="1"/>
  <c r="BX522" i="3"/>
  <c r="BY524" i="3" l="1"/>
  <c r="BX523" i="3"/>
  <c r="BY525" i="3" l="1"/>
  <c r="BX524" i="3"/>
  <c r="BX525" i="3" l="1"/>
  <c r="BY526" i="3"/>
  <c r="BY527" i="3" l="1"/>
  <c r="BX526" i="3"/>
  <c r="BY528" i="3" l="1"/>
  <c r="BX527" i="3"/>
  <c r="BY529" i="3" l="1"/>
  <c r="BX528" i="3"/>
  <c r="BX529" i="3" l="1"/>
  <c r="BY530" i="3"/>
  <c r="BY531" i="3" l="1"/>
  <c r="BX530" i="3"/>
  <c r="BX531" i="3" l="1"/>
  <c r="BY532" i="3"/>
  <c r="BY533" i="3" l="1"/>
  <c r="BX532" i="3"/>
  <c r="BY534" i="3" l="1"/>
  <c r="BX533" i="3"/>
  <c r="BY535" i="3" l="1"/>
  <c r="BX534" i="3"/>
  <c r="BY536" i="3" l="1"/>
  <c r="BX535" i="3"/>
  <c r="BY537" i="3" l="1"/>
  <c r="BX536" i="3"/>
  <c r="BX537" i="3" l="1"/>
  <c r="BY538" i="3"/>
  <c r="BY539" i="3" l="1"/>
  <c r="BX538" i="3"/>
  <c r="BY540" i="3" l="1"/>
  <c r="BX539" i="3"/>
  <c r="BY541" i="3" l="1"/>
  <c r="BX540" i="3"/>
  <c r="BX541" i="3" l="1"/>
  <c r="BY542" i="3"/>
  <c r="BY543" i="3" l="1"/>
  <c r="BX542" i="3"/>
  <c r="BX543" i="3" l="1"/>
  <c r="BY544" i="3"/>
  <c r="BY545" i="3" l="1"/>
  <c r="BX544" i="3"/>
  <c r="BY546" i="3" l="1"/>
  <c r="BX545" i="3"/>
  <c r="BY547" i="3" l="1"/>
  <c r="BX546" i="3"/>
  <c r="BY548" i="3" l="1"/>
  <c r="BX547" i="3"/>
  <c r="BY549" i="3" l="1"/>
  <c r="BX548" i="3"/>
  <c r="BX549" i="3" l="1"/>
  <c r="BY550" i="3"/>
  <c r="BY551" i="3" l="1"/>
  <c r="BX550" i="3"/>
  <c r="BY552" i="3" l="1"/>
  <c r="BX551" i="3"/>
  <c r="BY553" i="3" l="1"/>
  <c r="BX552" i="3"/>
  <c r="BX553" i="3" l="1"/>
  <c r="BY554" i="3"/>
  <c r="BY555" i="3" l="1"/>
  <c r="BX554" i="3"/>
  <c r="BX555" i="3" l="1"/>
  <c r="BY556" i="3"/>
  <c r="BY557" i="3" l="1"/>
  <c r="BX556" i="3"/>
  <c r="BY558" i="3" l="1"/>
  <c r="BX557" i="3"/>
  <c r="BY559" i="3" l="1"/>
  <c r="BX558" i="3"/>
  <c r="BY560" i="3" l="1"/>
  <c r="BX559" i="3"/>
  <c r="BY561" i="3" l="1"/>
  <c r="BX560" i="3"/>
  <c r="BX561" i="3" l="1"/>
  <c r="BY562" i="3"/>
  <c r="BY563" i="3" l="1"/>
  <c r="BX562" i="3"/>
  <c r="BY564" i="3" l="1"/>
  <c r="BX563" i="3"/>
  <c r="BY565" i="3" l="1"/>
  <c r="BX564" i="3"/>
  <c r="BX565" i="3" l="1"/>
  <c r="BY566" i="3"/>
  <c r="BY567" i="3" l="1"/>
  <c r="BX566" i="3"/>
  <c r="BX567" i="3" l="1"/>
  <c r="BY568" i="3"/>
  <c r="BY569" i="3" l="1"/>
  <c r="BX568" i="3"/>
  <c r="BY570" i="3" l="1"/>
  <c r="BX569" i="3"/>
  <c r="BY571" i="3" l="1"/>
  <c r="BX570" i="3"/>
  <c r="BY572" i="3" l="1"/>
  <c r="BX571" i="3"/>
  <c r="BY573" i="3" l="1"/>
  <c r="BX572" i="3"/>
  <c r="BX573" i="3" l="1"/>
  <c r="BY574" i="3"/>
  <c r="BY575" i="3" l="1"/>
  <c r="BX574" i="3"/>
  <c r="BY576" i="3" l="1"/>
  <c r="BX575" i="3"/>
  <c r="BY577" i="3" l="1"/>
  <c r="BX576" i="3"/>
  <c r="BX577" i="3" l="1"/>
  <c r="BY578" i="3"/>
  <c r="BY579" i="3" l="1"/>
  <c r="BX578" i="3"/>
  <c r="BX579" i="3" l="1"/>
  <c r="BY580" i="3"/>
  <c r="BY581" i="3" l="1"/>
  <c r="BX580" i="3"/>
  <c r="BY582" i="3" l="1"/>
  <c r="BX581" i="3"/>
  <c r="BY583" i="3" l="1"/>
  <c r="BX582" i="3"/>
  <c r="BY584" i="3" l="1"/>
  <c r="BX583" i="3"/>
  <c r="BY585" i="3" l="1"/>
  <c r="BX584" i="3"/>
  <c r="BX585" i="3" l="1"/>
  <c r="BY586" i="3"/>
  <c r="BY587" i="3" l="1"/>
  <c r="BX586" i="3"/>
  <c r="BY588" i="3" l="1"/>
  <c r="BX587" i="3"/>
  <c r="BY589" i="3" l="1"/>
  <c r="BX588" i="3"/>
  <c r="BX589" i="3" l="1"/>
  <c r="BY590" i="3"/>
  <c r="BY591" i="3" l="1"/>
  <c r="BX590" i="3"/>
  <c r="BX591" i="3" l="1"/>
  <c r="BY592" i="3"/>
  <c r="BY593" i="3" l="1"/>
  <c r="BX592" i="3"/>
  <c r="BY594" i="3" l="1"/>
  <c r="BX593" i="3"/>
  <c r="BY595" i="3" l="1"/>
  <c r="BX594" i="3"/>
  <c r="BY596" i="3" l="1"/>
  <c r="BX595" i="3"/>
  <c r="BY597" i="3" l="1"/>
  <c r="BX596" i="3"/>
  <c r="BX597" i="3" l="1"/>
  <c r="BY598" i="3"/>
  <c r="BY599" i="3" l="1"/>
  <c r="BX598" i="3"/>
  <c r="BY600" i="3" l="1"/>
  <c r="BX599" i="3"/>
  <c r="BY601" i="3" l="1"/>
  <c r="BX600" i="3"/>
  <c r="BX601" i="3" l="1"/>
  <c r="BY602" i="3"/>
  <c r="BY603" i="3" l="1"/>
  <c r="BX602" i="3"/>
  <c r="BX603" i="3" l="1"/>
  <c r="BY604" i="3"/>
  <c r="BY605" i="3" l="1"/>
  <c r="BX604" i="3"/>
  <c r="BY606" i="3" l="1"/>
  <c r="BX605" i="3"/>
  <c r="BY607" i="3" l="1"/>
  <c r="BX606" i="3"/>
  <c r="BY608" i="3" l="1"/>
  <c r="BX607" i="3"/>
  <c r="BY609" i="3" l="1"/>
  <c r="BX608" i="3"/>
  <c r="BX609" i="3" l="1"/>
  <c r="BY610" i="3"/>
  <c r="BY611" i="3" l="1"/>
  <c r="BX610" i="3"/>
  <c r="BY612" i="3" l="1"/>
  <c r="BX611" i="3"/>
  <c r="BY613" i="3" l="1"/>
  <c r="BX612" i="3"/>
  <c r="BX613" i="3" l="1"/>
  <c r="BY614" i="3"/>
  <c r="BY615" i="3" l="1"/>
  <c r="BX614" i="3"/>
  <c r="BX615" i="3" l="1"/>
  <c r="BY616" i="3"/>
  <c r="BY617" i="3" l="1"/>
  <c r="BX616" i="3"/>
  <c r="BY618" i="3" l="1"/>
  <c r="BX617" i="3"/>
  <c r="BY619" i="3" l="1"/>
  <c r="BX618" i="3"/>
  <c r="BY620" i="3" l="1"/>
  <c r="BX619" i="3"/>
  <c r="BY621" i="3" l="1"/>
  <c r="BX620" i="3"/>
  <c r="BX621" i="3" l="1"/>
  <c r="BY622" i="3"/>
  <c r="BY623" i="3" l="1"/>
  <c r="BX622" i="3"/>
  <c r="BY624" i="3" l="1"/>
  <c r="BX623" i="3"/>
  <c r="BY625" i="3" l="1"/>
  <c r="BX624" i="3"/>
  <c r="BX625" i="3" l="1"/>
  <c r="BY626" i="3"/>
  <c r="BY627" i="3" l="1"/>
  <c r="BX626" i="3"/>
  <c r="BX627" i="3" l="1"/>
  <c r="BY628" i="3"/>
  <c r="BY629" i="3" l="1"/>
  <c r="BX628" i="3"/>
  <c r="BY630" i="3" l="1"/>
  <c r="BX629" i="3"/>
  <c r="BY631" i="3" l="1"/>
  <c r="BX630" i="3"/>
  <c r="BY632" i="3" l="1"/>
  <c r="BX631" i="3"/>
  <c r="BY633" i="3" l="1"/>
  <c r="BX632" i="3"/>
  <c r="BX633" i="3" l="1"/>
  <c r="BY634" i="3"/>
  <c r="BY635" i="3" l="1"/>
  <c r="BX634" i="3"/>
  <c r="BY636" i="3" l="1"/>
  <c r="BX635" i="3"/>
  <c r="BY637" i="3" l="1"/>
  <c r="BX636" i="3"/>
  <c r="BX637" i="3" l="1"/>
  <c r="BY638" i="3"/>
  <c r="BY639" i="3" l="1"/>
  <c r="BX638" i="3"/>
  <c r="BX639" i="3" l="1"/>
  <c r="BY640" i="3"/>
  <c r="BY641" i="3" l="1"/>
  <c r="BX640" i="3"/>
  <c r="BY642" i="3" l="1"/>
  <c r="BX641" i="3"/>
  <c r="BY643" i="3" l="1"/>
  <c r="BX642" i="3"/>
  <c r="BY644" i="3" l="1"/>
  <c r="BX643" i="3"/>
  <c r="BY645" i="3" l="1"/>
  <c r="BX644" i="3"/>
  <c r="BX645" i="3" l="1"/>
  <c r="BY646" i="3"/>
  <c r="BY647" i="3" l="1"/>
  <c r="BX646" i="3"/>
  <c r="BY648" i="3" l="1"/>
  <c r="BX647" i="3"/>
  <c r="BY649" i="3" l="1"/>
  <c r="BX648" i="3"/>
  <c r="BX649" i="3" l="1"/>
  <c r="BY650" i="3"/>
  <c r="BY651" i="3" l="1"/>
  <c r="BX650" i="3"/>
  <c r="BX651" i="3" l="1"/>
  <c r="BY652" i="3"/>
  <c r="BY653" i="3" l="1"/>
  <c r="BX652" i="3"/>
  <c r="BY654" i="3" l="1"/>
  <c r="BX653" i="3"/>
  <c r="BY655" i="3" l="1"/>
  <c r="BX654" i="3"/>
  <c r="BY656" i="3" l="1"/>
  <c r="BX655" i="3"/>
  <c r="BY657" i="3" l="1"/>
  <c r="BX656" i="3"/>
  <c r="BX657" i="3" l="1"/>
  <c r="BY658" i="3"/>
  <c r="BY659" i="3" l="1"/>
  <c r="BX658" i="3"/>
  <c r="BY660" i="3" l="1"/>
  <c r="BX659" i="3"/>
  <c r="BY661" i="3" l="1"/>
  <c r="BX660" i="3"/>
  <c r="BX661" i="3" l="1"/>
  <c r="BY662" i="3"/>
  <c r="BY663" i="3" l="1"/>
  <c r="BX662" i="3"/>
  <c r="BX663" i="3" l="1"/>
  <c r="BY664" i="3"/>
  <c r="BY665" i="3" l="1"/>
  <c r="BX664" i="3"/>
  <c r="BY666" i="3" l="1"/>
  <c r="BX665" i="3"/>
  <c r="BY667" i="3" l="1"/>
  <c r="BX666" i="3"/>
  <c r="BY668" i="3" l="1"/>
  <c r="BX667" i="3"/>
  <c r="BY669" i="3" l="1"/>
  <c r="BX668" i="3"/>
  <c r="BX669" i="3" l="1"/>
  <c r="BY670" i="3"/>
  <c r="BY671" i="3" l="1"/>
  <c r="BX670" i="3"/>
  <c r="BY672" i="3" l="1"/>
  <c r="BX671" i="3"/>
  <c r="BY673" i="3" l="1"/>
  <c r="BX672" i="3"/>
  <c r="BX673" i="3" l="1"/>
  <c r="BY674" i="3"/>
  <c r="BY675" i="3" l="1"/>
  <c r="BX674" i="3"/>
  <c r="BX675" i="3" l="1"/>
  <c r="BY676" i="3"/>
  <c r="BY677" i="3" l="1"/>
  <c r="BX676" i="3"/>
  <c r="BY678" i="3" l="1"/>
  <c r="BX677" i="3"/>
  <c r="BY679" i="3" l="1"/>
  <c r="BX678" i="3"/>
  <c r="BY680" i="3" l="1"/>
  <c r="BX679" i="3"/>
  <c r="BY681" i="3" l="1"/>
  <c r="BX680" i="3"/>
  <c r="BX681" i="3" l="1"/>
  <c r="BY682" i="3"/>
  <c r="BY683" i="3" l="1"/>
  <c r="BX682" i="3"/>
  <c r="BY684" i="3" l="1"/>
  <c r="BX683" i="3"/>
  <c r="BY685" i="3" l="1"/>
  <c r="BX684" i="3"/>
  <c r="BX685" i="3" l="1"/>
  <c r="BY686" i="3"/>
  <c r="BY687" i="3" l="1"/>
  <c r="BX686" i="3"/>
  <c r="BX687" i="3" l="1"/>
  <c r="BY688" i="3"/>
  <c r="BY689" i="3" l="1"/>
  <c r="BX688" i="3"/>
  <c r="BY690" i="3" l="1"/>
  <c r="BX689" i="3"/>
  <c r="BY691" i="3" l="1"/>
  <c r="BX690" i="3"/>
  <c r="BY692" i="3" l="1"/>
  <c r="BX691" i="3"/>
  <c r="BY693" i="3" l="1"/>
  <c r="BX692" i="3"/>
  <c r="BX693" i="3" l="1"/>
  <c r="BY694" i="3"/>
  <c r="BY695" i="3" l="1"/>
  <c r="BX694" i="3"/>
  <c r="BY696" i="3" l="1"/>
  <c r="BX695" i="3"/>
  <c r="BY697" i="3" l="1"/>
  <c r="BX696" i="3"/>
  <c r="BX697" i="3" l="1"/>
  <c r="BY698" i="3"/>
  <c r="BY699" i="3" l="1"/>
  <c r="BX698" i="3"/>
  <c r="BX699" i="3" l="1"/>
  <c r="BY700" i="3"/>
  <c r="BY701" i="3" l="1"/>
  <c r="BX700" i="3"/>
  <c r="BY702" i="3" l="1"/>
  <c r="BX701" i="3"/>
  <c r="BY703" i="3" l="1"/>
  <c r="BX702" i="3"/>
  <c r="BY704" i="3" l="1"/>
  <c r="BX703" i="3"/>
  <c r="BY705" i="3" l="1"/>
  <c r="BX704" i="3"/>
  <c r="BX705" i="3" l="1"/>
  <c r="BY706" i="3"/>
  <c r="BY707" i="3" l="1"/>
  <c r="BX706" i="3"/>
  <c r="BY708" i="3" l="1"/>
  <c r="BX707" i="3"/>
  <c r="BY709" i="3" l="1"/>
  <c r="BX708" i="3"/>
  <c r="BX709" i="3" l="1"/>
  <c r="BY710" i="3"/>
  <c r="BY711" i="3" l="1"/>
  <c r="BX710" i="3"/>
  <c r="BX711" i="3" l="1"/>
  <c r="BY712" i="3"/>
  <c r="BY713" i="3" l="1"/>
  <c r="BX712" i="3"/>
  <c r="BY714" i="3" l="1"/>
  <c r="BX713" i="3"/>
  <c r="BY715" i="3" l="1"/>
  <c r="BX714" i="3"/>
  <c r="BY716" i="3" l="1"/>
  <c r="BX715" i="3"/>
  <c r="BY717" i="3" l="1"/>
  <c r="BX716" i="3"/>
  <c r="BX717" i="3" l="1"/>
  <c r="BY718" i="3"/>
  <c r="BY719" i="3" l="1"/>
  <c r="BX718" i="3"/>
  <c r="BY720" i="3" l="1"/>
  <c r="BX719" i="3"/>
  <c r="BY721" i="3" l="1"/>
  <c r="BX720" i="3"/>
  <c r="BX721" i="3" l="1"/>
  <c r="BY722" i="3"/>
  <c r="BY723" i="3" l="1"/>
  <c r="BX722" i="3"/>
  <c r="BX723" i="3" l="1"/>
  <c r="BY724" i="3"/>
  <c r="BY725" i="3" l="1"/>
  <c r="BX724" i="3"/>
  <c r="BY726" i="3" l="1"/>
  <c r="BX725" i="3"/>
  <c r="BY727" i="3" l="1"/>
  <c r="BX726" i="3"/>
  <c r="BY728" i="3" l="1"/>
  <c r="BX727" i="3"/>
  <c r="BY729" i="3" l="1"/>
  <c r="BX728" i="3"/>
  <c r="BX729" i="3" l="1"/>
  <c r="BY730" i="3"/>
  <c r="BY731" i="3" l="1"/>
  <c r="BX730" i="3"/>
  <c r="BY732" i="3" l="1"/>
  <c r="BX731" i="3"/>
  <c r="BY733" i="3" l="1"/>
  <c r="BX732" i="3"/>
  <c r="BX733" i="3" l="1"/>
  <c r="BY734" i="3"/>
  <c r="BY735" i="3" l="1"/>
  <c r="BX734" i="3"/>
  <c r="BX735" i="3" l="1"/>
  <c r="BY736" i="3"/>
  <c r="BY737" i="3" l="1"/>
  <c r="BX736" i="3"/>
  <c r="BY738" i="3" l="1"/>
  <c r="BX737" i="3"/>
  <c r="BY739" i="3" l="1"/>
  <c r="BX738" i="3"/>
  <c r="BY740" i="3" l="1"/>
  <c r="BX739" i="3"/>
  <c r="BY741" i="3" l="1"/>
  <c r="BX740" i="3"/>
  <c r="BX741" i="3" l="1"/>
  <c r="BY742" i="3"/>
  <c r="BY743" i="3" l="1"/>
  <c r="BX742" i="3"/>
  <c r="BY744" i="3" l="1"/>
  <c r="BX743" i="3"/>
  <c r="BY745" i="3" l="1"/>
  <c r="BX744" i="3"/>
  <c r="BX745" i="3" l="1"/>
  <c r="BY746" i="3"/>
  <c r="BY747" i="3" l="1"/>
  <c r="BX746" i="3"/>
  <c r="BX747" i="3" l="1"/>
  <c r="BY748" i="3"/>
  <c r="BY749" i="3" l="1"/>
  <c r="BX748" i="3"/>
  <c r="BY750" i="3" l="1"/>
  <c r="BX749" i="3"/>
  <c r="BY751" i="3" l="1"/>
  <c r="BX750" i="3"/>
  <c r="BY752" i="3" l="1"/>
  <c r="BX751" i="3"/>
  <c r="BY753" i="3" l="1"/>
  <c r="BX752" i="3"/>
  <c r="BX753" i="3" l="1"/>
  <c r="BY754" i="3"/>
  <c r="BY755" i="3" l="1"/>
  <c r="BX754" i="3"/>
  <c r="BY756" i="3" l="1"/>
  <c r="BX755" i="3"/>
  <c r="BY757" i="3" l="1"/>
  <c r="BX756" i="3"/>
  <c r="BX757" i="3" l="1"/>
  <c r="BY758" i="3"/>
  <c r="BY759" i="3" l="1"/>
  <c r="BX758" i="3"/>
  <c r="BX759" i="3" l="1"/>
  <c r="BY760" i="3"/>
  <c r="BY761" i="3" l="1"/>
  <c r="BX760" i="3"/>
  <c r="BY762" i="3" l="1"/>
  <c r="BX761" i="3"/>
  <c r="BY763" i="3" l="1"/>
  <c r="BX762" i="3"/>
  <c r="BY764" i="3" l="1"/>
  <c r="BX763" i="3"/>
  <c r="BY765" i="3" l="1"/>
  <c r="BX764" i="3"/>
  <c r="BX765" i="3" l="1"/>
  <c r="BY766" i="3"/>
  <c r="BY767" i="3" l="1"/>
  <c r="BX766" i="3"/>
  <c r="BY768" i="3" l="1"/>
  <c r="BX767" i="3"/>
  <c r="BY769" i="3" l="1"/>
  <c r="BX768" i="3"/>
  <c r="BX769" i="3" l="1"/>
  <c r="BY770" i="3"/>
  <c r="BY771" i="3" l="1"/>
  <c r="BX770" i="3"/>
  <c r="BX771" i="3" l="1"/>
  <c r="BY772" i="3"/>
  <c r="BY773" i="3" l="1"/>
  <c r="BX772" i="3"/>
  <c r="BY774" i="3" l="1"/>
  <c r="BX773" i="3"/>
  <c r="BY775" i="3" l="1"/>
  <c r="BX774" i="3"/>
  <c r="BY776" i="3" l="1"/>
  <c r="BX775" i="3"/>
  <c r="BY777" i="3" l="1"/>
  <c r="BX776" i="3"/>
  <c r="BX777" i="3" l="1"/>
  <c r="BY778" i="3"/>
  <c r="BY779" i="3" l="1"/>
  <c r="BX778" i="3"/>
  <c r="BY780" i="3" l="1"/>
  <c r="BX779" i="3"/>
  <c r="BY781" i="3" l="1"/>
  <c r="BX780" i="3"/>
  <c r="BX781" i="3" l="1"/>
  <c r="BY782" i="3"/>
  <c r="BY783" i="3" l="1"/>
  <c r="BX782" i="3"/>
  <c r="BX783" i="3" l="1"/>
  <c r="BY784" i="3"/>
  <c r="BY785" i="3" l="1"/>
  <c r="BX784" i="3"/>
  <c r="BY786" i="3" l="1"/>
  <c r="BX785" i="3"/>
  <c r="BY787" i="3" l="1"/>
  <c r="BX786" i="3"/>
  <c r="BY788" i="3" l="1"/>
  <c r="BX787" i="3"/>
  <c r="BY789" i="3" l="1"/>
  <c r="BX788" i="3"/>
  <c r="BX789" i="3" l="1"/>
  <c r="BY790" i="3"/>
  <c r="BY791" i="3" l="1"/>
  <c r="BX790" i="3"/>
  <c r="BY792" i="3" l="1"/>
  <c r="BX791" i="3"/>
  <c r="BY793" i="3" l="1"/>
  <c r="BX792" i="3"/>
  <c r="BX793" i="3" l="1"/>
  <c r="BY794" i="3"/>
  <c r="BY795" i="3" l="1"/>
  <c r="BX794" i="3"/>
  <c r="BX795" i="3" l="1"/>
  <c r="BY796" i="3"/>
  <c r="BY797" i="3" l="1"/>
  <c r="BX796" i="3"/>
  <c r="BY798" i="3" l="1"/>
  <c r="BX797" i="3"/>
  <c r="BY799" i="3" l="1"/>
  <c r="BX798" i="3"/>
  <c r="BY800" i="3" l="1"/>
  <c r="BX799" i="3"/>
  <c r="BY801" i="3" l="1"/>
  <c r="BX800" i="3"/>
  <c r="BX801" i="3" l="1"/>
  <c r="BY802" i="3"/>
  <c r="BY803" i="3" l="1"/>
  <c r="BX802" i="3"/>
  <c r="BY804" i="3" l="1"/>
  <c r="BX803" i="3"/>
  <c r="BY805" i="3" l="1"/>
  <c r="BX804" i="3"/>
  <c r="BX805" i="3" l="1"/>
  <c r="BY806" i="3"/>
  <c r="BY807" i="3" l="1"/>
  <c r="BX806" i="3"/>
  <c r="BX807" i="3" l="1"/>
  <c r="BY808" i="3"/>
  <c r="BY809" i="3" l="1"/>
  <c r="BX808" i="3"/>
  <c r="BY810" i="3" l="1"/>
  <c r="BX809" i="3"/>
  <c r="BY811" i="3" l="1"/>
  <c r="BX810" i="3"/>
  <c r="BY812" i="3" l="1"/>
  <c r="BX811" i="3"/>
  <c r="BY813" i="3" l="1"/>
  <c r="BX812" i="3"/>
  <c r="BX813" i="3" l="1"/>
  <c r="BY814" i="3"/>
  <c r="BY815" i="3" l="1"/>
  <c r="BX814" i="3"/>
  <c r="BY816" i="3" l="1"/>
  <c r="BX815" i="3"/>
  <c r="BY817" i="3" l="1"/>
  <c r="BX816" i="3"/>
  <c r="BY818" i="3" l="1"/>
  <c r="BX817" i="3"/>
  <c r="BY819" i="3" l="1"/>
  <c r="BX818" i="3"/>
  <c r="BX819" i="3" l="1"/>
  <c r="BY820" i="3"/>
  <c r="BY821" i="3" l="1"/>
  <c r="BX820" i="3"/>
  <c r="BY822" i="3" l="1"/>
  <c r="BX821" i="3"/>
  <c r="BY823" i="3" l="1"/>
  <c r="BX822" i="3"/>
  <c r="BY824" i="3" l="1"/>
  <c r="BX823" i="3"/>
  <c r="BY825" i="3" l="1"/>
  <c r="BX824" i="3"/>
  <c r="BX825" i="3" l="1"/>
  <c r="BY826" i="3"/>
  <c r="BY827" i="3" l="1"/>
  <c r="BX826" i="3"/>
  <c r="BY828" i="3" l="1"/>
  <c r="BX827" i="3"/>
  <c r="BY829" i="3" l="1"/>
  <c r="BX828" i="3"/>
  <c r="BY830" i="3" l="1"/>
  <c r="BX829" i="3"/>
  <c r="BY831" i="3" l="1"/>
  <c r="BX830" i="3"/>
  <c r="BX831" i="3" l="1"/>
  <c r="BY832" i="3"/>
  <c r="BY833" i="3" l="1"/>
  <c r="BX832" i="3"/>
  <c r="BY834" i="3" l="1"/>
  <c r="BX833" i="3"/>
  <c r="BX834" i="3" l="1"/>
  <c r="BY835" i="3"/>
  <c r="BX835" i="3" l="1"/>
  <c r="BY836" i="3"/>
  <c r="BY837" i="3" l="1"/>
  <c r="BX836" i="3"/>
  <c r="BX837" i="3" l="1"/>
  <c r="BY838" i="3"/>
  <c r="BY839" i="3" l="1"/>
  <c r="BX838" i="3"/>
  <c r="BY840" i="3" l="1"/>
  <c r="BX839" i="3"/>
  <c r="BY841" i="3" l="1"/>
  <c r="BX840" i="3"/>
  <c r="BY842" i="3" l="1"/>
  <c r="BX841" i="3"/>
  <c r="BY843" i="3" l="1"/>
  <c r="BX842" i="3"/>
  <c r="BX843" i="3" l="1"/>
  <c r="BY844" i="3"/>
  <c r="BY845" i="3" l="1"/>
  <c r="BX844" i="3"/>
  <c r="BY846" i="3" l="1"/>
  <c r="BX845" i="3"/>
  <c r="BY847" i="3" l="1"/>
  <c r="BX846" i="3"/>
  <c r="BY848" i="3" l="1"/>
  <c r="BX847" i="3"/>
  <c r="BY849" i="3" l="1"/>
  <c r="BX848" i="3"/>
  <c r="BX849" i="3" l="1"/>
  <c r="BY850" i="3"/>
  <c r="BY851" i="3" l="1"/>
  <c r="BX850" i="3"/>
  <c r="BY852" i="3" l="1"/>
  <c r="BX851" i="3"/>
  <c r="BY853" i="3" l="1"/>
  <c r="BX852" i="3"/>
  <c r="BY854" i="3" l="1"/>
  <c r="BX853" i="3"/>
  <c r="BY855" i="3" l="1"/>
  <c r="BX854" i="3"/>
  <c r="BX855" i="3" l="1"/>
  <c r="BY856" i="3"/>
  <c r="BY857" i="3" l="1"/>
  <c r="BX856" i="3"/>
  <c r="BY858" i="3" l="1"/>
  <c r="BX857" i="3"/>
  <c r="BY859" i="3" l="1"/>
  <c r="BX858" i="3"/>
  <c r="BY860" i="3" l="1"/>
  <c r="BX859" i="3"/>
  <c r="BY861" i="3" l="1"/>
  <c r="BX860" i="3"/>
  <c r="BX861" i="3" l="1"/>
  <c r="BY862" i="3"/>
  <c r="BY863" i="3" l="1"/>
  <c r="BX862" i="3"/>
  <c r="BY864" i="3" l="1"/>
  <c r="BX863" i="3"/>
  <c r="BX864" i="3" l="1"/>
  <c r="BY865" i="3"/>
  <c r="BY866" i="3" l="1"/>
  <c r="BX865" i="3"/>
  <c r="BY867" i="3" l="1"/>
  <c r="BX866" i="3"/>
  <c r="BX867" i="3" l="1"/>
  <c r="BY868" i="3"/>
  <c r="BY869" i="3" l="1"/>
  <c r="BX868" i="3"/>
  <c r="BY870" i="3" l="1"/>
  <c r="BX869" i="3"/>
  <c r="BY871" i="3" l="1"/>
  <c r="BX870" i="3"/>
  <c r="BY872" i="3" l="1"/>
  <c r="BX871" i="3"/>
  <c r="BY873" i="3" l="1"/>
  <c r="BX872" i="3"/>
  <c r="BX873" i="3" l="1"/>
  <c r="BY874" i="3"/>
  <c r="BY875" i="3" l="1"/>
  <c r="BX874" i="3"/>
  <c r="BY876" i="3" l="1"/>
  <c r="BX875" i="3"/>
  <c r="BY877" i="3" l="1"/>
  <c r="BX876" i="3"/>
  <c r="BX877" i="3" l="1"/>
  <c r="BY878" i="3"/>
  <c r="BY879" i="3" l="1"/>
  <c r="BX878" i="3"/>
  <c r="BX879" i="3" l="1"/>
  <c r="BY880" i="3"/>
  <c r="BY881" i="3" l="1"/>
  <c r="BX880" i="3"/>
  <c r="BY882" i="3" l="1"/>
  <c r="BX881" i="3"/>
  <c r="BY883" i="3" l="1"/>
  <c r="BX882" i="3"/>
  <c r="BY884" i="3" l="1"/>
  <c r="BX883" i="3"/>
  <c r="BY885" i="3" l="1"/>
  <c r="BX884" i="3"/>
  <c r="BX885" i="3" l="1"/>
  <c r="BY886" i="3"/>
  <c r="BY887" i="3" l="1"/>
  <c r="BX886" i="3"/>
  <c r="BY888" i="3" l="1"/>
  <c r="BX887" i="3"/>
  <c r="BY889" i="3" l="1"/>
  <c r="BX888" i="3"/>
  <c r="BY890" i="3" l="1"/>
  <c r="BX889" i="3"/>
  <c r="BY891" i="3" l="1"/>
  <c r="BX890" i="3"/>
  <c r="BX891" i="3" l="1"/>
  <c r="BY892" i="3"/>
  <c r="BY893" i="3" l="1"/>
  <c r="BX892" i="3"/>
  <c r="BY894" i="3" l="1"/>
  <c r="BX893" i="3"/>
  <c r="BY895" i="3" l="1"/>
  <c r="BX894" i="3"/>
  <c r="BY896" i="3" l="1"/>
  <c r="BX895" i="3"/>
  <c r="BY897" i="3" l="1"/>
  <c r="BX896" i="3"/>
  <c r="BY898" i="3" l="1"/>
  <c r="BX897" i="3"/>
  <c r="BY899" i="3" l="1"/>
  <c r="BX898" i="3"/>
  <c r="BY900" i="3" l="1"/>
  <c r="BX899" i="3"/>
  <c r="BY901" i="3" l="1"/>
  <c r="BX900" i="3"/>
  <c r="BX901" i="3" l="1"/>
  <c r="BY902" i="3"/>
  <c r="BY903" i="3" l="1"/>
  <c r="BX902" i="3"/>
  <c r="BY904" i="3" l="1"/>
  <c r="BX903" i="3"/>
  <c r="BY905" i="3" l="1"/>
  <c r="BX904" i="3"/>
  <c r="BY906" i="3" l="1"/>
  <c r="BX905" i="3"/>
  <c r="BY907" i="3" l="1"/>
  <c r="BX906" i="3"/>
  <c r="BX907" i="3" l="1"/>
  <c r="BY908" i="3"/>
  <c r="BY909" i="3" l="1"/>
  <c r="BX908" i="3"/>
  <c r="BY910" i="3" l="1"/>
  <c r="BX909" i="3"/>
  <c r="BY911" i="3" l="1"/>
  <c r="BX910" i="3"/>
  <c r="BY912" i="3" l="1"/>
  <c r="BX911" i="3"/>
  <c r="BY913" i="3" l="1"/>
  <c r="BX912" i="3"/>
  <c r="BX913" i="3" l="1"/>
  <c r="BY914" i="3"/>
  <c r="BY915" i="3" l="1"/>
  <c r="BX914" i="3"/>
  <c r="BY916" i="3" l="1"/>
  <c r="BX915" i="3"/>
  <c r="BY917" i="3" l="1"/>
  <c r="BX916" i="3"/>
  <c r="BY918" i="3" l="1"/>
  <c r="BX917" i="3"/>
  <c r="BY919" i="3" l="1"/>
  <c r="BX918" i="3"/>
  <c r="BX919" i="3" l="1"/>
  <c r="BY920" i="3"/>
  <c r="BY921" i="3" l="1"/>
  <c r="BX920" i="3"/>
  <c r="BY922" i="3" l="1"/>
  <c r="BX921" i="3"/>
  <c r="BY923" i="3" l="1"/>
  <c r="BX922" i="3"/>
  <c r="BY924" i="3" l="1"/>
  <c r="BX923" i="3"/>
  <c r="BY925" i="3" l="1"/>
  <c r="BX924" i="3"/>
  <c r="BX925" i="3" l="1"/>
  <c r="BY926" i="3"/>
  <c r="BY927" i="3" l="1"/>
  <c r="BX926" i="3"/>
  <c r="BY928" i="3" l="1"/>
  <c r="BX927" i="3"/>
  <c r="BY929" i="3" l="1"/>
  <c r="BX928" i="3"/>
  <c r="BY930" i="3" l="1"/>
  <c r="BX929" i="3"/>
  <c r="BY931" i="3" l="1"/>
  <c r="BX930" i="3"/>
  <c r="BX931" i="3" l="1"/>
  <c r="BY932" i="3"/>
  <c r="BY933" i="3" l="1"/>
  <c r="BX932" i="3"/>
  <c r="BY934" i="3" l="1"/>
  <c r="BX933" i="3"/>
  <c r="BY935" i="3" l="1"/>
  <c r="BX934" i="3"/>
  <c r="BY936" i="3" l="1"/>
  <c r="BX935" i="3"/>
  <c r="BY937" i="3" l="1"/>
  <c r="BX936" i="3"/>
  <c r="BX937" i="3" l="1"/>
  <c r="BY938" i="3"/>
  <c r="BY939" i="3" l="1"/>
  <c r="BX938" i="3"/>
  <c r="BY940" i="3" l="1"/>
  <c r="BX939" i="3"/>
  <c r="BY941" i="3" l="1"/>
  <c r="BX940" i="3"/>
  <c r="BY942" i="3" l="1"/>
  <c r="BX941" i="3"/>
  <c r="BY943" i="3" l="1"/>
  <c r="BX942" i="3"/>
  <c r="BX943" i="3" l="1"/>
  <c r="BY944" i="3"/>
  <c r="BY945" i="3" l="1"/>
  <c r="BX944" i="3"/>
  <c r="BY946" i="3" l="1"/>
  <c r="BX945" i="3"/>
  <c r="BY947" i="3" l="1"/>
  <c r="BX946" i="3"/>
  <c r="BY948" i="3" l="1"/>
  <c r="BX947" i="3"/>
  <c r="BY949" i="3" l="1"/>
  <c r="BX948" i="3"/>
  <c r="BX949" i="3" l="1"/>
  <c r="BY950" i="3"/>
  <c r="BY951" i="3" l="1"/>
  <c r="BX950" i="3"/>
  <c r="BY952" i="3" l="1"/>
  <c r="BX951" i="3"/>
  <c r="BY953" i="3" l="1"/>
  <c r="BX952" i="3"/>
  <c r="BY954" i="3" l="1"/>
  <c r="BX953" i="3"/>
  <c r="BY955" i="3" l="1"/>
  <c r="BX954" i="3"/>
  <c r="BX955" i="3" l="1"/>
  <c r="BY956" i="3"/>
  <c r="BY957" i="3" l="1"/>
  <c r="BX956" i="3"/>
  <c r="BY958" i="3" l="1"/>
  <c r="BX957" i="3"/>
  <c r="BY959" i="3" l="1"/>
  <c r="BX958" i="3"/>
  <c r="BY960" i="3" l="1"/>
  <c r="BX959" i="3"/>
  <c r="BY961" i="3" l="1"/>
  <c r="BX960" i="3"/>
  <c r="BX961" i="3" l="1"/>
  <c r="BY962" i="3"/>
  <c r="BY963" i="3" l="1"/>
  <c r="BX962" i="3"/>
  <c r="BY964" i="3" l="1"/>
  <c r="BX963" i="3"/>
  <c r="BY965" i="3" l="1"/>
  <c r="BX964" i="3"/>
  <c r="BY966" i="3" l="1"/>
  <c r="BX965" i="3"/>
  <c r="BY967" i="3" l="1"/>
  <c r="BX966" i="3"/>
  <c r="BX967" i="3" l="1"/>
  <c r="BY968" i="3"/>
  <c r="BY969" i="3" l="1"/>
  <c r="BX968" i="3"/>
  <c r="BY970" i="3" l="1"/>
  <c r="BX969" i="3"/>
  <c r="BY971" i="3" l="1"/>
  <c r="BX970" i="3"/>
  <c r="BY972" i="3" l="1"/>
  <c r="BX971" i="3"/>
  <c r="BY973" i="3" l="1"/>
  <c r="BX972" i="3"/>
  <c r="BX973" i="3" l="1"/>
  <c r="BY974" i="3"/>
  <c r="BY975" i="3" l="1"/>
  <c r="BX974" i="3"/>
  <c r="BY976" i="3" l="1"/>
  <c r="BX975" i="3"/>
  <c r="BY977" i="3" l="1"/>
  <c r="BX976" i="3"/>
  <c r="BY978" i="3" l="1"/>
  <c r="BX977" i="3"/>
  <c r="BY979" i="3" l="1"/>
  <c r="BX978" i="3"/>
  <c r="BX979" i="3" l="1"/>
  <c r="BY980" i="3"/>
  <c r="BY981" i="3" l="1"/>
  <c r="BX980" i="3"/>
  <c r="BY982" i="3" l="1"/>
  <c r="BX981" i="3"/>
  <c r="BY983" i="3" l="1"/>
  <c r="BX982" i="3"/>
  <c r="BY984" i="3" l="1"/>
  <c r="BX983" i="3"/>
  <c r="BY985" i="3" l="1"/>
  <c r="BX984" i="3"/>
  <c r="BX985" i="3" l="1"/>
  <c r="BY986" i="3"/>
  <c r="BY987" i="3" l="1"/>
  <c r="BX986" i="3"/>
  <c r="BY988" i="3" l="1"/>
  <c r="BX987" i="3"/>
  <c r="BY989" i="3" l="1"/>
  <c r="BX988" i="3"/>
  <c r="BY990" i="3" l="1"/>
  <c r="BX989" i="3"/>
  <c r="BY991" i="3" l="1"/>
  <c r="BX990" i="3"/>
  <c r="BX991" i="3" l="1"/>
  <c r="BY992" i="3"/>
  <c r="BY993" i="3" l="1"/>
  <c r="BX992" i="3"/>
  <c r="BY994" i="3" l="1"/>
  <c r="BX993" i="3"/>
  <c r="BY995" i="3" l="1"/>
  <c r="BX994" i="3"/>
  <c r="BY996" i="3" l="1"/>
  <c r="BX995" i="3"/>
  <c r="BY997" i="3" l="1"/>
  <c r="BX996" i="3"/>
  <c r="BX997" i="3" l="1"/>
  <c r="BY998" i="3"/>
  <c r="BY999" i="3" l="1"/>
  <c r="BX998" i="3"/>
  <c r="BY1000" i="3" l="1"/>
  <c r="BX999" i="3"/>
  <c r="BY1001" i="3" l="1"/>
  <c r="BX1000" i="3"/>
  <c r="BY1002" i="3" l="1"/>
  <c r="BX1001" i="3"/>
  <c r="BY1003" i="3" l="1"/>
  <c r="BX1002" i="3"/>
  <c r="BX1003" i="3" l="1"/>
  <c r="BY1004" i="3"/>
  <c r="BY1005" i="3" l="1"/>
  <c r="BX1004" i="3"/>
  <c r="BY1006" i="3" l="1"/>
  <c r="BX1005" i="3"/>
  <c r="BY1007" i="3" l="1"/>
  <c r="BX1006" i="3"/>
  <c r="BY1008" i="3" l="1"/>
  <c r="BX1007" i="3"/>
  <c r="BY1009" i="3" l="1"/>
  <c r="BX1008" i="3"/>
  <c r="BX1009" i="3" l="1"/>
  <c r="BY1010" i="3"/>
  <c r="BY1011" i="3" l="1"/>
  <c r="BX1010" i="3"/>
  <c r="BY1012" i="3" l="1"/>
  <c r="BX1011" i="3"/>
  <c r="BY1013" i="3" l="1"/>
  <c r="BX1012" i="3"/>
  <c r="BY1014" i="3" l="1"/>
  <c r="BX1013" i="3"/>
  <c r="BY1015" i="3" l="1"/>
  <c r="BX1014" i="3"/>
  <c r="BX1015" i="3" l="1"/>
  <c r="BY1016" i="3"/>
  <c r="BY1017" i="3" l="1"/>
  <c r="BX1016" i="3"/>
  <c r="BY1018" i="3" l="1"/>
  <c r="BX1017" i="3"/>
  <c r="BY1019" i="3" l="1"/>
  <c r="BX1018" i="3"/>
  <c r="BY1020" i="3" l="1"/>
  <c r="BX1019" i="3"/>
  <c r="BY1021" i="3" l="1"/>
  <c r="BX1020" i="3"/>
  <c r="BX1021" i="3" l="1"/>
  <c r="BY1022" i="3"/>
  <c r="BY1023" i="3" l="1"/>
  <c r="BX1022" i="3"/>
  <c r="BY1024" i="3" l="1"/>
  <c r="BX1023" i="3"/>
  <c r="BY1025" i="3" l="1"/>
  <c r="BX1024" i="3"/>
  <c r="BY1026" i="3" l="1"/>
  <c r="BX1025" i="3"/>
  <c r="BY1027" i="3" l="1"/>
  <c r="BX1026" i="3"/>
  <c r="BX1027" i="3" l="1"/>
  <c r="BY1028" i="3"/>
  <c r="BY1029" i="3" l="1"/>
  <c r="BX1028" i="3"/>
  <c r="BY1030" i="3" l="1"/>
  <c r="BX1029" i="3"/>
  <c r="BY1031" i="3" l="1"/>
  <c r="BX1030" i="3"/>
  <c r="BY1032" i="3" l="1"/>
  <c r="BX1031" i="3"/>
  <c r="BY1033" i="3" l="1"/>
  <c r="BX1032" i="3"/>
  <c r="BX1033" i="3" l="1"/>
  <c r="BY1034" i="3"/>
  <c r="BY1035" i="3" l="1"/>
  <c r="BX1034" i="3"/>
  <c r="BY1036" i="3" l="1"/>
  <c r="BX1035" i="3"/>
  <c r="BY1037" i="3" l="1"/>
  <c r="BX1036" i="3"/>
  <c r="BY1038" i="3" l="1"/>
  <c r="BX1037" i="3"/>
  <c r="BY1039" i="3" l="1"/>
  <c r="BX1038" i="3"/>
  <c r="BX1039" i="3" l="1"/>
  <c r="BY1040" i="3"/>
  <c r="BY1041" i="3" l="1"/>
  <c r="BX1040" i="3"/>
  <c r="BY1042" i="3" l="1"/>
  <c r="BX1041" i="3"/>
  <c r="BY1043" i="3" l="1"/>
  <c r="BX1042" i="3"/>
  <c r="BY1044" i="3" l="1"/>
  <c r="BX1043" i="3"/>
  <c r="BY1045" i="3" l="1"/>
  <c r="BX1044" i="3"/>
  <c r="BX1045" i="3" l="1"/>
  <c r="BY1046" i="3"/>
  <c r="BY1047" i="3" l="1"/>
  <c r="BX1046" i="3"/>
  <c r="BY1048" i="3" l="1"/>
  <c r="BX1047" i="3"/>
  <c r="BY1049" i="3" l="1"/>
  <c r="BX1048" i="3"/>
  <c r="BY1050" i="3" l="1"/>
  <c r="BX1049" i="3"/>
  <c r="BY1051" i="3" l="1"/>
  <c r="BX1050" i="3"/>
  <c r="BX1051" i="3" l="1"/>
  <c r="BY1052" i="3"/>
  <c r="BY1053" i="3" l="1"/>
  <c r="BX1052" i="3"/>
  <c r="BY1054" i="3" l="1"/>
  <c r="BX1053" i="3"/>
  <c r="BY1055" i="3" l="1"/>
  <c r="BX1054" i="3"/>
  <c r="BY1056" i="3" l="1"/>
  <c r="BX1055" i="3"/>
  <c r="BY1057" i="3" l="1"/>
  <c r="BX1056" i="3"/>
  <c r="BX1057" i="3" l="1"/>
  <c r="BY1058" i="3"/>
  <c r="BY1059" i="3" l="1"/>
  <c r="BX1058" i="3"/>
  <c r="BY1060" i="3" l="1"/>
  <c r="BX1059" i="3"/>
  <c r="BY1061" i="3" l="1"/>
  <c r="BX1060" i="3"/>
  <c r="BY1062" i="3" l="1"/>
  <c r="BX1061" i="3"/>
  <c r="BY1063" i="3" l="1"/>
  <c r="BX1062" i="3"/>
  <c r="BX1063" i="3" l="1"/>
  <c r="BY1064" i="3"/>
  <c r="BY1065" i="3" l="1"/>
  <c r="BX1064" i="3"/>
  <c r="BY1066" i="3" l="1"/>
  <c r="BX1065" i="3"/>
  <c r="BY1067" i="3" l="1"/>
  <c r="BX1066" i="3"/>
  <c r="BY1068" i="3" l="1"/>
  <c r="BX1067" i="3"/>
  <c r="BY1069" i="3" l="1"/>
  <c r="BX1068" i="3"/>
  <c r="BX1069" i="3" l="1"/>
  <c r="BY1070" i="3"/>
  <c r="BY1071" i="3" l="1"/>
  <c r="BX1070" i="3"/>
  <c r="BY1072" i="3" l="1"/>
  <c r="BX1071" i="3"/>
  <c r="BY1073" i="3" l="1"/>
  <c r="BX1072" i="3"/>
  <c r="BY1074" i="3" l="1"/>
  <c r="BX1073" i="3"/>
  <c r="BY1075" i="3" l="1"/>
  <c r="BX1074" i="3"/>
  <c r="BX1075" i="3" l="1"/>
  <c r="BY1076" i="3"/>
  <c r="BY1077" i="3" l="1"/>
  <c r="BX1076" i="3"/>
  <c r="BY1078" i="3" l="1"/>
  <c r="BX1077" i="3"/>
  <c r="BY1079" i="3" l="1"/>
  <c r="BX1078" i="3"/>
  <c r="BY1080" i="3" l="1"/>
  <c r="BX1079" i="3"/>
  <c r="BY1081" i="3" l="1"/>
  <c r="BX1080" i="3"/>
  <c r="BX1081" i="3" l="1"/>
  <c r="BY1082" i="3"/>
  <c r="BY1083" i="3" l="1"/>
  <c r="BX1082" i="3"/>
  <c r="BY1084" i="3" l="1"/>
  <c r="BX1083" i="3"/>
  <c r="BY1085" i="3" l="1"/>
  <c r="BX1084" i="3"/>
  <c r="BY1086" i="3" l="1"/>
  <c r="BX1085" i="3"/>
  <c r="BY1087" i="3" l="1"/>
  <c r="BX1086" i="3"/>
  <c r="BX1087" i="3" l="1"/>
  <c r="BY1088" i="3"/>
  <c r="BY1089" i="3" l="1"/>
  <c r="BX1088" i="3"/>
  <c r="BY1090" i="3" l="1"/>
  <c r="BX1089" i="3"/>
  <c r="BY1091" i="3" l="1"/>
  <c r="BX1090" i="3"/>
  <c r="BY1092" i="3" l="1"/>
  <c r="BX1091" i="3"/>
  <c r="BY1093" i="3" l="1"/>
  <c r="BX1092" i="3"/>
  <c r="BX1093" i="3" l="1"/>
  <c r="BY1094" i="3"/>
  <c r="BY1095" i="3" l="1"/>
  <c r="BX1094" i="3"/>
  <c r="BY1096" i="3" l="1"/>
  <c r="BX1095" i="3"/>
  <c r="BY1097" i="3" l="1"/>
  <c r="BX1096" i="3"/>
  <c r="BY1098" i="3" l="1"/>
  <c r="BX1097" i="3"/>
  <c r="BY1099" i="3" l="1"/>
  <c r="BX1098" i="3"/>
  <c r="BX1099" i="3" l="1"/>
  <c r="BY1100" i="3"/>
  <c r="BY1101" i="3" l="1"/>
  <c r="BX1100" i="3"/>
  <c r="BY1102" i="3" l="1"/>
  <c r="BX1101" i="3"/>
  <c r="BY1103" i="3" l="1"/>
  <c r="BX1102" i="3"/>
  <c r="BY1104" i="3" l="1"/>
  <c r="BX1103" i="3"/>
  <c r="BY1105" i="3" l="1"/>
  <c r="BX1104" i="3"/>
  <c r="BX1105" i="3" l="1"/>
  <c r="BY1106" i="3"/>
  <c r="BY1107" i="3" l="1"/>
  <c r="BX1106" i="3"/>
  <c r="BY1108" i="3" l="1"/>
  <c r="BX1107" i="3"/>
  <c r="BY1109" i="3" l="1"/>
  <c r="BX1108" i="3"/>
  <c r="BY1110" i="3" l="1"/>
  <c r="BX1109" i="3"/>
  <c r="BY1111" i="3" l="1"/>
  <c r="BX1110" i="3"/>
  <c r="BX1111" i="3" l="1"/>
  <c r="BY1112" i="3"/>
  <c r="BY1113" i="3" l="1"/>
  <c r="BX1112" i="3"/>
  <c r="BY1114" i="3" l="1"/>
  <c r="BX1113" i="3"/>
  <c r="BY1115" i="3" l="1"/>
  <c r="BX1114" i="3"/>
  <c r="BY1116" i="3" l="1"/>
  <c r="BX1115" i="3"/>
  <c r="BY1117" i="3" l="1"/>
  <c r="BX1116" i="3"/>
  <c r="BX1117" i="3" l="1"/>
  <c r="BY1118" i="3"/>
  <c r="BY1119" i="3" l="1"/>
  <c r="BX1118" i="3"/>
  <c r="BY1120" i="3" l="1"/>
  <c r="BX1119" i="3"/>
  <c r="BY1121" i="3" l="1"/>
  <c r="BX1120" i="3"/>
  <c r="BY1122" i="3" l="1"/>
  <c r="BX1121" i="3"/>
  <c r="BY1123" i="3" l="1"/>
  <c r="BX1122" i="3"/>
  <c r="BX1123" i="3" l="1"/>
  <c r="BY1124" i="3"/>
  <c r="BY1125" i="3" l="1"/>
  <c r="BX1124" i="3"/>
  <c r="BY1126" i="3" l="1"/>
  <c r="BX1125" i="3"/>
  <c r="BY1127" i="3" l="1"/>
  <c r="BX1126" i="3"/>
  <c r="BY1128" i="3" l="1"/>
  <c r="BX1127" i="3"/>
  <c r="BY1129" i="3" l="1"/>
  <c r="BX1128" i="3"/>
  <c r="BX1129" i="3" l="1"/>
  <c r="BY1130" i="3"/>
  <c r="BY1131" i="3" l="1"/>
  <c r="BX1130" i="3"/>
  <c r="BY1132" i="3" l="1"/>
  <c r="BX1131" i="3"/>
  <c r="BY1133" i="3" l="1"/>
  <c r="BX1132" i="3"/>
  <c r="BY1134" i="3" l="1"/>
  <c r="BX1133" i="3"/>
  <c r="BY1135" i="3" l="1"/>
  <c r="BX1134" i="3"/>
  <c r="BX1135" i="3" l="1"/>
  <c r="BY1136" i="3"/>
  <c r="BY1137" i="3" l="1"/>
  <c r="BX1136" i="3"/>
  <c r="BY1138" i="3" l="1"/>
  <c r="BX1137" i="3"/>
  <c r="BY1139" i="3" l="1"/>
  <c r="BX1138" i="3"/>
  <c r="BY1140" i="3" l="1"/>
  <c r="BX1139" i="3"/>
  <c r="BY1141" i="3" l="1"/>
  <c r="BX1140" i="3"/>
  <c r="BX1141" i="3" l="1"/>
  <c r="BY1142" i="3"/>
  <c r="BY1143" i="3" l="1"/>
  <c r="BX1142" i="3"/>
  <c r="BY1144" i="3" l="1"/>
  <c r="BX1143" i="3"/>
  <c r="BY1145" i="3" l="1"/>
  <c r="BX1144" i="3"/>
  <c r="BY1146" i="3" l="1"/>
  <c r="BX1145" i="3"/>
  <c r="BY1147" i="3" l="1"/>
  <c r="BX1146" i="3"/>
  <c r="BX1147" i="3" l="1"/>
  <c r="BY1148" i="3"/>
  <c r="BY1149" i="3" l="1"/>
  <c r="BX1148" i="3"/>
  <c r="BY1150" i="3" l="1"/>
  <c r="BX1149" i="3"/>
  <c r="BY1151" i="3" l="1"/>
  <c r="BX1150" i="3"/>
  <c r="BY1152" i="3" l="1"/>
  <c r="BX1151" i="3"/>
  <c r="BY1153" i="3" l="1"/>
  <c r="BX1152" i="3"/>
  <c r="BX1153" i="3" l="1"/>
  <c r="BY1154" i="3"/>
  <c r="BY1155" i="3" l="1"/>
  <c r="BX1154" i="3"/>
  <c r="BY1156" i="3" l="1"/>
  <c r="BX1155" i="3"/>
  <c r="BY1157" i="3" l="1"/>
  <c r="BX1156" i="3"/>
  <c r="BY1158" i="3" l="1"/>
  <c r="BX1157" i="3"/>
  <c r="BY1159" i="3" l="1"/>
  <c r="BX1158" i="3"/>
  <c r="BX1159" i="3" l="1"/>
  <c r="BY1160" i="3"/>
  <c r="BY1161" i="3" l="1"/>
  <c r="BX1160" i="3"/>
  <c r="BY1162" i="3" l="1"/>
  <c r="BX1161" i="3"/>
  <c r="BY1163" i="3" l="1"/>
  <c r="BX1162" i="3"/>
  <c r="BY1164" i="3" l="1"/>
  <c r="BX1163" i="3"/>
  <c r="BY1165" i="3" l="1"/>
  <c r="BX1164" i="3"/>
  <c r="BX1165" i="3" l="1"/>
  <c r="BY1166" i="3"/>
  <c r="BY1167" i="3" l="1"/>
  <c r="BX1166" i="3"/>
  <c r="BY1168" i="3" l="1"/>
  <c r="BX1167" i="3"/>
  <c r="BY1169" i="3" l="1"/>
  <c r="BX1168" i="3"/>
  <c r="BY1170" i="3" l="1"/>
  <c r="BX1169" i="3"/>
  <c r="BY1171" i="3" l="1"/>
  <c r="BX1170" i="3"/>
  <c r="BX1171" i="3" l="1"/>
  <c r="BY1172" i="3"/>
  <c r="BY1173" i="3" l="1"/>
  <c r="BX1172" i="3"/>
  <c r="BY1174" i="3" l="1"/>
  <c r="BX1173" i="3"/>
  <c r="BY1175" i="3" l="1"/>
  <c r="BX1174" i="3"/>
  <c r="BY1176" i="3" l="1"/>
  <c r="BX1175" i="3"/>
  <c r="BY1177" i="3" l="1"/>
  <c r="BX1176" i="3"/>
  <c r="BX1177" i="3" l="1"/>
  <c r="BY1178" i="3"/>
  <c r="BY1179" i="3" l="1"/>
  <c r="BX1178" i="3"/>
  <c r="BY1180" i="3" l="1"/>
  <c r="BX1179" i="3"/>
  <c r="BY1181" i="3" l="1"/>
  <c r="BX1180" i="3"/>
  <c r="BY1182" i="3" l="1"/>
  <c r="BX1181" i="3"/>
  <c r="BY1183" i="3" l="1"/>
  <c r="BX1182" i="3"/>
  <c r="BX1183" i="3" l="1"/>
  <c r="BY1184" i="3"/>
  <c r="BY1185" i="3" l="1"/>
  <c r="BX1184" i="3"/>
  <c r="BY1186" i="3" l="1"/>
  <c r="BX1185" i="3"/>
  <c r="BY1187" i="3" l="1"/>
  <c r="BX1186" i="3"/>
  <c r="BY1188" i="3" l="1"/>
  <c r="BX1187" i="3"/>
  <c r="BY1189" i="3" l="1"/>
  <c r="BX1188" i="3"/>
  <c r="BX1189" i="3" l="1"/>
  <c r="BY1190" i="3"/>
  <c r="BY1191" i="3" l="1"/>
  <c r="BX1190" i="3"/>
  <c r="BY1192" i="3" l="1"/>
  <c r="BX1191" i="3"/>
  <c r="BY1193" i="3" l="1"/>
  <c r="BX1192" i="3"/>
  <c r="BY1194" i="3" l="1"/>
  <c r="BX1193" i="3"/>
  <c r="BY1195" i="3" l="1"/>
  <c r="BX1194" i="3"/>
  <c r="BX1195" i="3" l="1"/>
  <c r="BY1196" i="3"/>
  <c r="BY1197" i="3" l="1"/>
  <c r="BX1196" i="3"/>
  <c r="BY1198" i="3" l="1"/>
  <c r="BX1197" i="3"/>
  <c r="BY1199" i="3" l="1"/>
  <c r="BX1198" i="3"/>
  <c r="BY1200" i="3" l="1"/>
  <c r="BX1199" i="3"/>
  <c r="BY1201" i="3" l="1"/>
  <c r="BX1200" i="3"/>
  <c r="BX1201" i="3" l="1"/>
  <c r="BY1202" i="3"/>
  <c r="BY1203" i="3" l="1"/>
  <c r="BX1202" i="3"/>
  <c r="BY1204" i="3" l="1"/>
  <c r="BX1203" i="3"/>
  <c r="BY1205" i="3" l="1"/>
  <c r="BX1204" i="3"/>
  <c r="BY1206" i="3" l="1"/>
  <c r="BX1205" i="3"/>
  <c r="BY1207" i="3" l="1"/>
  <c r="BX1206" i="3"/>
  <c r="BX1207" i="3" l="1"/>
  <c r="BY1208" i="3"/>
  <c r="BY1209" i="3" l="1"/>
  <c r="BX1208" i="3"/>
  <c r="BY1210" i="3" l="1"/>
  <c r="BX1209" i="3"/>
  <c r="BY1211" i="3" l="1"/>
  <c r="BX1210" i="3"/>
  <c r="BY1212" i="3" l="1"/>
  <c r="BX1211" i="3"/>
  <c r="BY1213" i="3" l="1"/>
  <c r="BX1212" i="3"/>
  <c r="BX1213" i="3" l="1"/>
  <c r="BY1214" i="3"/>
  <c r="BY1215" i="3" l="1"/>
  <c r="BX1214" i="3"/>
  <c r="BY1216" i="3" l="1"/>
  <c r="BX1215" i="3"/>
  <c r="BY1217" i="3" l="1"/>
  <c r="BX1216" i="3"/>
  <c r="BY1218" i="3" l="1"/>
  <c r="BX1217" i="3"/>
  <c r="BY1219" i="3" l="1"/>
  <c r="BX1218" i="3"/>
  <c r="BX1219" i="3" l="1"/>
  <c r="BY1220" i="3"/>
  <c r="BY1221" i="3" l="1"/>
  <c r="BX1220" i="3"/>
  <c r="BY1222" i="3" l="1"/>
  <c r="BX1221" i="3"/>
  <c r="BY1223" i="3" l="1"/>
  <c r="BX1222" i="3"/>
  <c r="BY1224" i="3" l="1"/>
  <c r="BX1223" i="3"/>
  <c r="BY1225" i="3" l="1"/>
  <c r="BX1224" i="3"/>
  <c r="BX1225" i="3" l="1"/>
  <c r="BY1226" i="3"/>
  <c r="BY1227" i="3" l="1"/>
  <c r="BX1226" i="3"/>
  <c r="BY1228" i="3" l="1"/>
  <c r="BX1227" i="3"/>
  <c r="BY1229" i="3" l="1"/>
  <c r="BX1228" i="3"/>
  <c r="BY1230" i="3" l="1"/>
  <c r="BX1229" i="3"/>
  <c r="BY1231" i="3" l="1"/>
  <c r="BX1230" i="3"/>
  <c r="BX1231" i="3" l="1"/>
  <c r="BY1232" i="3"/>
  <c r="BY1233" i="3" l="1"/>
  <c r="BX1232" i="3"/>
  <c r="BY1234" i="3" l="1"/>
  <c r="BX1233" i="3"/>
  <c r="BY1235" i="3" l="1"/>
  <c r="BX1234" i="3"/>
  <c r="BY1236" i="3" l="1"/>
  <c r="BX1235" i="3"/>
  <c r="BY1237" i="3" l="1"/>
  <c r="BX1236" i="3"/>
  <c r="BX1237" i="3" l="1"/>
  <c r="BY1238" i="3"/>
  <c r="BY1239" i="3" l="1"/>
  <c r="BX1238" i="3"/>
  <c r="BY1240" i="3" l="1"/>
  <c r="BX1239" i="3"/>
  <c r="BY1241" i="3" l="1"/>
  <c r="BX1240" i="3"/>
  <c r="BY1242" i="3" l="1"/>
  <c r="BX1241" i="3"/>
  <c r="BY1243" i="3" l="1"/>
  <c r="BX1242" i="3"/>
  <c r="BX1243" i="3" l="1"/>
  <c r="BY1244" i="3"/>
  <c r="BY1245" i="3" l="1"/>
  <c r="BX1244" i="3"/>
  <c r="BY1246" i="3" l="1"/>
  <c r="BX1245" i="3"/>
  <c r="BY1247" i="3" l="1"/>
  <c r="BX1246" i="3"/>
  <c r="BY1248" i="3" l="1"/>
  <c r="BX1247" i="3"/>
  <c r="BY1249" i="3" l="1"/>
  <c r="BX1248" i="3"/>
  <c r="BX1249" i="3" l="1"/>
  <c r="BY1250" i="3"/>
  <c r="BY1251" i="3" l="1"/>
  <c r="BX1250" i="3"/>
  <c r="BY1252" i="3" l="1"/>
  <c r="BX1251" i="3"/>
  <c r="BY1253" i="3" l="1"/>
  <c r="BX1252" i="3"/>
  <c r="BY1254" i="3" l="1"/>
  <c r="BX1253" i="3"/>
  <c r="BY1255" i="3" l="1"/>
  <c r="BX1254" i="3"/>
  <c r="BX1255" i="3" l="1"/>
  <c r="BY1256" i="3"/>
  <c r="BY1257" i="3" l="1"/>
  <c r="BX1256" i="3"/>
  <c r="BY1258" i="3" l="1"/>
  <c r="BX1257" i="3"/>
  <c r="BY1259" i="3" l="1"/>
  <c r="BX1258" i="3"/>
  <c r="BY1260" i="3" l="1"/>
  <c r="BX1259" i="3"/>
  <c r="BY1261" i="3" l="1"/>
  <c r="BX1260" i="3"/>
  <c r="BX1261" i="3" l="1"/>
  <c r="BY1262" i="3"/>
  <c r="BY1263" i="3" l="1"/>
  <c r="BX1262" i="3"/>
  <c r="BY1264" i="3" l="1"/>
  <c r="BX1263" i="3"/>
  <c r="BY1265" i="3" l="1"/>
  <c r="BX1264" i="3"/>
  <c r="BY1266" i="3" l="1"/>
  <c r="BX1265" i="3"/>
  <c r="BY1267" i="3" l="1"/>
  <c r="BX1266" i="3"/>
  <c r="BX1267" i="3" l="1"/>
  <c r="BY1268" i="3"/>
  <c r="BY1269" i="3" l="1"/>
  <c r="BX1268" i="3"/>
  <c r="BY1270" i="3" l="1"/>
  <c r="BX1269" i="3"/>
  <c r="BY1271" i="3" l="1"/>
  <c r="BX1270" i="3"/>
  <c r="BY1272" i="3" l="1"/>
  <c r="BX1271" i="3"/>
  <c r="BY1273" i="3" l="1"/>
  <c r="BX1272" i="3"/>
  <c r="BX1273" i="3" l="1"/>
  <c r="BY1274" i="3"/>
  <c r="BY1275" i="3" l="1"/>
  <c r="BX1274" i="3"/>
  <c r="BY1276" i="3" l="1"/>
  <c r="BX1275" i="3"/>
  <c r="BY1277" i="3" l="1"/>
  <c r="BX1276" i="3"/>
  <c r="BY1278" i="3" l="1"/>
  <c r="BX1277" i="3"/>
  <c r="BY1279" i="3" l="1"/>
  <c r="BX1278" i="3"/>
  <c r="BX1279" i="3" l="1"/>
  <c r="BY1280" i="3"/>
  <c r="BY1281" i="3" l="1"/>
  <c r="BX1280" i="3"/>
  <c r="BY1282" i="3" l="1"/>
  <c r="BX1281" i="3"/>
  <c r="BY1283" i="3" l="1"/>
  <c r="BX1282" i="3"/>
  <c r="BY1284" i="3" l="1"/>
  <c r="BX1283" i="3"/>
  <c r="BY1285" i="3" l="1"/>
  <c r="BX1284" i="3"/>
  <c r="BX1285" i="3" l="1"/>
  <c r="BY1286" i="3"/>
  <c r="BY1287" i="3" l="1"/>
  <c r="BX1286" i="3"/>
  <c r="BY1288" i="3" l="1"/>
  <c r="BX1287" i="3"/>
  <c r="BY1289" i="3" l="1"/>
  <c r="BX1288" i="3"/>
  <c r="BY1290" i="3" l="1"/>
  <c r="BX1289" i="3"/>
  <c r="BY1291" i="3" l="1"/>
  <c r="BX1290" i="3"/>
  <c r="BX1291" i="3" l="1"/>
  <c r="BY1292" i="3"/>
  <c r="BY1293" i="3" l="1"/>
  <c r="BX1292" i="3"/>
  <c r="BY1294" i="3" l="1"/>
  <c r="BX1293" i="3"/>
  <c r="BY1295" i="3" l="1"/>
  <c r="BX1294" i="3"/>
  <c r="BY1296" i="3" l="1"/>
  <c r="BX1295" i="3"/>
  <c r="BY1297" i="3" l="1"/>
  <c r="BX1296" i="3"/>
  <c r="BX1297" i="3" l="1"/>
  <c r="BY1298" i="3"/>
  <c r="BY1299" i="3" l="1"/>
  <c r="BX1298" i="3"/>
  <c r="BY1300" i="3" l="1"/>
  <c r="BX1299" i="3"/>
  <c r="BY1301" i="3" l="1"/>
  <c r="BX1300" i="3"/>
  <c r="BY1302" i="3" l="1"/>
  <c r="BX1301" i="3"/>
  <c r="BY1303" i="3" l="1"/>
  <c r="BX1302" i="3"/>
  <c r="BX1303" i="3" l="1"/>
  <c r="BY1304" i="3"/>
  <c r="BY1305" i="3" l="1"/>
  <c r="BX1304" i="3"/>
  <c r="BY1306" i="3" l="1"/>
  <c r="BX1305" i="3"/>
  <c r="BY1307" i="3" l="1"/>
  <c r="BX1306" i="3"/>
  <c r="BY1308" i="3" l="1"/>
  <c r="BX1307" i="3"/>
  <c r="BY1309" i="3" l="1"/>
  <c r="BX1308" i="3"/>
  <c r="BX1309" i="3" l="1"/>
  <c r="BY1310" i="3"/>
  <c r="BY1311" i="3" l="1"/>
  <c r="BX1310" i="3"/>
  <c r="BY1312" i="3" l="1"/>
  <c r="BX1311" i="3"/>
  <c r="BY1313" i="3" l="1"/>
  <c r="BX1312" i="3"/>
  <c r="BY1314" i="3" l="1"/>
  <c r="BX1313" i="3"/>
  <c r="BY1315" i="3" l="1"/>
  <c r="BX1314" i="3"/>
  <c r="BX1315" i="3" l="1"/>
  <c r="BY1316" i="3"/>
  <c r="BY1317" i="3" l="1"/>
  <c r="BX1316" i="3"/>
  <c r="BY1318" i="3" l="1"/>
  <c r="BX1317" i="3"/>
  <c r="BY1319" i="3" l="1"/>
  <c r="BX1318" i="3"/>
  <c r="BY1320" i="3" l="1"/>
  <c r="BX1319" i="3"/>
  <c r="BY1321" i="3" l="1"/>
  <c r="BX1320" i="3"/>
  <c r="BX1321" i="3" l="1"/>
  <c r="BY1322" i="3"/>
  <c r="BY1323" i="3" l="1"/>
  <c r="BX1322" i="3"/>
  <c r="BY1324" i="3" l="1"/>
  <c r="BX1323" i="3"/>
  <c r="BY1325" i="3" l="1"/>
  <c r="BX1324" i="3"/>
  <c r="BY1326" i="3" l="1"/>
  <c r="BX1325" i="3"/>
  <c r="BY1327" i="3" l="1"/>
  <c r="BX1326" i="3"/>
  <c r="BX1327" i="3" l="1"/>
  <c r="BY1328" i="3"/>
  <c r="BY1329" i="3" l="1"/>
  <c r="BX1328" i="3"/>
  <c r="BY1330" i="3" l="1"/>
  <c r="BX1329" i="3"/>
  <c r="BY1331" i="3" l="1"/>
  <c r="BX1330" i="3"/>
  <c r="BY1332" i="3" l="1"/>
  <c r="BX1331" i="3"/>
  <c r="BY1333" i="3" l="1"/>
  <c r="BX1332" i="3"/>
  <c r="BX1333" i="3" l="1"/>
  <c r="BY1334" i="3"/>
  <c r="BY1335" i="3" l="1"/>
  <c r="BX1334" i="3"/>
  <c r="BY1336" i="3" l="1"/>
  <c r="BX1335" i="3"/>
  <c r="BY1337" i="3" l="1"/>
  <c r="BX1336" i="3"/>
  <c r="BY1338" i="3" l="1"/>
  <c r="BX1337" i="3"/>
  <c r="BY1339" i="3" l="1"/>
  <c r="BX1338" i="3"/>
  <c r="BX1339" i="3" l="1"/>
  <c r="BY1340" i="3"/>
  <c r="BX1340" i="3" l="1"/>
  <c r="BY1341" i="3"/>
  <c r="BY1342" i="3" l="1"/>
  <c r="BX1341" i="3"/>
  <c r="BY1343" i="3" l="1"/>
  <c r="BX1342" i="3"/>
  <c r="BY1344" i="3" l="1"/>
  <c r="BX1343" i="3"/>
  <c r="BY1345" i="3" l="1"/>
  <c r="BX1344" i="3"/>
  <c r="BX1345" i="3" l="1"/>
  <c r="BY1346" i="3"/>
  <c r="BX1346" i="3" l="1"/>
  <c r="BY1347" i="3"/>
  <c r="BY1348" i="3" l="1"/>
  <c r="BX1347" i="3"/>
  <c r="BY1349" i="3" l="1"/>
  <c r="BX1348" i="3"/>
  <c r="BY1350" i="3" l="1"/>
  <c r="BX1349" i="3"/>
  <c r="BY1351" i="3" l="1"/>
  <c r="BX1350" i="3"/>
  <c r="BX1351" i="3" l="1"/>
  <c r="BY1352" i="3"/>
  <c r="BX1352" i="3" l="1"/>
  <c r="BY1353" i="3"/>
  <c r="BX1353" i="3" l="1"/>
  <c r="BY1354" i="3"/>
  <c r="BY1355" i="3" l="1"/>
  <c r="BX1354" i="3"/>
  <c r="BY1356" i="3" l="1"/>
  <c r="BX1355" i="3"/>
  <c r="BY1357" i="3" l="1"/>
  <c r="BX1356" i="3"/>
  <c r="BX1357" i="3" l="1"/>
  <c r="BY1358" i="3"/>
  <c r="BY1359" i="3" l="1"/>
  <c r="BX1358" i="3"/>
  <c r="BX1359" i="3" l="1"/>
  <c r="BY1360" i="3"/>
  <c r="BY1361" i="3" l="1"/>
  <c r="BX1360" i="3"/>
  <c r="BY1362" i="3" l="1"/>
  <c r="BX1361" i="3"/>
  <c r="BY1363" i="3" l="1"/>
  <c r="BX1362" i="3"/>
  <c r="BX1363" i="3" l="1"/>
  <c r="BY1364" i="3"/>
  <c r="BY1365" i="3" l="1"/>
  <c r="BX1364" i="3"/>
  <c r="BX1365" i="3" l="1"/>
  <c r="BY1366" i="3"/>
  <c r="BX1366" i="3" l="1"/>
  <c r="BY1367" i="3"/>
  <c r="BY1368" i="3" l="1"/>
  <c r="BX1367" i="3"/>
  <c r="BY1369" i="3" l="1"/>
  <c r="BX1368" i="3"/>
  <c r="BX1369" i="3" l="1"/>
  <c r="BY1370" i="3"/>
  <c r="BY1371" i="3" l="1"/>
  <c r="BX1370" i="3"/>
  <c r="BY1372" i="3" l="1"/>
  <c r="BX1371" i="3"/>
  <c r="BX1372" i="3" l="1"/>
  <c r="BY1373" i="3"/>
  <c r="BY1374" i="3" l="1"/>
  <c r="BX1373" i="3"/>
  <c r="BY1375" i="3" l="1"/>
  <c r="BX1374" i="3"/>
  <c r="BX1375" i="3" l="1"/>
  <c r="BY1376" i="3"/>
  <c r="BY1377" i="3" l="1"/>
  <c r="BX1376" i="3"/>
  <c r="BY1378" i="3" l="1"/>
  <c r="BX1377" i="3"/>
  <c r="BX1378" i="3" l="1"/>
  <c r="BY1379" i="3"/>
  <c r="BX1379" i="3" l="1"/>
  <c r="BY1380" i="3"/>
  <c r="BY1381" i="3" l="1"/>
  <c r="BX1380" i="3"/>
  <c r="BX1381" i="3" l="1"/>
  <c r="BY1382" i="3"/>
  <c r="BY1383" i="3" l="1"/>
  <c r="BX1382" i="3"/>
  <c r="BY1384" i="3" l="1"/>
  <c r="BX1383" i="3"/>
  <c r="BY1385" i="3" l="1"/>
  <c r="BX1384" i="3"/>
  <c r="BX1385" i="3" l="1"/>
  <c r="BY1386" i="3"/>
  <c r="BY1387" i="3" l="1"/>
  <c r="BX1386" i="3"/>
  <c r="BX1387" i="3" l="1"/>
  <c r="BY1388" i="3"/>
  <c r="BY1389" i="3" l="1"/>
  <c r="BX1388" i="3"/>
  <c r="BY1390" i="3" l="1"/>
  <c r="BX1389" i="3"/>
  <c r="BY1391" i="3" l="1"/>
  <c r="BX1390" i="3"/>
  <c r="BX1391" i="3" l="1"/>
  <c r="BY1392" i="3"/>
  <c r="BX1392" i="3" l="1"/>
  <c r="BY1393" i="3"/>
  <c r="BX1393" i="3" l="1"/>
  <c r="BY1394" i="3"/>
  <c r="BY1395" i="3" l="1"/>
  <c r="BX1394" i="3"/>
  <c r="BY1396" i="3" l="1"/>
  <c r="BX1395" i="3"/>
  <c r="BY1397" i="3" l="1"/>
  <c r="BX1396" i="3"/>
  <c r="BY1398" i="3" l="1"/>
  <c r="BX1397" i="3"/>
  <c r="BX1398" i="3" l="1"/>
  <c r="BY1399" i="3"/>
  <c r="BX1399" i="3" l="1"/>
  <c r="BY1400" i="3"/>
  <c r="BY1401" i="3" l="1"/>
  <c r="BX1400" i="3"/>
  <c r="BY1402" i="3" l="1"/>
  <c r="BX1401" i="3"/>
  <c r="BY1403" i="3" l="1"/>
  <c r="BX1402" i="3"/>
  <c r="BY1404" i="3" l="1"/>
  <c r="BX1403" i="3"/>
  <c r="BY1405" i="3" l="1"/>
  <c r="BX1404" i="3"/>
  <c r="BX1405" i="3" l="1"/>
  <c r="BY1406" i="3"/>
  <c r="BY1407" i="3" l="1"/>
  <c r="BX1406" i="3"/>
  <c r="BY1408" i="3" l="1"/>
  <c r="BX1407" i="3"/>
  <c r="BY1409" i="3" l="1"/>
  <c r="BX1408" i="3"/>
  <c r="BY1410" i="3" l="1"/>
  <c r="BX1409" i="3"/>
  <c r="BY1411" i="3" l="1"/>
  <c r="BX1410" i="3"/>
  <c r="BX1411" i="3" l="1"/>
  <c r="BY1412" i="3"/>
  <c r="BX1412" i="3" l="1"/>
  <c r="BY1413" i="3"/>
  <c r="BY1414" i="3" l="1"/>
  <c r="BX1413" i="3"/>
  <c r="BY1415" i="3" l="1"/>
  <c r="BX1414" i="3"/>
  <c r="BY1416" i="3" l="1"/>
  <c r="BX1415" i="3"/>
  <c r="BY1417" i="3" l="1"/>
  <c r="BX1416" i="3"/>
  <c r="BX1417" i="3" l="1"/>
  <c r="BY1418" i="3"/>
  <c r="BX1418" i="3" l="1"/>
  <c r="BY1419" i="3"/>
  <c r="BY1420" i="3" l="1"/>
  <c r="BX1419" i="3"/>
  <c r="BY1421" i="3" l="1"/>
  <c r="BX1420" i="3"/>
  <c r="BY1422" i="3" l="1"/>
  <c r="BX1421" i="3"/>
  <c r="BY1423" i="3" l="1"/>
  <c r="BX1422" i="3"/>
  <c r="BX1423" i="3" l="1"/>
  <c r="BY1424" i="3"/>
  <c r="BX1424" i="3" l="1"/>
  <c r="BY1425" i="3"/>
  <c r="BX1425" i="3" l="1"/>
  <c r="BY1426" i="3"/>
  <c r="BY1427" i="3" l="1"/>
  <c r="BX1426" i="3"/>
  <c r="BY1428" i="3" l="1"/>
  <c r="BX1427" i="3"/>
  <c r="BY1429" i="3" l="1"/>
  <c r="BX1428" i="3"/>
  <c r="BX1429" i="3" l="1"/>
  <c r="BY1430" i="3"/>
  <c r="BY1431" i="3" l="1"/>
  <c r="BX1430" i="3"/>
  <c r="BX1431" i="3" l="1"/>
  <c r="BY1432" i="3"/>
  <c r="BY1433" i="3" l="1"/>
  <c r="BX1432" i="3"/>
  <c r="BY1434" i="3" l="1"/>
  <c r="BX1433" i="3"/>
  <c r="BY1435" i="3" l="1"/>
  <c r="BX1434" i="3"/>
  <c r="BX1435" i="3" l="1"/>
  <c r="BY1436" i="3"/>
  <c r="BY1437" i="3" l="1"/>
  <c r="BX1436" i="3"/>
  <c r="BX1437" i="3" l="1"/>
  <c r="BY1438" i="3"/>
  <c r="BX1438" i="3" l="1"/>
  <c r="BY1439" i="3"/>
  <c r="BY1440" i="3" l="1"/>
  <c r="BX1439" i="3"/>
  <c r="BY1441" i="3" l="1"/>
  <c r="BX1440" i="3"/>
  <c r="BX1441" i="3" l="1"/>
  <c r="BY1442" i="3"/>
  <c r="BY1443" i="3" l="1"/>
  <c r="BX1442" i="3"/>
  <c r="BY1444" i="3" l="1"/>
  <c r="BX1443" i="3"/>
  <c r="BX1444" i="3" l="1"/>
  <c r="BY1445" i="3"/>
  <c r="BY1446" i="3" l="1"/>
  <c r="BX1445" i="3"/>
  <c r="BY1447" i="3" l="1"/>
  <c r="BX1446" i="3"/>
  <c r="BX1447" i="3" l="1"/>
  <c r="BY1448" i="3"/>
  <c r="BY1449" i="3" l="1"/>
  <c r="BX1448" i="3"/>
  <c r="BY1450" i="3" l="1"/>
  <c r="BX1449" i="3"/>
  <c r="BX1450" i="3" l="1"/>
  <c r="BY1451" i="3"/>
  <c r="BX1451" i="3" l="1"/>
  <c r="BY1452" i="3"/>
  <c r="BY1453" i="3" l="1"/>
  <c r="BX1452" i="3"/>
  <c r="BX1453" i="3" l="1"/>
  <c r="BY1454" i="3"/>
  <c r="BY1455" i="3" l="1"/>
  <c r="BX1454" i="3"/>
  <c r="BX1455" i="3" l="1"/>
  <c r="BY1456" i="3"/>
  <c r="BY1457" i="3" l="1"/>
  <c r="BX1456" i="3"/>
  <c r="BX1457" i="3" l="1"/>
  <c r="BY1458" i="3"/>
  <c r="BX1458" i="3" l="1"/>
  <c r="BY1459" i="3"/>
  <c r="BX1459" i="3" l="1"/>
  <c r="BY1460" i="3"/>
  <c r="BY1461" i="3" l="1"/>
  <c r="BX1460" i="3"/>
  <c r="BX1461" i="3" l="1"/>
  <c r="BY1462" i="3"/>
  <c r="BY1463" i="3" l="1"/>
  <c r="BX1462" i="3"/>
  <c r="BY1464" i="3" l="1"/>
  <c r="BX1463" i="3"/>
  <c r="BX1464" i="3" l="1"/>
  <c r="BY1465" i="3"/>
  <c r="BX1465" i="3" l="1"/>
  <c r="BY1466" i="3"/>
  <c r="BX1466" i="3" l="1"/>
  <c r="BY1467" i="3"/>
  <c r="BX1467" i="3" l="1"/>
  <c r="BY1468" i="3"/>
  <c r="BY1469" i="3" l="1"/>
  <c r="BX1468" i="3"/>
  <c r="BY1470" i="3" l="1"/>
  <c r="BX1469" i="3"/>
  <c r="BX1470" i="3" l="1"/>
  <c r="BY1471" i="3"/>
  <c r="BX1471" i="3" l="1"/>
  <c r="BY1472" i="3"/>
  <c r="BY1473" i="3" l="1"/>
  <c r="BX1472" i="3"/>
  <c r="BX1473" i="3" l="1"/>
  <c r="BY1474" i="3"/>
  <c r="BX1474" i="3" l="1"/>
  <c r="BY1475" i="3"/>
  <c r="BY1476" i="3" l="1"/>
  <c r="BX1475" i="3"/>
  <c r="BX1476" i="3" l="1"/>
  <c r="BY1477" i="3"/>
  <c r="BX1477" i="3" l="1"/>
  <c r="BY1478" i="3"/>
  <c r="BY1479" i="3" l="1"/>
  <c r="BX1478" i="3"/>
  <c r="BX1479" i="3" l="1"/>
  <c r="BY1480" i="3"/>
  <c r="BY1481" i="3" l="1"/>
  <c r="BX1480" i="3"/>
  <c r="BY1482" i="3" l="1"/>
  <c r="BX1481" i="3"/>
  <c r="BX1482" i="3" l="1"/>
  <c r="BY1483" i="3"/>
  <c r="BX1483" i="3" l="1"/>
  <c r="BY1484" i="3"/>
  <c r="BX1484" i="3" l="1"/>
  <c r="BY1485" i="3"/>
  <c r="BX1485" i="3" l="1"/>
  <c r="BY1486" i="3"/>
  <c r="BY1487" i="3" l="1"/>
  <c r="BX1486" i="3"/>
  <c r="BY1488" i="3" l="1"/>
  <c r="BX1487" i="3"/>
  <c r="BX1488" i="3" l="1"/>
  <c r="BY1489" i="3"/>
  <c r="BX1489" i="3" l="1"/>
  <c r="BY1490" i="3"/>
  <c r="BY1491" i="3" l="1"/>
  <c r="BX1490" i="3"/>
  <c r="BX1491" i="3" l="1"/>
  <c r="BY1492" i="3"/>
  <c r="BX1492" i="3" l="1"/>
  <c r="BY1493" i="3"/>
  <c r="BY1494" i="3" l="1"/>
  <c r="BX1493" i="3"/>
  <c r="BX1494" i="3" l="1"/>
  <c r="BY1495" i="3"/>
  <c r="BX1495" i="3" l="1"/>
  <c r="BY1496" i="3"/>
  <c r="BY1497" i="3" l="1"/>
  <c r="BX1496" i="3"/>
  <c r="BX1497" i="3" l="1"/>
  <c r="BY1498" i="3"/>
  <c r="BY1499" i="3" l="1"/>
  <c r="BX1498" i="3"/>
  <c r="BY1500" i="3" l="1"/>
  <c r="BX1499" i="3"/>
  <c r="BX1500" i="3" l="1"/>
  <c r="BY1501" i="3"/>
  <c r="BX1501" i="3" l="1"/>
  <c r="BY1502" i="3"/>
  <c r="BX1502" i="3" l="1"/>
  <c r="BY1503" i="3"/>
  <c r="BX1503" i="3" l="1"/>
  <c r="BY1504" i="3"/>
  <c r="BY1505" i="3" l="1"/>
  <c r="BX1504" i="3"/>
  <c r="BY1506" i="3" l="1"/>
  <c r="BX1505" i="3"/>
  <c r="BX1506" i="3" l="1"/>
  <c r="BY1507" i="3"/>
  <c r="BX1507" i="3" l="1"/>
  <c r="BY1508" i="3"/>
  <c r="BY1509" i="3" l="1"/>
  <c r="BX1508" i="3"/>
  <c r="BX1509" i="3" l="1"/>
  <c r="BY1510" i="3"/>
  <c r="BX1510" i="3" l="1"/>
  <c r="BY1511" i="3"/>
  <c r="BY1512" i="3" l="1"/>
  <c r="BX1511" i="3"/>
  <c r="BX1512" i="3" l="1"/>
  <c r="BY1513" i="3"/>
  <c r="BX1513" i="3" l="1"/>
  <c r="BY1514" i="3"/>
  <c r="BY1515" i="3" l="1"/>
  <c r="BX1514" i="3"/>
  <c r="BX1515" i="3" l="1"/>
  <c r="BY1516" i="3"/>
  <c r="BY1517" i="3" l="1"/>
  <c r="BX1516" i="3"/>
  <c r="BY1518" i="3" l="1"/>
  <c r="BX1517" i="3"/>
  <c r="BX1518" i="3" l="1"/>
  <c r="BY1519" i="3"/>
  <c r="BX1519" i="3" l="1"/>
  <c r="BY1520" i="3"/>
  <c r="BY1521" i="3" l="1"/>
  <c r="BX1520" i="3"/>
  <c r="BX1521" i="3" l="1"/>
  <c r="BY1522" i="3"/>
  <c r="BY1523" i="3" l="1"/>
  <c r="BX1522" i="3"/>
  <c r="BY1524" i="3" l="1"/>
  <c r="BX1523" i="3"/>
  <c r="BX1524" i="3" l="1"/>
  <c r="BY1525" i="3"/>
  <c r="BX1525" i="3" l="1"/>
  <c r="BY1526" i="3"/>
  <c r="BY1527" i="3" l="1"/>
  <c r="BX1526" i="3"/>
  <c r="BX1527" i="3" l="1"/>
  <c r="BY1528" i="3"/>
  <c r="BY1529" i="3" l="1"/>
  <c r="BX1528" i="3"/>
  <c r="BY1530" i="3" l="1"/>
  <c r="BX1529" i="3"/>
  <c r="BX1530" i="3" l="1"/>
  <c r="BY1531" i="3"/>
  <c r="BX1531" i="3" l="1"/>
  <c r="BY1532" i="3"/>
  <c r="BX1532" i="3" l="1"/>
  <c r="BY1533" i="3"/>
  <c r="BX1533" i="3" l="1"/>
  <c r="BY1534" i="3"/>
  <c r="BY1535" i="3" l="1"/>
  <c r="BX1534" i="3"/>
  <c r="BY1536" i="3" l="1"/>
  <c r="BX1535" i="3"/>
  <c r="BX1536" i="3" l="1"/>
  <c r="BY1537" i="3"/>
  <c r="BX1537" i="3" l="1"/>
  <c r="BY1538" i="3"/>
  <c r="BX1538" i="3" l="1"/>
  <c r="BY1539" i="3"/>
  <c r="BX1539" i="3" l="1"/>
  <c r="BY1540" i="3"/>
  <c r="BY1541" i="3" l="1"/>
  <c r="BX1540" i="3"/>
  <c r="BY1542" i="3" l="1"/>
  <c r="BX1541" i="3"/>
  <c r="BX1542" i="3" l="1"/>
  <c r="BY1543" i="3"/>
  <c r="BX1543" i="3" l="1"/>
  <c r="BY1544" i="3"/>
  <c r="BX1544" i="3" l="1"/>
  <c r="BY1545" i="3"/>
  <c r="BX1545" i="3" l="1"/>
  <c r="BY1546" i="3"/>
  <c r="BY1547" i="3" l="1"/>
  <c r="BX1546" i="3"/>
  <c r="BY1548" i="3" l="1"/>
  <c r="BX1547" i="3"/>
  <c r="BX1548" i="3" l="1"/>
  <c r="BY1549" i="3"/>
  <c r="BX1549" i="3" l="1"/>
  <c r="BY1550" i="3"/>
  <c r="BX1550" i="3" l="1"/>
  <c r="BY1551" i="3"/>
  <c r="BX1551" i="3" l="1"/>
  <c r="BY1552" i="3"/>
  <c r="BY1553" i="3" l="1"/>
  <c r="BX1552" i="3"/>
  <c r="BY1554" i="3" l="1"/>
  <c r="BX1553" i="3"/>
  <c r="BX1554" i="3" l="1"/>
  <c r="BY1555" i="3"/>
  <c r="BX1555" i="3" l="1"/>
  <c r="BY1556" i="3"/>
  <c r="BX1556" i="3" l="1"/>
  <c r="BY1557" i="3"/>
  <c r="BX1557" i="3" l="1"/>
  <c r="BY1558" i="3"/>
  <c r="BY1559" i="3" l="1"/>
  <c r="BX1558" i="3"/>
  <c r="BY1560" i="3" l="1"/>
  <c r="BX1559" i="3"/>
  <c r="BX1560" i="3" l="1"/>
  <c r="BY1561" i="3"/>
  <c r="BX1561" i="3" l="1"/>
  <c r="BY1562" i="3"/>
  <c r="BX1562" i="3" l="1"/>
  <c r="BY1563" i="3"/>
  <c r="BX1563" i="3" l="1"/>
  <c r="BY1564" i="3"/>
  <c r="BY1565" i="3" l="1"/>
  <c r="BX1564" i="3"/>
  <c r="BY1566" i="3" l="1"/>
  <c r="BX1565" i="3"/>
  <c r="BX1566" i="3" l="1"/>
  <c r="BY1567" i="3"/>
  <c r="BX1567" i="3" l="1"/>
  <c r="BY1568" i="3"/>
  <c r="BX1568" i="3" l="1"/>
  <c r="BY1569" i="3"/>
  <c r="BX1569" i="3" l="1"/>
  <c r="BY1570" i="3"/>
  <c r="BY1571" i="3" l="1"/>
  <c r="BX1570" i="3"/>
  <c r="BY1572" i="3" l="1"/>
  <c r="BX1571" i="3"/>
  <c r="BX1572" i="3" l="1"/>
  <c r="BY1573" i="3"/>
  <c r="BX1573" i="3" l="1"/>
  <c r="BY1574" i="3"/>
  <c r="BX1574" i="3" l="1"/>
  <c r="BY1575" i="3"/>
  <c r="BX1575" i="3" l="1"/>
  <c r="BY1576" i="3"/>
  <c r="BY1577" i="3" l="1"/>
  <c r="BX1576" i="3"/>
  <c r="BY1578" i="3" l="1"/>
  <c r="BX1577" i="3"/>
  <c r="BX1578" i="3" l="1"/>
  <c r="BY1579" i="3"/>
  <c r="BX1579" i="3" l="1"/>
  <c r="BY1580" i="3"/>
  <c r="BX1580" i="3" l="1"/>
  <c r="BY1581" i="3"/>
  <c r="BX1581" i="3" l="1"/>
  <c r="BY1582" i="3"/>
  <c r="BY1583" i="3" l="1"/>
  <c r="BX1582" i="3"/>
  <c r="BY1584" i="3" l="1"/>
  <c r="BX1583" i="3"/>
  <c r="BX1584" i="3" l="1"/>
  <c r="BY1585" i="3"/>
  <c r="BX1585" i="3" l="1"/>
  <c r="BY1586" i="3"/>
  <c r="BX1586" i="3" l="1"/>
  <c r="BY1587" i="3"/>
  <c r="BX1587" i="3" l="1"/>
  <c r="BY1588" i="3"/>
  <c r="BY1589" i="3" l="1"/>
  <c r="BX1588" i="3"/>
  <c r="BY1590" i="3" l="1"/>
  <c r="BX1589" i="3"/>
  <c r="BX1590" i="3" l="1"/>
  <c r="BY1591" i="3"/>
  <c r="BX1591" i="3" l="1"/>
  <c r="BY1592" i="3"/>
  <c r="BX1592" i="3" l="1"/>
  <c r="BY1593" i="3"/>
  <c r="BX1593" i="3" l="1"/>
  <c r="BY1594" i="3"/>
  <c r="BY1595" i="3" l="1"/>
  <c r="BX1594" i="3"/>
  <c r="BY1596" i="3" l="1"/>
  <c r="BX1595" i="3"/>
  <c r="BX1596" i="3" l="1"/>
  <c r="BY1597" i="3"/>
  <c r="BX1597" i="3" l="1"/>
  <c r="BY1598" i="3"/>
  <c r="BX1598" i="3" l="1"/>
  <c r="BY1599" i="3"/>
  <c r="BX1599" i="3" l="1"/>
  <c r="BY1600" i="3"/>
  <c r="BY1601" i="3" l="1"/>
  <c r="BX1600" i="3"/>
  <c r="BY1602" i="3" l="1"/>
  <c r="BX1601" i="3"/>
  <c r="BX1602" i="3" l="1"/>
  <c r="BY1603" i="3"/>
  <c r="BY1604" i="3" l="1"/>
  <c r="BX1603" i="3"/>
  <c r="BX1604" i="3" l="1"/>
  <c r="BY1605" i="3"/>
  <c r="BX1605" i="3" l="1"/>
  <c r="BY1606" i="3"/>
  <c r="BY1607" i="3" l="1"/>
  <c r="BX1606" i="3"/>
  <c r="BY1608" i="3" l="1"/>
  <c r="BX1607" i="3"/>
  <c r="BX1608" i="3" l="1"/>
  <c r="BY1609" i="3"/>
  <c r="BY1610" i="3" l="1"/>
  <c r="BX1609" i="3"/>
  <c r="BX1610" i="3" l="1"/>
  <c r="BY1611" i="3"/>
  <c r="BX1611" i="3" l="1"/>
  <c r="BY1612" i="3"/>
  <c r="BY1613" i="3" l="1"/>
  <c r="BX1612" i="3"/>
  <c r="BY1614" i="3" l="1"/>
  <c r="BX1613" i="3"/>
  <c r="BX1614" i="3" l="1"/>
  <c r="BY1615" i="3"/>
  <c r="BY1616" i="3" l="1"/>
  <c r="BX1615" i="3"/>
  <c r="BX1616" i="3" l="1"/>
  <c r="BY1617" i="3"/>
  <c r="BX1617" i="3" l="1"/>
  <c r="BY1618" i="3"/>
  <c r="BY1619" i="3" l="1"/>
  <c r="BX1618" i="3"/>
  <c r="BY1620" i="3" l="1"/>
  <c r="BX1619" i="3"/>
  <c r="BX1620" i="3" l="1"/>
  <c r="BY1621" i="3"/>
  <c r="BY1622" i="3" l="1"/>
  <c r="BX1621" i="3"/>
  <c r="BX1622" i="3" l="1"/>
  <c r="BY1623" i="3"/>
  <c r="BX1623" i="3" l="1"/>
  <c r="BY1624" i="3"/>
  <c r="BY1625" i="3" l="1"/>
  <c r="BX1624" i="3"/>
  <c r="BY1626" i="3" l="1"/>
  <c r="BX1625" i="3"/>
  <c r="BX1626" i="3" l="1"/>
  <c r="BY1627" i="3"/>
  <c r="BY1628" i="3" l="1"/>
  <c r="BX1627" i="3"/>
  <c r="BX1628" i="3" l="1"/>
  <c r="BY1629" i="3"/>
  <c r="BX1629" i="3" l="1"/>
  <c r="BY1630" i="3"/>
  <c r="BY1631" i="3" l="1"/>
  <c r="BX1630" i="3"/>
  <c r="BY1632" i="3" l="1"/>
  <c r="BX1631" i="3"/>
  <c r="BX1632" i="3" l="1"/>
  <c r="BY1633" i="3"/>
  <c r="BY1634" i="3" l="1"/>
  <c r="BX1633" i="3"/>
  <c r="BX1634" i="3" l="1"/>
  <c r="BY1635" i="3"/>
  <c r="BX1635" i="3" l="1"/>
  <c r="BY1636" i="3"/>
  <c r="BY1637" i="3" l="1"/>
  <c r="BX1636" i="3"/>
  <c r="BY1638" i="3" l="1"/>
  <c r="BX1637" i="3"/>
  <c r="BX1638" i="3" l="1"/>
  <c r="BY1639" i="3"/>
  <c r="BY1640" i="3" l="1"/>
  <c r="BX1639" i="3"/>
  <c r="BX1640" i="3" l="1"/>
  <c r="BY1641" i="3"/>
  <c r="BX1641" i="3" l="1"/>
  <c r="BY1642" i="3"/>
  <c r="BY1643" i="3" l="1"/>
  <c r="BX1642" i="3"/>
  <c r="BY1644" i="3" l="1"/>
  <c r="BX1643" i="3"/>
  <c r="BX1644" i="3" l="1"/>
  <c r="BY1645" i="3"/>
  <c r="BY1646" i="3" l="1"/>
  <c r="BX1645" i="3"/>
  <c r="BX1646" i="3" l="1"/>
  <c r="BY1647" i="3"/>
  <c r="BX1647" i="3" l="1"/>
  <c r="BY1648" i="3"/>
  <c r="BY1649" i="3" l="1"/>
  <c r="BX1648" i="3"/>
  <c r="BY1650" i="3" l="1"/>
  <c r="BX1649" i="3"/>
  <c r="BY1651" i="3" l="1"/>
  <c r="BX1650" i="3"/>
  <c r="BY1652" i="3" l="1"/>
  <c r="BX1651" i="3"/>
  <c r="BX1652" i="3" l="1"/>
  <c r="BY1653" i="3"/>
  <c r="BX1653" i="3" l="1"/>
  <c r="BY1654" i="3"/>
  <c r="BY1655" i="3" l="1"/>
  <c r="BX1654" i="3"/>
  <c r="BY1656" i="3" l="1"/>
  <c r="BX1655" i="3"/>
  <c r="BY1657" i="3" l="1"/>
  <c r="BX1656" i="3"/>
  <c r="BY1658" i="3" l="1"/>
  <c r="BX1657" i="3"/>
  <c r="BX1658" i="3" l="1"/>
  <c r="BY1659" i="3"/>
  <c r="BX1659" i="3" l="1"/>
  <c r="BY1660" i="3"/>
  <c r="BY1661" i="3" l="1"/>
  <c r="BX1660" i="3"/>
  <c r="BY1662" i="3" l="1"/>
  <c r="BX1661" i="3"/>
  <c r="BY1663" i="3" l="1"/>
  <c r="BX1662" i="3"/>
  <c r="BY1664" i="3" l="1"/>
  <c r="BX1663" i="3"/>
  <c r="BX1664" i="3" l="1"/>
  <c r="BY1665" i="3"/>
  <c r="BX1665" i="3" l="1"/>
  <c r="BY1666" i="3"/>
  <c r="BY1667" i="3" l="1"/>
  <c r="BX1666" i="3"/>
  <c r="BY1668" i="3" l="1"/>
  <c r="BX1667" i="3"/>
  <c r="BY1669" i="3" l="1"/>
  <c r="BX1668" i="3"/>
  <c r="BY1670" i="3" l="1"/>
  <c r="BX1669" i="3"/>
  <c r="BX1670" i="3" l="1"/>
  <c r="BY1671" i="3"/>
  <c r="BX1671" i="3" l="1"/>
  <c r="BY1672" i="3"/>
  <c r="BY1673" i="3" l="1"/>
  <c r="BX1672" i="3"/>
  <c r="BY1674" i="3" l="1"/>
  <c r="BX1673" i="3"/>
  <c r="BY1675" i="3" l="1"/>
  <c r="BX1674" i="3"/>
  <c r="BY1676" i="3" l="1"/>
  <c r="BX1675" i="3"/>
  <c r="BX1676" i="3" l="1"/>
  <c r="BY1677" i="3"/>
  <c r="BX1677" i="3" l="1"/>
  <c r="BY1678" i="3"/>
  <c r="BY1679" i="3" l="1"/>
  <c r="BX1678" i="3"/>
  <c r="BY1680" i="3" l="1"/>
  <c r="BX1679" i="3"/>
  <c r="BY1681" i="3" l="1"/>
  <c r="BX1680" i="3"/>
  <c r="BY1682" i="3" l="1"/>
  <c r="BX1681" i="3"/>
  <c r="BX1682" i="3" l="1"/>
  <c r="BY1683" i="3"/>
  <c r="BX1683" i="3" l="1"/>
  <c r="BY1684" i="3"/>
  <c r="BY1685" i="3" l="1"/>
  <c r="BX1684" i="3"/>
  <c r="BY1686" i="3" l="1"/>
  <c r="BX1685" i="3"/>
  <c r="BY1687" i="3" l="1"/>
  <c r="BX1686" i="3"/>
  <c r="BY1688" i="3" l="1"/>
  <c r="BX1687" i="3"/>
  <c r="BX1688" i="3" l="1"/>
  <c r="BY1689" i="3"/>
  <c r="BX1689" i="3" l="1"/>
  <c r="BY1690" i="3"/>
  <c r="BY1691" i="3" l="1"/>
  <c r="BX1690" i="3"/>
  <c r="BY1692" i="3" l="1"/>
  <c r="BX1691" i="3"/>
  <c r="BY1693" i="3" l="1"/>
  <c r="BX1692" i="3"/>
  <c r="BY1694" i="3" l="1"/>
  <c r="BX1693" i="3"/>
  <c r="BX1694" i="3" l="1"/>
  <c r="BY1695" i="3"/>
  <c r="BX1695" i="3" l="1"/>
  <c r="BY1696" i="3"/>
  <c r="BY1697" i="3" l="1"/>
  <c r="BX1696" i="3"/>
  <c r="BY1698" i="3" l="1"/>
  <c r="BX1697" i="3"/>
  <c r="BY1699" i="3" l="1"/>
  <c r="BX1698" i="3"/>
  <c r="BY1700" i="3" l="1"/>
  <c r="BX1699" i="3"/>
  <c r="BX1700" i="3" l="1"/>
  <c r="BY1701" i="3"/>
  <c r="BX1701" i="3" l="1"/>
  <c r="BY1702" i="3"/>
  <c r="BY1703" i="3" l="1"/>
  <c r="BX1702" i="3"/>
  <c r="BY1704" i="3" l="1"/>
  <c r="BX1703" i="3"/>
  <c r="BY1705" i="3" l="1"/>
  <c r="BX1704" i="3"/>
  <c r="BY1706" i="3" l="1"/>
  <c r="BX1705" i="3"/>
  <c r="BX1706" i="3" l="1"/>
  <c r="BY1707" i="3"/>
  <c r="BX1707" i="3" l="1"/>
  <c r="BY1708" i="3"/>
  <c r="BY1709" i="3" l="1"/>
  <c r="BX1708" i="3"/>
  <c r="BY1710" i="3" l="1"/>
  <c r="BX1709" i="3"/>
  <c r="BY1711" i="3" l="1"/>
  <c r="BX1710" i="3"/>
  <c r="BY1712" i="3" l="1"/>
  <c r="BX1711" i="3"/>
  <c r="BX1712" i="3" l="1"/>
  <c r="BY1713" i="3"/>
  <c r="BX1713" i="3" l="1"/>
  <c r="BY1714" i="3"/>
  <c r="BY1715" i="3" l="1"/>
  <c r="BX1714" i="3"/>
  <c r="BY1716" i="3" l="1"/>
  <c r="BX1715" i="3"/>
  <c r="BY1717" i="3" l="1"/>
  <c r="BX1716" i="3"/>
  <c r="BY1718" i="3" l="1"/>
  <c r="BX1717" i="3"/>
  <c r="BX1718" i="3" l="1"/>
  <c r="BY1719" i="3"/>
  <c r="BX1719" i="3" l="1"/>
  <c r="BY1720" i="3"/>
  <c r="BY1721" i="3" l="1"/>
  <c r="BX1720" i="3"/>
  <c r="BY1722" i="3" l="1"/>
  <c r="BX1721" i="3"/>
  <c r="BY1723" i="3" l="1"/>
  <c r="BX1722" i="3"/>
  <c r="BY1724" i="3" l="1"/>
  <c r="BX1723" i="3"/>
  <c r="BX1724" i="3" l="1"/>
  <c r="BY1725" i="3"/>
  <c r="BX1725" i="3" l="1"/>
  <c r="BY1726" i="3"/>
  <c r="BY1727" i="3" l="1"/>
  <c r="BX1726" i="3"/>
  <c r="BY1728" i="3" l="1"/>
  <c r="BX1727" i="3"/>
  <c r="BY1729" i="3" l="1"/>
  <c r="BX1728" i="3"/>
  <c r="BY1730" i="3" l="1"/>
  <c r="BX1729" i="3"/>
  <c r="BX1730" i="3" l="1"/>
  <c r="BY1731" i="3"/>
  <c r="BX1731" i="3" l="1"/>
  <c r="BY1732" i="3"/>
  <c r="BY1733" i="3" l="1"/>
  <c r="BX1732" i="3"/>
  <c r="BY1734" i="3" l="1"/>
  <c r="BX1733" i="3"/>
  <c r="BY1735" i="3" l="1"/>
  <c r="BX1734" i="3"/>
  <c r="BY1736" i="3" l="1"/>
  <c r="BX1735" i="3"/>
  <c r="BX1736" i="3" l="1"/>
  <c r="BY1737" i="3"/>
  <c r="BX1737" i="3" l="1"/>
  <c r="BY1738" i="3"/>
  <c r="BY1739" i="3" l="1"/>
  <c r="BX1738" i="3"/>
  <c r="BY1740" i="3" l="1"/>
  <c r="BX1739" i="3"/>
  <c r="BY1741" i="3" l="1"/>
  <c r="BX1740" i="3"/>
  <c r="BY1742" i="3" l="1"/>
  <c r="BX1741" i="3"/>
  <c r="BX1742" i="3" l="1"/>
  <c r="BY1743" i="3"/>
  <c r="BX1743" i="3" l="1"/>
  <c r="BY1744" i="3"/>
  <c r="BY1745" i="3" l="1"/>
  <c r="BX1744" i="3"/>
  <c r="BY1746" i="3" l="1"/>
  <c r="BX1745" i="3"/>
  <c r="BY1747" i="3" l="1"/>
  <c r="BX1746" i="3"/>
  <c r="BY1748" i="3" l="1"/>
  <c r="BX1747" i="3"/>
  <c r="BX1748" i="3" l="1"/>
  <c r="BY1749" i="3"/>
  <c r="BX1749" i="3" l="1"/>
  <c r="BY1750" i="3"/>
  <c r="BY1751" i="3" l="1"/>
  <c r="BX1750" i="3"/>
  <c r="BY1752" i="3" l="1"/>
  <c r="BX1751" i="3"/>
  <c r="BY1753" i="3" l="1"/>
  <c r="BX1752" i="3"/>
  <c r="BY1754" i="3" l="1"/>
  <c r="BX1753" i="3"/>
  <c r="BX1754" i="3" l="1"/>
  <c r="BY1755" i="3"/>
  <c r="BX1755" i="3" l="1"/>
  <c r="BY1756" i="3"/>
  <c r="BY1757" i="3" l="1"/>
  <c r="BX1756" i="3"/>
  <c r="BY1758" i="3" l="1"/>
  <c r="BX1757" i="3"/>
  <c r="BY1759" i="3" l="1"/>
  <c r="BX1758" i="3"/>
  <c r="BY1760" i="3" l="1"/>
  <c r="BX1759" i="3"/>
  <c r="BX1760" i="3" l="1"/>
  <c r="BY1761" i="3"/>
  <c r="BX1761" i="3" l="1"/>
  <c r="BY1762" i="3"/>
  <c r="BY1763" i="3" l="1"/>
  <c r="BX1762" i="3"/>
  <c r="BY1764" i="3" l="1"/>
  <c r="BX1763" i="3"/>
  <c r="BY1765" i="3" l="1"/>
  <c r="BX1764" i="3"/>
  <c r="BY1766" i="3" l="1"/>
  <c r="BX1765" i="3"/>
  <c r="BX1766" i="3" l="1"/>
  <c r="BY1767" i="3"/>
  <c r="BX1767" i="3" l="1"/>
  <c r="BY1768" i="3"/>
  <c r="BY1769" i="3" l="1"/>
  <c r="BX1768" i="3"/>
  <c r="BY1770" i="3" l="1"/>
  <c r="BX1769" i="3"/>
  <c r="BY1771" i="3" l="1"/>
  <c r="BX1770" i="3"/>
  <c r="BY1772" i="3" l="1"/>
  <c r="BX1771" i="3"/>
  <c r="BX1772" i="3" l="1"/>
  <c r="BY1773" i="3"/>
  <c r="BX1773" i="3" l="1"/>
  <c r="BY1774" i="3"/>
  <c r="BY1775" i="3" l="1"/>
  <c r="BX1774" i="3"/>
  <c r="BY1776" i="3" l="1"/>
  <c r="BX1775" i="3"/>
  <c r="BY1777" i="3" l="1"/>
  <c r="BX1776" i="3"/>
  <c r="BY1778" i="3" l="1"/>
  <c r="BX1777" i="3"/>
  <c r="BX1778" i="3" l="1"/>
  <c r="BY1779" i="3"/>
  <c r="BX1779" i="3" l="1"/>
  <c r="BY1780" i="3"/>
  <c r="BY1781" i="3" l="1"/>
  <c r="BX1780" i="3"/>
  <c r="BY1782" i="3" l="1"/>
  <c r="BX1781" i="3"/>
  <c r="BY1783" i="3" l="1"/>
  <c r="BX1782" i="3"/>
  <c r="BY1784" i="3" l="1"/>
  <c r="BX1783" i="3"/>
  <c r="BX1784" i="3" l="1"/>
  <c r="BY1785" i="3"/>
  <c r="BX1785" i="3" l="1"/>
  <c r="BY1786" i="3"/>
  <c r="BY1787" i="3" l="1"/>
  <c r="BX1786" i="3"/>
  <c r="BY1788" i="3" l="1"/>
  <c r="BX1787" i="3"/>
  <c r="BY1789" i="3" l="1"/>
  <c r="BX1788" i="3"/>
  <c r="BY1790" i="3" l="1"/>
  <c r="BX1789" i="3"/>
  <c r="BX1790" i="3" l="1"/>
  <c r="BY1791" i="3"/>
  <c r="BX1791" i="3" l="1"/>
  <c r="BY1792" i="3"/>
  <c r="BY1793" i="3" l="1"/>
  <c r="BX1792" i="3"/>
  <c r="BY1794" i="3" l="1"/>
  <c r="BX1793" i="3"/>
  <c r="BY1795" i="3" l="1"/>
  <c r="BX1794" i="3"/>
  <c r="BY1796" i="3" l="1"/>
  <c r="BX1795" i="3"/>
  <c r="BX1796" i="3" l="1"/>
  <c r="BY1797" i="3"/>
  <c r="BX1797" i="3" l="1"/>
  <c r="BY1798" i="3"/>
  <c r="BY1799" i="3" l="1"/>
  <c r="BX1798" i="3"/>
  <c r="BY1800" i="3" l="1"/>
  <c r="BX1799" i="3"/>
  <c r="BY1801" i="3" l="1"/>
  <c r="BX1800" i="3"/>
  <c r="BY1802" i="3" l="1"/>
  <c r="BX1801" i="3"/>
  <c r="BX1802" i="3" l="1"/>
  <c r="BY1803" i="3"/>
  <c r="BX1803" i="3" l="1"/>
  <c r="BY1804" i="3"/>
  <c r="BY1805" i="3" l="1"/>
  <c r="BX1804" i="3"/>
  <c r="BY1806" i="3" l="1"/>
  <c r="BX1805" i="3"/>
  <c r="BY1807" i="3" l="1"/>
  <c r="BX1806" i="3"/>
  <c r="BY1808" i="3" l="1"/>
  <c r="BX1807" i="3"/>
  <c r="BX1808" i="3" l="1"/>
  <c r="BY1809" i="3"/>
  <c r="BX1809" i="3" l="1"/>
  <c r="BY1810" i="3"/>
  <c r="BY1811" i="3" l="1"/>
  <c r="BX1810" i="3"/>
  <c r="BY1812" i="3" l="1"/>
  <c r="BX1811" i="3"/>
  <c r="BY1813" i="3" l="1"/>
  <c r="BX1812" i="3"/>
  <c r="BY1814" i="3" l="1"/>
  <c r="BX1813" i="3"/>
  <c r="BX1814" i="3" l="1"/>
  <c r="BY1815" i="3"/>
  <c r="BX1815" i="3" l="1"/>
  <c r="BY1816" i="3"/>
  <c r="BY1817" i="3" l="1"/>
  <c r="BX1816" i="3"/>
  <c r="BY1818" i="3" l="1"/>
  <c r="BX1817" i="3"/>
  <c r="BY1819" i="3" l="1"/>
  <c r="BX1818" i="3"/>
  <c r="BY1820" i="3" l="1"/>
  <c r="BX1819" i="3"/>
  <c r="BX1820" i="3" l="1"/>
  <c r="BY1821" i="3"/>
  <c r="BX1821" i="3" l="1"/>
  <c r="BY1822" i="3"/>
  <c r="BY1823" i="3" l="1"/>
  <c r="BX1822" i="3"/>
  <c r="BY1824" i="3" l="1"/>
  <c r="BX1823" i="3"/>
  <c r="BY1825" i="3" l="1"/>
  <c r="BX1824" i="3"/>
  <c r="BY1826" i="3" l="1"/>
  <c r="BX1825" i="3"/>
  <c r="BX1826" i="3" l="1"/>
  <c r="BY1827" i="3"/>
  <c r="BX1827" i="3" l="1"/>
  <c r="BY1828" i="3"/>
  <c r="BY1829" i="3" l="1"/>
  <c r="BX1828" i="3"/>
  <c r="BY1830" i="3" l="1"/>
  <c r="BX1829" i="3"/>
  <c r="BY1831" i="3" l="1"/>
  <c r="BX1830" i="3"/>
  <c r="BY1832" i="3" l="1"/>
  <c r="BX1831" i="3"/>
  <c r="BX1832" i="3" l="1"/>
  <c r="BY1833" i="3"/>
  <c r="BX1833" i="3" l="1"/>
  <c r="BY1834" i="3"/>
  <c r="BY1835" i="3" l="1"/>
  <c r="BX1834" i="3"/>
  <c r="BY1836" i="3" l="1"/>
  <c r="BX1835" i="3"/>
  <c r="BY1837" i="3" l="1"/>
  <c r="BX1836" i="3"/>
  <c r="BY1838" i="3" l="1"/>
  <c r="BX1837" i="3"/>
  <c r="BX1838" i="3" l="1"/>
  <c r="BY1839" i="3"/>
  <c r="BX1839" i="3" l="1"/>
  <c r="BY1840" i="3"/>
  <c r="BY1841" i="3" l="1"/>
  <c r="BX1840" i="3"/>
  <c r="BY1842" i="3" l="1"/>
  <c r="BX1841" i="3"/>
  <c r="BY1843" i="3" l="1"/>
  <c r="BX1842" i="3"/>
  <c r="BY1844" i="3" l="1"/>
  <c r="BX1843" i="3"/>
  <c r="BX1844" i="3" l="1"/>
  <c r="BY1845" i="3"/>
  <c r="BX1845" i="3" l="1"/>
  <c r="BY1846" i="3"/>
  <c r="BY1847" i="3" l="1"/>
  <c r="BX1846" i="3"/>
  <c r="BY1848" i="3" l="1"/>
  <c r="BX1847" i="3"/>
  <c r="BY1849" i="3" l="1"/>
  <c r="BX1848" i="3"/>
  <c r="BY1850" i="3" l="1"/>
  <c r="BX1849" i="3"/>
  <c r="BX1850" i="3" l="1"/>
  <c r="BY1851" i="3"/>
  <c r="BX1851" i="3" l="1"/>
  <c r="BY1852" i="3"/>
  <c r="BY1853" i="3" l="1"/>
  <c r="BX1852" i="3"/>
  <c r="BY1854" i="3" l="1"/>
  <c r="BX1853" i="3"/>
  <c r="BY1855" i="3" l="1"/>
  <c r="BX1854" i="3"/>
  <c r="BY1856" i="3" l="1"/>
  <c r="BX1855" i="3"/>
  <c r="BX1856" i="3" l="1"/>
  <c r="BY1857" i="3"/>
  <c r="BX1857" i="3" l="1"/>
  <c r="BY1858" i="3"/>
  <c r="BY1859" i="3" l="1"/>
  <c r="BX1858" i="3"/>
  <c r="BY1860" i="3" l="1"/>
  <c r="BX1859" i="3"/>
  <c r="BY1861" i="3" l="1"/>
  <c r="BX1860" i="3"/>
  <c r="BY1862" i="3" l="1"/>
  <c r="BX1861" i="3"/>
  <c r="BX1862" i="3" l="1"/>
  <c r="BY1863" i="3"/>
  <c r="BX1863" i="3" l="1"/>
  <c r="BY1864" i="3"/>
  <c r="BY1865" i="3" l="1"/>
  <c r="BX1864" i="3"/>
  <c r="BY1866" i="3" l="1"/>
  <c r="BX1865" i="3"/>
  <c r="BY1867" i="3" l="1"/>
  <c r="BX1866" i="3"/>
  <c r="BY1868" i="3" l="1"/>
  <c r="BX1867" i="3"/>
  <c r="BX1868" i="3" l="1"/>
  <c r="BY1869" i="3"/>
  <c r="BX1869" i="3" l="1"/>
  <c r="BY1870" i="3"/>
  <c r="BY1871" i="3" l="1"/>
  <c r="BX1870" i="3"/>
  <c r="BY1872" i="3" l="1"/>
  <c r="BX1871" i="3"/>
  <c r="BY1873" i="3" l="1"/>
  <c r="BX1872" i="3"/>
  <c r="BY1874" i="3" l="1"/>
  <c r="BX1873" i="3"/>
  <c r="BX1874" i="3" l="1"/>
  <c r="BY1875" i="3"/>
  <c r="BX1875" i="3" l="1"/>
  <c r="BY1876" i="3"/>
  <c r="BY1877" i="3" l="1"/>
  <c r="BX1876" i="3"/>
  <c r="BY1878" i="3" l="1"/>
  <c r="BX1877" i="3"/>
  <c r="BY1879" i="3" l="1"/>
  <c r="BX1878" i="3"/>
  <c r="BY1880" i="3" l="1"/>
  <c r="BX1879" i="3"/>
  <c r="BX1880" i="3" l="1"/>
  <c r="BY1881" i="3"/>
  <c r="BX1881" i="3" l="1"/>
  <c r="BY1882" i="3"/>
  <c r="BY1883" i="3" l="1"/>
  <c r="BX1882" i="3"/>
  <c r="BY1884" i="3" l="1"/>
  <c r="BX1883" i="3"/>
  <c r="BY1885" i="3" l="1"/>
  <c r="BX1884" i="3"/>
  <c r="BY1886" i="3" l="1"/>
  <c r="BX1885" i="3"/>
  <c r="BX1886" i="3" l="1"/>
  <c r="BY1887" i="3"/>
  <c r="BX1887" i="3" l="1"/>
  <c r="BY1888" i="3"/>
  <c r="BY1889" i="3" l="1"/>
  <c r="BX1888" i="3"/>
  <c r="BY1890" i="3" l="1"/>
  <c r="BX1889" i="3"/>
  <c r="BY1891" i="3" l="1"/>
  <c r="BX1890" i="3"/>
  <c r="BY1892" i="3" l="1"/>
  <c r="BX1891" i="3"/>
  <c r="BX1892" i="3" l="1"/>
  <c r="BY1893" i="3"/>
  <c r="BX1893" i="3" l="1"/>
  <c r="BY1894" i="3"/>
  <c r="BY1895" i="3" l="1"/>
  <c r="BX1894" i="3"/>
  <c r="BY1896" i="3" l="1"/>
  <c r="BX1895" i="3"/>
  <c r="BY1897" i="3" l="1"/>
  <c r="BX1896" i="3"/>
  <c r="BY1898" i="3" l="1"/>
  <c r="BX1897" i="3"/>
  <c r="BX1898" i="3" l="1"/>
  <c r="BY1899" i="3"/>
  <c r="BX1899" i="3" l="1"/>
  <c r="BY1900" i="3"/>
  <c r="BY1901" i="3" l="1"/>
  <c r="BX1900" i="3"/>
  <c r="BY1902" i="3" l="1"/>
  <c r="BX1901" i="3"/>
  <c r="BY1903" i="3" l="1"/>
  <c r="BX1902" i="3"/>
  <c r="BY1904" i="3" l="1"/>
  <c r="BX1903" i="3"/>
  <c r="BX1904" i="3" l="1"/>
  <c r="BY1905" i="3"/>
  <c r="BX1905" i="3" l="1"/>
  <c r="BY1906" i="3"/>
  <c r="BY1907" i="3" l="1"/>
  <c r="BX1906" i="3"/>
  <c r="BY1908" i="3" l="1"/>
  <c r="BX1907" i="3"/>
  <c r="BY1909" i="3" l="1"/>
  <c r="BX1908" i="3"/>
  <c r="BY1910" i="3" l="1"/>
  <c r="BX1909" i="3"/>
  <c r="BX1910" i="3" l="1"/>
  <c r="BY1911" i="3"/>
  <c r="BX1911" i="3" l="1"/>
  <c r="BY1912" i="3"/>
  <c r="BY1913" i="3" l="1"/>
  <c r="BX1912" i="3"/>
  <c r="BY1914" i="3" l="1"/>
  <c r="BX1913" i="3"/>
  <c r="BY1915" i="3" l="1"/>
  <c r="BX1914" i="3"/>
  <c r="BY1916" i="3" l="1"/>
  <c r="BX1915" i="3"/>
  <c r="BX1916" i="3" l="1"/>
  <c r="BY1917" i="3"/>
  <c r="BX1917" i="3" l="1"/>
  <c r="BY1918" i="3"/>
  <c r="BY1919" i="3" l="1"/>
  <c r="BX1918" i="3"/>
  <c r="BY1920" i="3" l="1"/>
  <c r="BX1919" i="3"/>
  <c r="BY1921" i="3" l="1"/>
  <c r="BX1920" i="3"/>
  <c r="BY1922" i="3" l="1"/>
  <c r="BX1921" i="3"/>
  <c r="BX1922" i="3" l="1"/>
  <c r="BY1923" i="3"/>
  <c r="BX1923" i="3" l="1"/>
  <c r="BY1924" i="3"/>
  <c r="BY1925" i="3" l="1"/>
  <c r="BX1924" i="3"/>
  <c r="BY1926" i="3" l="1"/>
  <c r="BX1925" i="3"/>
  <c r="BY1927" i="3" l="1"/>
  <c r="BX1926" i="3"/>
  <c r="BY1928" i="3" l="1"/>
  <c r="BX1927" i="3"/>
  <c r="BX1928" i="3" l="1"/>
  <c r="BY1929" i="3"/>
  <c r="BX1929" i="3" l="1"/>
  <c r="BY1930" i="3"/>
  <c r="BY1931" i="3" l="1"/>
  <c r="BX1930" i="3"/>
  <c r="BY1932" i="3" l="1"/>
  <c r="BX1931" i="3"/>
  <c r="BY1933" i="3" l="1"/>
  <c r="BX1932" i="3"/>
  <c r="BY1934" i="3" l="1"/>
  <c r="BX1933" i="3"/>
  <c r="BX1934" i="3" l="1"/>
  <c r="BY1935" i="3"/>
  <c r="BX1935" i="3" l="1"/>
  <c r="BY1936" i="3"/>
  <c r="BY1937" i="3" l="1"/>
  <c r="BX1936" i="3"/>
  <c r="BY1938" i="3" l="1"/>
  <c r="BX1937" i="3"/>
  <c r="BY1939" i="3" l="1"/>
  <c r="BX1938" i="3"/>
  <c r="BY1940" i="3" l="1"/>
  <c r="BX1939" i="3"/>
  <c r="BX1940" i="3" l="1"/>
  <c r="BY1941" i="3"/>
  <c r="BX1941" i="3" l="1"/>
  <c r="BY1942" i="3"/>
  <c r="BY1943" i="3" l="1"/>
  <c r="BX1942" i="3"/>
  <c r="BY1944" i="3" l="1"/>
  <c r="BX1943" i="3"/>
  <c r="BY1945" i="3" l="1"/>
  <c r="BX1944" i="3"/>
  <c r="BY1946" i="3" l="1"/>
  <c r="BX1945" i="3"/>
  <c r="BX1946" i="3" l="1"/>
  <c r="BY1947" i="3"/>
  <c r="BX1947" i="3" l="1"/>
  <c r="BY1948" i="3"/>
  <c r="BY1949" i="3" l="1"/>
  <c r="BX1948" i="3"/>
  <c r="BY1950" i="3" l="1"/>
  <c r="BX1949" i="3"/>
  <c r="BY1951" i="3" l="1"/>
  <c r="BX1950" i="3"/>
  <c r="BY1952" i="3" l="1"/>
  <c r="BX1951" i="3"/>
  <c r="BX1952" i="3" l="1"/>
  <c r="BY1953" i="3"/>
  <c r="BX1953" i="3" l="1"/>
  <c r="BY1954" i="3"/>
  <c r="BY1955" i="3" l="1"/>
  <c r="BX1954" i="3"/>
  <c r="BY1956" i="3" l="1"/>
  <c r="BX1955" i="3"/>
  <c r="BY1957" i="3" l="1"/>
  <c r="BX1956" i="3"/>
  <c r="BY1958" i="3" l="1"/>
  <c r="BX1957" i="3"/>
  <c r="BX1958" i="3" l="1"/>
  <c r="BY1959" i="3"/>
  <c r="BX1959" i="3" l="1"/>
  <c r="BY1960" i="3"/>
  <c r="BY1961" i="3" l="1"/>
  <c r="BX1960" i="3"/>
  <c r="BY1962" i="3" l="1"/>
  <c r="BX1961" i="3"/>
  <c r="BY1963" i="3" l="1"/>
  <c r="BX1962" i="3"/>
  <c r="BY1964" i="3" l="1"/>
  <c r="BX1963" i="3"/>
  <c r="BX1964" i="3" l="1"/>
  <c r="BY1965" i="3"/>
  <c r="BX1965" i="3" l="1"/>
  <c r="BY1966" i="3"/>
  <c r="BY1967" i="3" l="1"/>
  <c r="BX1966" i="3"/>
  <c r="BY1968" i="3" l="1"/>
  <c r="BX1967" i="3"/>
  <c r="BY1969" i="3" l="1"/>
  <c r="BX1968" i="3"/>
  <c r="BY1970" i="3" l="1"/>
  <c r="BX1969" i="3"/>
  <c r="BX1970" i="3" l="1"/>
  <c r="BY1971" i="3"/>
  <c r="BX1971" i="3" l="1"/>
  <c r="BY1972" i="3"/>
  <c r="BY1973" i="3" l="1"/>
  <c r="BX1972" i="3"/>
  <c r="BY1974" i="3" l="1"/>
  <c r="BX1973" i="3"/>
  <c r="BY1975" i="3" l="1"/>
  <c r="BX1974" i="3"/>
  <c r="BY1976" i="3" l="1"/>
  <c r="BX1975" i="3"/>
  <c r="BX1976" i="3" l="1"/>
  <c r="BY1977" i="3"/>
  <c r="BX1977" i="3" l="1"/>
  <c r="BY1978" i="3"/>
  <c r="BY1979" i="3" l="1"/>
  <c r="BX1978" i="3"/>
  <c r="BY1980" i="3" l="1"/>
  <c r="BX1979" i="3"/>
  <c r="BY1981" i="3" l="1"/>
  <c r="BX1980" i="3"/>
  <c r="BY1982" i="3" l="1"/>
  <c r="BX1981" i="3"/>
  <c r="BX1982" i="3" l="1"/>
  <c r="BY1983" i="3"/>
  <c r="BX1983" i="3" l="1"/>
  <c r="BY1984" i="3"/>
  <c r="BY1985" i="3" l="1"/>
  <c r="BX1984" i="3"/>
  <c r="BY1986" i="3" l="1"/>
  <c r="BX1985" i="3"/>
  <c r="BY1987" i="3" l="1"/>
  <c r="BX1986" i="3"/>
  <c r="BY1988" i="3" l="1"/>
  <c r="BX1987" i="3"/>
  <c r="BX1988" i="3" l="1"/>
  <c r="BY1989" i="3"/>
  <c r="BX1989" i="3" l="1"/>
  <c r="BY1990" i="3"/>
  <c r="BY1991" i="3" l="1"/>
  <c r="BX1990" i="3"/>
  <c r="BY1992" i="3" l="1"/>
  <c r="BX1991" i="3"/>
  <c r="BY1993" i="3" l="1"/>
  <c r="BX1992" i="3"/>
  <c r="BY1994" i="3" l="1"/>
  <c r="BX1993" i="3"/>
  <c r="BX1994" i="3" l="1"/>
  <c r="BY1995" i="3"/>
  <c r="BX1995" i="3" l="1"/>
  <c r="BY1996" i="3"/>
  <c r="BY1997" i="3" l="1"/>
  <c r="BX1996" i="3"/>
  <c r="BY1998" i="3" l="1"/>
  <c r="BX1997" i="3"/>
  <c r="BY1999" i="3" l="1"/>
  <c r="BX1998" i="3"/>
  <c r="BY2000" i="3" l="1"/>
  <c r="BX1999" i="3"/>
  <c r="BX2000" i="3" l="1"/>
  <c r="BY2001" i="3"/>
  <c r="BX2001" i="3" l="1"/>
  <c r="BY2002" i="3"/>
  <c r="BY2003" i="3" l="1"/>
  <c r="BX2002" i="3"/>
  <c r="BY2004" i="3" l="1"/>
  <c r="BX2003" i="3"/>
  <c r="BY2005" i="3" l="1"/>
  <c r="BX2004" i="3"/>
  <c r="BY2006" i="3" l="1"/>
  <c r="BX2005" i="3"/>
  <c r="BX2006" i="3" l="1"/>
  <c r="BY2007" i="3"/>
  <c r="BX2007" i="3" l="1"/>
  <c r="BY2008" i="3"/>
  <c r="BY2009" i="3" l="1"/>
  <c r="BX2008" i="3"/>
  <c r="BY2010" i="3" l="1"/>
  <c r="BX2009" i="3"/>
  <c r="BY2011" i="3" l="1"/>
  <c r="BX2010" i="3"/>
  <c r="BY2012" i="3" l="1"/>
  <c r="BX2011" i="3"/>
  <c r="BX2012" i="3" l="1"/>
  <c r="BY2013" i="3"/>
  <c r="BX2013" i="3" l="1"/>
  <c r="BY2014" i="3"/>
  <c r="BY2015" i="3" l="1"/>
  <c r="BX2014" i="3"/>
  <c r="BY2016" i="3" l="1"/>
  <c r="BX2015" i="3"/>
  <c r="BY2017" i="3" l="1"/>
  <c r="BX2016" i="3"/>
  <c r="BY2018" i="3" l="1"/>
  <c r="BX2017" i="3"/>
  <c r="BX2018" i="3" l="1"/>
  <c r="BY2019" i="3"/>
  <c r="BX2019" i="3" l="1"/>
  <c r="BY2020" i="3"/>
  <c r="BY2021" i="3" l="1"/>
  <c r="BX2020" i="3"/>
  <c r="BY2022" i="3" l="1"/>
  <c r="BX2021" i="3"/>
  <c r="BY2023" i="3" l="1"/>
  <c r="BX2022" i="3"/>
  <c r="BY2024" i="3" l="1"/>
  <c r="BX2023" i="3"/>
  <c r="BX2024" i="3" l="1"/>
  <c r="BY2025" i="3"/>
  <c r="BX2025" i="3" l="1"/>
  <c r="BY2026" i="3"/>
  <c r="BY2027" i="3" l="1"/>
  <c r="BX2026" i="3"/>
  <c r="BY2028" i="3" l="1"/>
  <c r="BX2027" i="3"/>
  <c r="BY2029" i="3" l="1"/>
  <c r="BX2028" i="3"/>
  <c r="BY2030" i="3" l="1"/>
  <c r="BX2029" i="3"/>
  <c r="BX2030" i="3" l="1"/>
  <c r="BY2031" i="3"/>
  <c r="BX2031" i="3" l="1"/>
  <c r="BY2032" i="3"/>
  <c r="BY2033" i="3" l="1"/>
  <c r="BX2032" i="3"/>
  <c r="BY2034" i="3" l="1"/>
  <c r="BX2033" i="3"/>
  <c r="BY2035" i="3" l="1"/>
  <c r="BX2034" i="3"/>
  <c r="BY2036" i="3" l="1"/>
  <c r="BX2035" i="3"/>
  <c r="BX2036" i="3" l="1"/>
  <c r="BY2037" i="3"/>
  <c r="BX2037" i="3" l="1"/>
  <c r="BY2038" i="3"/>
  <c r="BY2039" i="3" l="1"/>
  <c r="BX2038" i="3"/>
  <c r="BY2040" i="3" l="1"/>
  <c r="BX2039" i="3"/>
  <c r="BY2041" i="3" l="1"/>
  <c r="BX2040" i="3"/>
  <c r="BY2042" i="3" l="1"/>
  <c r="BX2041" i="3"/>
  <c r="BX2042" i="3" l="1"/>
  <c r="BY2043" i="3"/>
  <c r="BX2043" i="3" l="1"/>
  <c r="BY2044" i="3"/>
  <c r="BY2045" i="3" l="1"/>
  <c r="BX2044" i="3"/>
  <c r="BY2046" i="3" l="1"/>
  <c r="BX2045" i="3"/>
  <c r="BY2047" i="3" l="1"/>
  <c r="BX2046" i="3"/>
  <c r="BY2048" i="3" l="1"/>
  <c r="BX2047" i="3"/>
  <c r="BX2048" i="3" l="1"/>
  <c r="BY2049" i="3"/>
  <c r="BX2049" i="3" l="1"/>
  <c r="BY2050" i="3"/>
  <c r="BY2051" i="3" l="1"/>
  <c r="BX2050" i="3"/>
  <c r="BY2052" i="3" l="1"/>
  <c r="BX2051" i="3"/>
  <c r="BY2053" i="3" l="1"/>
  <c r="BX2052" i="3"/>
  <c r="BY2054" i="3" l="1"/>
  <c r="BX2053" i="3"/>
  <c r="BX2054" i="3" l="1"/>
  <c r="BY2055" i="3"/>
  <c r="BX2055" i="3" l="1"/>
  <c r="BY2056" i="3"/>
  <c r="BY2057" i="3" l="1"/>
  <c r="BX2056" i="3"/>
  <c r="BY2058" i="3" l="1"/>
  <c r="BX2057" i="3"/>
  <c r="BY2059" i="3" l="1"/>
  <c r="BX2058" i="3"/>
  <c r="BY2060" i="3" l="1"/>
  <c r="BX2059" i="3"/>
  <c r="BX2060" i="3" l="1"/>
  <c r="BY2061" i="3"/>
  <c r="BX2061" i="3" l="1"/>
  <c r="BY2062" i="3"/>
  <c r="BY2063" i="3" l="1"/>
  <c r="BX2062" i="3"/>
  <c r="BY2064" i="3" l="1"/>
  <c r="BX2063" i="3"/>
  <c r="BY2065" i="3" l="1"/>
  <c r="BX2064" i="3"/>
  <c r="BY2066" i="3" l="1"/>
  <c r="BX2065" i="3"/>
  <c r="BX2066" i="3" l="1"/>
  <c r="BY2067" i="3"/>
  <c r="BX2067" i="3" l="1"/>
  <c r="BY2068" i="3"/>
  <c r="BY2069" i="3" l="1"/>
  <c r="BX2068" i="3"/>
  <c r="BY2070" i="3" l="1"/>
  <c r="BX2069" i="3"/>
  <c r="BY2071" i="3" l="1"/>
  <c r="BX2070" i="3"/>
  <c r="BY2072" i="3" l="1"/>
  <c r="BX2071" i="3"/>
  <c r="BX2072" i="3" l="1"/>
  <c r="BY2073" i="3"/>
  <c r="BX2073" i="3" l="1"/>
  <c r="BY2074" i="3"/>
  <c r="BY2075" i="3" l="1"/>
  <c r="BX2074" i="3"/>
  <c r="BY2076" i="3" l="1"/>
  <c r="BX2075" i="3"/>
  <c r="BY2077" i="3" l="1"/>
  <c r="BX2076" i="3"/>
  <c r="BY2078" i="3" l="1"/>
  <c r="BX2077" i="3"/>
  <c r="BX2078" i="3" l="1"/>
  <c r="BY2079" i="3"/>
  <c r="BX2079" i="3" l="1"/>
  <c r="BY2080" i="3"/>
  <c r="BY2081" i="3" l="1"/>
  <c r="BX2080" i="3"/>
  <c r="BY2082" i="3" l="1"/>
  <c r="BX2081" i="3"/>
  <c r="BY2083" i="3" l="1"/>
  <c r="BX2082" i="3"/>
  <c r="BY2084" i="3" l="1"/>
  <c r="BX2083" i="3"/>
  <c r="BX2084" i="3" l="1"/>
  <c r="BY2085" i="3"/>
  <c r="BX2085" i="3" l="1"/>
  <c r="BY2086" i="3"/>
  <c r="BY2087" i="3" l="1"/>
  <c r="BX2086" i="3"/>
  <c r="BY2088" i="3" l="1"/>
  <c r="BX2087" i="3"/>
  <c r="BY2089" i="3" l="1"/>
  <c r="BX2088" i="3"/>
  <c r="BY2090" i="3" l="1"/>
  <c r="BX2089" i="3"/>
  <c r="BX2090" i="3" l="1"/>
  <c r="BY2091" i="3"/>
  <c r="BX2091" i="3" l="1"/>
  <c r="BY2092" i="3"/>
  <c r="BY2093" i="3" l="1"/>
  <c r="BX2092" i="3"/>
  <c r="BY2094" i="3" l="1"/>
  <c r="BX2093" i="3"/>
  <c r="BY2095" i="3" l="1"/>
  <c r="BX2094" i="3"/>
  <c r="BY2096" i="3" l="1"/>
  <c r="BX2095" i="3"/>
  <c r="BX2096" i="3" l="1"/>
  <c r="BY2097" i="3"/>
  <c r="BX2097" i="3" l="1"/>
  <c r="BY2098" i="3"/>
  <c r="BY2099" i="3" l="1"/>
  <c r="BX2098" i="3"/>
  <c r="BY2100" i="3" l="1"/>
  <c r="BX2099" i="3"/>
  <c r="BY2101" i="3" l="1"/>
  <c r="BX2100" i="3"/>
  <c r="BY2102" i="3" l="1"/>
  <c r="BX2101" i="3"/>
  <c r="BX2102" i="3" l="1"/>
  <c r="BY2103" i="3"/>
  <c r="BX2103" i="3" l="1"/>
  <c r="BY2104" i="3"/>
  <c r="BY2105" i="3" l="1"/>
  <c r="BX2104" i="3"/>
  <c r="BY2106" i="3" l="1"/>
  <c r="BX2105" i="3"/>
  <c r="BY2107" i="3" l="1"/>
  <c r="BX2106" i="3"/>
  <c r="BY2108" i="3" l="1"/>
  <c r="BX2107" i="3"/>
  <c r="BX2108" i="3" l="1"/>
  <c r="BY2109" i="3"/>
  <c r="BX2109" i="3" l="1"/>
  <c r="BY2110" i="3"/>
  <c r="BY2111" i="3" l="1"/>
  <c r="BX2110" i="3"/>
  <c r="BY2112" i="3" l="1"/>
  <c r="BX2111" i="3"/>
  <c r="BY2113" i="3" l="1"/>
  <c r="BX2112" i="3"/>
  <c r="BY2114" i="3" l="1"/>
  <c r="BX2113" i="3"/>
  <c r="BX2114" i="3" l="1"/>
  <c r="BY2115" i="3"/>
  <c r="BX2115" i="3" l="1"/>
  <c r="BY2116" i="3"/>
  <c r="BY2117" i="3" l="1"/>
  <c r="BX2116" i="3"/>
  <c r="BY2118" i="3" l="1"/>
  <c r="BX2117" i="3"/>
  <c r="BY2119" i="3" l="1"/>
  <c r="BX2118" i="3"/>
  <c r="BY2120" i="3" l="1"/>
  <c r="BX2119" i="3"/>
  <c r="BX2120" i="3" l="1"/>
  <c r="BY2121" i="3"/>
  <c r="BX2121" i="3" l="1"/>
  <c r="BY2122" i="3"/>
  <c r="BY2123" i="3" l="1"/>
  <c r="BX2122" i="3"/>
  <c r="BY2124" i="3" l="1"/>
  <c r="BX2123" i="3"/>
  <c r="BY2125" i="3" l="1"/>
  <c r="BX2124" i="3"/>
  <c r="BY2126" i="3" l="1"/>
  <c r="BX2125" i="3"/>
  <c r="BX2126" i="3" l="1"/>
  <c r="BY2127" i="3"/>
  <c r="BX2127" i="3" l="1"/>
  <c r="BY2128" i="3"/>
  <c r="BY2129" i="3" l="1"/>
  <c r="BX2128" i="3"/>
  <c r="BY2130" i="3" l="1"/>
  <c r="BX2129" i="3"/>
  <c r="BY2131" i="3" l="1"/>
  <c r="BX2130" i="3"/>
  <c r="BY2132" i="3" l="1"/>
  <c r="BX2131" i="3"/>
  <c r="BX2132" i="3" l="1"/>
  <c r="BY2133" i="3"/>
  <c r="BX2133" i="3" l="1"/>
  <c r="BY2134" i="3"/>
  <c r="BY2135" i="3" l="1"/>
  <c r="BX2134" i="3"/>
  <c r="BY2136" i="3" l="1"/>
  <c r="BX2135" i="3"/>
  <c r="BY2137" i="3" l="1"/>
  <c r="BX2136" i="3"/>
  <c r="BY2138" i="3" l="1"/>
  <c r="BX2137" i="3"/>
  <c r="BX2138" i="3" l="1"/>
  <c r="BY2139" i="3"/>
  <c r="BX2139" i="3" l="1"/>
  <c r="BY2140" i="3"/>
  <c r="BY2141" i="3" l="1"/>
  <c r="BX2140" i="3"/>
  <c r="BY2142" i="3" l="1"/>
  <c r="BX2141" i="3"/>
  <c r="BY2143" i="3" l="1"/>
  <c r="BX2142" i="3"/>
  <c r="BY2144" i="3" l="1"/>
  <c r="BX2143" i="3"/>
  <c r="BX2144" i="3" l="1"/>
  <c r="BY2145" i="3"/>
  <c r="BX2145" i="3" l="1"/>
  <c r="BY2146" i="3"/>
  <c r="BY2147" i="3" l="1"/>
  <c r="BX2146" i="3"/>
  <c r="BY2148" i="3" l="1"/>
  <c r="BX2147" i="3"/>
  <c r="BY2149" i="3" l="1"/>
  <c r="BX2148" i="3"/>
  <c r="BY2150" i="3" l="1"/>
  <c r="BX2149" i="3"/>
  <c r="BX2150" i="3" l="1"/>
  <c r="BY2151" i="3"/>
  <c r="BX2151" i="3" l="1"/>
  <c r="BY2152" i="3"/>
  <c r="BY2153" i="3" l="1"/>
  <c r="BX2152" i="3"/>
  <c r="BY2154" i="3" l="1"/>
  <c r="BX2153" i="3"/>
  <c r="BY2155" i="3" l="1"/>
  <c r="BX2154" i="3"/>
  <c r="BY2156" i="3" l="1"/>
  <c r="BX2155" i="3"/>
  <c r="BX2156" i="3" l="1"/>
  <c r="BY2157" i="3"/>
  <c r="BX2157" i="3" l="1"/>
  <c r="BY2158" i="3"/>
  <c r="BY2159" i="3" l="1"/>
  <c r="BX2158" i="3"/>
  <c r="BY2160" i="3" l="1"/>
  <c r="BX2159" i="3"/>
  <c r="BY2161" i="3" l="1"/>
  <c r="BX2160" i="3"/>
  <c r="BY2162" i="3" l="1"/>
  <c r="BX2161" i="3"/>
  <c r="BX2162" i="3" l="1"/>
  <c r="BY2163" i="3"/>
  <c r="BX2163" i="3" l="1"/>
  <c r="BY2164" i="3"/>
  <c r="BY2165" i="3" l="1"/>
  <c r="BX2164" i="3"/>
  <c r="BY2166" i="3" l="1"/>
  <c r="BX2165" i="3"/>
  <c r="BY2167" i="3" l="1"/>
  <c r="BX2166" i="3"/>
  <c r="BY2168" i="3" l="1"/>
  <c r="BX2167" i="3"/>
  <c r="BX2168" i="3" l="1"/>
  <c r="BY2169" i="3"/>
  <c r="BX2169" i="3" l="1"/>
  <c r="BY2170" i="3"/>
  <c r="BY2171" i="3" l="1"/>
  <c r="BX2170" i="3"/>
  <c r="BY2172" i="3" l="1"/>
  <c r="BX2171" i="3"/>
  <c r="BY2173" i="3" l="1"/>
  <c r="BX2172" i="3"/>
  <c r="BY2174" i="3" l="1"/>
  <c r="BX2173" i="3"/>
  <c r="BX2174" i="3" l="1"/>
  <c r="BY2175" i="3"/>
  <c r="BX2175" i="3" l="1"/>
  <c r="BY2176" i="3"/>
  <c r="BY2177" i="3" l="1"/>
  <c r="BX2176" i="3"/>
  <c r="BY2178" i="3" l="1"/>
  <c r="BX2177" i="3"/>
  <c r="BY2179" i="3" l="1"/>
  <c r="BX2178" i="3"/>
  <c r="BY2180" i="3" l="1"/>
  <c r="BX2179" i="3"/>
  <c r="BX2180" i="3" l="1"/>
  <c r="BY2181" i="3"/>
  <c r="BX2181" i="3" l="1"/>
  <c r="BY2182" i="3"/>
  <c r="BY2183" i="3" l="1"/>
  <c r="BX2182" i="3"/>
  <c r="BY2184" i="3" l="1"/>
  <c r="BX2183" i="3"/>
  <c r="BY2185" i="3" l="1"/>
  <c r="BX2184" i="3"/>
  <c r="BY2186" i="3" l="1"/>
  <c r="BX2185" i="3"/>
  <c r="BX2186" i="3" l="1"/>
  <c r="BY2187" i="3"/>
  <c r="BX2187" i="3" l="1"/>
  <c r="BY2188" i="3"/>
  <c r="BY2189" i="3" l="1"/>
  <c r="BX2188" i="3"/>
  <c r="BY2190" i="3" l="1"/>
  <c r="BX2189" i="3"/>
  <c r="BY2191" i="3" l="1"/>
  <c r="BX2190" i="3"/>
  <c r="BY2192" i="3" l="1"/>
  <c r="BX2191" i="3"/>
  <c r="BX2192" i="3" l="1"/>
  <c r="BY2193" i="3"/>
  <c r="BX2193" i="3" l="1"/>
  <c r="BY2194" i="3"/>
  <c r="BY2195" i="3" l="1"/>
  <c r="BX2194" i="3"/>
  <c r="BY2196" i="3" l="1"/>
  <c r="BX2195" i="3"/>
  <c r="BY2197" i="3" l="1"/>
  <c r="BX2196" i="3"/>
  <c r="BY2198" i="3" l="1"/>
  <c r="BX2197" i="3"/>
  <c r="BX2198" i="3" l="1"/>
  <c r="BY2199" i="3"/>
  <c r="BX2199" i="3" l="1"/>
  <c r="BY2200" i="3"/>
  <c r="BY2201" i="3" l="1"/>
  <c r="BX2200" i="3"/>
  <c r="BY2202" i="3" l="1"/>
  <c r="BX2201" i="3"/>
  <c r="BY2203" i="3" l="1"/>
  <c r="BX2202" i="3"/>
  <c r="BY2204" i="3" l="1"/>
  <c r="BX2203" i="3"/>
  <c r="BX2204" i="3" l="1"/>
  <c r="BY2205" i="3"/>
  <c r="BX2205" i="3" l="1"/>
  <c r="BY2206" i="3"/>
  <c r="BY2207" i="3" l="1"/>
  <c r="BX2206" i="3"/>
  <c r="BY2208" i="3" l="1"/>
  <c r="BX2207" i="3"/>
  <c r="BY2209" i="3" l="1"/>
  <c r="BX2208" i="3"/>
  <c r="BY2210" i="3" l="1"/>
  <c r="BX2209" i="3"/>
  <c r="BX2210" i="3" l="1"/>
  <c r="BY2211" i="3"/>
  <c r="BX2211" i="3" l="1"/>
  <c r="BY2212" i="3"/>
  <c r="BY2213" i="3" l="1"/>
  <c r="BX2212" i="3"/>
  <c r="BY2214" i="3" l="1"/>
  <c r="BX2213" i="3"/>
  <c r="BY2215" i="3" l="1"/>
  <c r="BX2214" i="3"/>
  <c r="BY2216" i="3" l="1"/>
  <c r="BX2215" i="3"/>
  <c r="BX2216" i="3" l="1"/>
  <c r="BY2217" i="3"/>
  <c r="BX2217" i="3" l="1"/>
  <c r="BY2218" i="3"/>
  <c r="BY2219" i="3" l="1"/>
  <c r="BX2218" i="3"/>
  <c r="BY2220" i="3" l="1"/>
  <c r="BX2219" i="3"/>
  <c r="BY2221" i="3" l="1"/>
  <c r="BX2220" i="3"/>
  <c r="BY2222" i="3" l="1"/>
  <c r="BX2221" i="3"/>
  <c r="BX2222" i="3" l="1"/>
  <c r="BY2223" i="3"/>
  <c r="BX2223" i="3" l="1"/>
  <c r="BY2224" i="3"/>
  <c r="BY2225" i="3" l="1"/>
  <c r="BX2224" i="3"/>
  <c r="BY2226" i="3" l="1"/>
  <c r="BX2225" i="3"/>
  <c r="BY2227" i="3" l="1"/>
  <c r="BX2226" i="3"/>
  <c r="BY2228" i="3" l="1"/>
  <c r="BX2227" i="3"/>
  <c r="BX2228" i="3" l="1"/>
  <c r="BY2229" i="3"/>
  <c r="BX2229" i="3" l="1"/>
  <c r="BY2230" i="3"/>
  <c r="BY2231" i="3" l="1"/>
  <c r="BX2230" i="3"/>
  <c r="BY2232" i="3" l="1"/>
  <c r="BX2231" i="3"/>
  <c r="BY2233" i="3" l="1"/>
  <c r="BX2232" i="3"/>
  <c r="BY2234" i="3" l="1"/>
  <c r="BX2233" i="3"/>
  <c r="BX2234" i="3" l="1"/>
  <c r="BY2235" i="3"/>
  <c r="BX2235" i="3" l="1"/>
  <c r="BY2236" i="3"/>
  <c r="BY2237" i="3" l="1"/>
  <c r="BX2236" i="3"/>
  <c r="BY2238" i="3" l="1"/>
  <c r="BX2237" i="3"/>
  <c r="BY2239" i="3" l="1"/>
  <c r="BX2238" i="3"/>
  <c r="BY2240" i="3" l="1"/>
  <c r="BX2239" i="3"/>
  <c r="BX2240" i="3" l="1"/>
  <c r="BY2241" i="3"/>
  <c r="BX2241" i="3" l="1"/>
  <c r="BY2242" i="3"/>
  <c r="BY2243" i="3" l="1"/>
  <c r="BX2242" i="3"/>
  <c r="BY2244" i="3" l="1"/>
  <c r="BX2243" i="3"/>
  <c r="BY2245" i="3" l="1"/>
  <c r="BX2244" i="3"/>
  <c r="BY2246" i="3" l="1"/>
  <c r="BX2245" i="3"/>
  <c r="BX2246" i="3" l="1"/>
  <c r="BY2247" i="3"/>
  <c r="BX2247" i="3" l="1"/>
  <c r="BY2248" i="3"/>
  <c r="BY2249" i="3" l="1"/>
  <c r="BX2248" i="3"/>
  <c r="BY2250" i="3" l="1"/>
  <c r="BX2249" i="3"/>
  <c r="BY2251" i="3" l="1"/>
  <c r="BX2250" i="3"/>
  <c r="BY2252" i="3" l="1"/>
  <c r="BX2251" i="3"/>
  <c r="BX2252" i="3" l="1"/>
  <c r="BY2253" i="3"/>
  <c r="BX2253" i="3" l="1"/>
  <c r="BY2254" i="3"/>
  <c r="BY2255" i="3" l="1"/>
  <c r="BX2254" i="3"/>
  <c r="BY2256" i="3" l="1"/>
  <c r="BX2255" i="3"/>
  <c r="BY2257" i="3" l="1"/>
  <c r="BX2256" i="3"/>
  <c r="BY2258" i="3" l="1"/>
  <c r="BX2257" i="3"/>
  <c r="BX2258" i="3" l="1"/>
  <c r="BY2259" i="3"/>
  <c r="BX2259" i="3" l="1"/>
  <c r="BY2260" i="3"/>
  <c r="BY2261" i="3" l="1"/>
  <c r="BX2260" i="3"/>
  <c r="BY2262" i="3" l="1"/>
  <c r="BX2261" i="3"/>
  <c r="BY2263" i="3" l="1"/>
  <c r="BX2262" i="3"/>
  <c r="BY2264" i="3" l="1"/>
  <c r="BX2263" i="3"/>
  <c r="BX2264" i="3" l="1"/>
  <c r="BY2265" i="3"/>
  <c r="BX2265" i="3" l="1"/>
  <c r="BY2266" i="3"/>
  <c r="BY2267" i="3" l="1"/>
  <c r="BX2266" i="3"/>
  <c r="BY2268" i="3" l="1"/>
  <c r="BX2267" i="3"/>
  <c r="BY2269" i="3" l="1"/>
  <c r="BX2268" i="3"/>
  <c r="BY2270" i="3" l="1"/>
  <c r="BX2269" i="3"/>
  <c r="BX2270" i="3" l="1"/>
  <c r="BY2271" i="3"/>
  <c r="BX2271" i="3" l="1"/>
  <c r="BY2272" i="3"/>
  <c r="BY2273" i="3" l="1"/>
  <c r="BX2272" i="3"/>
  <c r="BY2274" i="3" l="1"/>
  <c r="BX2273" i="3"/>
  <c r="BY2275" i="3" l="1"/>
  <c r="BX2274" i="3"/>
  <c r="BY2276" i="3" l="1"/>
  <c r="BX2275" i="3"/>
  <c r="BX2276" i="3" l="1"/>
  <c r="BY2277" i="3"/>
  <c r="BX2277" i="3" l="1"/>
  <c r="BY2278" i="3"/>
  <c r="BY2279" i="3" l="1"/>
  <c r="BX2278" i="3"/>
  <c r="BY2280" i="3" l="1"/>
  <c r="BX2279" i="3"/>
  <c r="BY2281" i="3" l="1"/>
  <c r="BX2280" i="3"/>
  <c r="BY2282" i="3" l="1"/>
  <c r="BX2281" i="3"/>
  <c r="BX2282" i="3" l="1"/>
  <c r="BY2283" i="3"/>
  <c r="BX2283" i="3" l="1"/>
  <c r="BY2284" i="3"/>
  <c r="BY2285" i="3" l="1"/>
  <c r="BX2284" i="3"/>
  <c r="BY2286" i="3" l="1"/>
  <c r="BX2285" i="3"/>
  <c r="BX2286" i="3" l="1"/>
  <c r="BY2287" i="3"/>
  <c r="BY2288" i="3" l="1"/>
  <c r="BX2287" i="3"/>
  <c r="BY2289" i="3" l="1"/>
  <c r="BX2288" i="3"/>
  <c r="BX2289" i="3" l="1"/>
  <c r="BY2290" i="3"/>
  <c r="BY2291" i="3" l="1"/>
  <c r="BX2290" i="3"/>
  <c r="BY2292" i="3" l="1"/>
  <c r="BX2291" i="3"/>
  <c r="BX2292" i="3" l="1"/>
  <c r="BY2293" i="3"/>
  <c r="BY2294" i="3" l="1"/>
  <c r="BX2293" i="3"/>
  <c r="BY2295" i="3" l="1"/>
  <c r="BX2294" i="3"/>
  <c r="BX2295" i="3" l="1"/>
  <c r="BY2296" i="3"/>
  <c r="BX2296" i="3" l="1"/>
  <c r="BY2297" i="3"/>
  <c r="BY2298" i="3" l="1"/>
  <c r="BX2297" i="3"/>
  <c r="BX2298" i="3" l="1"/>
  <c r="BY2299" i="3"/>
  <c r="BY2300" i="3" l="1"/>
  <c r="BX2299" i="3"/>
  <c r="BY2301" i="3" l="1"/>
  <c r="BX2300" i="3"/>
  <c r="BY2302" i="3" l="1"/>
  <c r="BX2301" i="3"/>
  <c r="BX2302" i="3" l="1"/>
  <c r="BY2303" i="3"/>
  <c r="BY2304" i="3" l="1"/>
  <c r="BX2303" i="3"/>
  <c r="BX2304" i="3" l="1"/>
  <c r="BY2305" i="3"/>
  <c r="BY2306" i="3" l="1"/>
  <c r="BX2305" i="3"/>
  <c r="BY2307" i="3" l="1"/>
  <c r="BX2306" i="3"/>
  <c r="BY2308" i="3" l="1"/>
  <c r="BX2307" i="3"/>
  <c r="BX2308" i="3" l="1"/>
  <c r="BY2309" i="3"/>
  <c r="BX2309" i="3" l="1"/>
  <c r="BY2310" i="3"/>
  <c r="BX2310" i="3" l="1"/>
  <c r="BY2311" i="3"/>
  <c r="BY2312" i="3" l="1"/>
  <c r="BX2311" i="3"/>
  <c r="BY2313" i="3" l="1"/>
  <c r="BX2312" i="3"/>
  <c r="BY2314" i="3" l="1"/>
  <c r="BX2313" i="3"/>
  <c r="BY2315" i="3" l="1"/>
  <c r="BX2314" i="3"/>
  <c r="BY2316" i="3" l="1"/>
  <c r="BX2315" i="3"/>
  <c r="BX2316" i="3" l="1"/>
  <c r="BY2317" i="3"/>
  <c r="BY2318" i="3" l="1"/>
  <c r="BX2317" i="3"/>
  <c r="BY2319" i="3" l="1"/>
  <c r="BX2318" i="3"/>
  <c r="BY2320" i="3" l="1"/>
  <c r="BX2319" i="3"/>
  <c r="BY2321" i="3" l="1"/>
  <c r="BX2320" i="3"/>
  <c r="BY2322" i="3" l="1"/>
  <c r="BX2321" i="3"/>
  <c r="BX2322" i="3" l="1"/>
  <c r="BY2323" i="3"/>
  <c r="BX2323" i="3" l="1"/>
  <c r="BY2324" i="3"/>
  <c r="BY2325" i="3" l="1"/>
  <c r="BX2324" i="3"/>
  <c r="BY2326" i="3" l="1"/>
  <c r="BX2325" i="3"/>
  <c r="BY2327" i="3" l="1"/>
  <c r="BX2326" i="3"/>
  <c r="BY2328" i="3" l="1"/>
  <c r="BX2327" i="3"/>
  <c r="BX2328" i="3" l="1"/>
  <c r="BY2329" i="3"/>
  <c r="BY2330" i="3" l="1"/>
  <c r="BX2329" i="3"/>
  <c r="BX2330" i="3" l="1"/>
  <c r="BY2331" i="3"/>
  <c r="BY2332" i="3" l="1"/>
  <c r="BX2331" i="3"/>
  <c r="BY2333" i="3" l="1"/>
  <c r="BX2332" i="3"/>
  <c r="BY2334" i="3" l="1"/>
  <c r="BX2333" i="3"/>
  <c r="BX2334" i="3" l="1"/>
  <c r="BY2335" i="3"/>
  <c r="BY2336" i="3" l="1"/>
  <c r="BX2335" i="3"/>
  <c r="BY2337" i="3" l="1"/>
  <c r="BX2336" i="3"/>
  <c r="BX2337" i="3" l="1"/>
  <c r="BY2338" i="3"/>
  <c r="BY2339" i="3" l="1"/>
  <c r="BX2338" i="3"/>
  <c r="BY2340" i="3" l="1"/>
  <c r="BX2339" i="3"/>
  <c r="BX2340" i="3" l="1"/>
  <c r="BY2341" i="3"/>
  <c r="BY2342" i="3" l="1"/>
  <c r="BX2341" i="3"/>
  <c r="BY2343" i="3" l="1"/>
  <c r="BX2342" i="3"/>
  <c r="BY2344" i="3" l="1"/>
  <c r="BX2343" i="3"/>
  <c r="BY2345" i="3" l="1"/>
  <c r="BX2344" i="3"/>
  <c r="BX2345" i="3" l="1"/>
  <c r="BY2346" i="3"/>
  <c r="BX2346" i="3" l="1"/>
  <c r="BY2347" i="3"/>
  <c r="BY2348" i="3" l="1"/>
  <c r="BX2347" i="3"/>
  <c r="BY2349" i="3" l="1"/>
  <c r="BX2348" i="3"/>
  <c r="BY2350" i="3" l="1"/>
  <c r="BX2349" i="3"/>
  <c r="BY2351" i="3" l="1"/>
  <c r="BX2350" i="3"/>
  <c r="BY2352" i="3" l="1"/>
  <c r="BX2351" i="3"/>
  <c r="BX2352" i="3" l="1"/>
  <c r="BY2353" i="3"/>
  <c r="BY2354" i="3" l="1"/>
  <c r="BX2353" i="3"/>
  <c r="BY2355" i="3" l="1"/>
  <c r="BX2354" i="3"/>
  <c r="BY2356" i="3" l="1"/>
  <c r="BX2355" i="3"/>
  <c r="BY2357" i="3" l="1"/>
  <c r="BX2356" i="3"/>
  <c r="BY2358" i="3" l="1"/>
  <c r="BX2357" i="3"/>
  <c r="BX2358" i="3" l="1"/>
  <c r="BY2359" i="3"/>
  <c r="BY2360" i="3" l="1"/>
  <c r="BX2359" i="3"/>
  <c r="BY2361" i="3" l="1"/>
  <c r="BX2360" i="3"/>
  <c r="BX2361" i="3" l="1"/>
  <c r="BY2362" i="3"/>
  <c r="BY2363" i="3" l="1"/>
  <c r="BX2362" i="3"/>
  <c r="BY2364" i="3" l="1"/>
  <c r="BX2363" i="3"/>
  <c r="BX2364" i="3" l="1"/>
  <c r="BY2365" i="3"/>
  <c r="BY2366" i="3" l="1"/>
  <c r="BX2365" i="3"/>
  <c r="BY2367" i="3" l="1"/>
  <c r="BX2366" i="3"/>
  <c r="BY2368" i="3" l="1"/>
  <c r="BX2367" i="3"/>
  <c r="BY2369" i="3" l="1"/>
  <c r="BX2368" i="3"/>
  <c r="BX2369" i="3" l="1"/>
  <c r="BY2370" i="3"/>
  <c r="BX2370" i="3" l="1"/>
  <c r="BY2371" i="3"/>
  <c r="BY2372" i="3" l="1"/>
  <c r="BX2371" i="3"/>
  <c r="BY2373" i="3" l="1"/>
  <c r="BX2372" i="3"/>
  <c r="BY2374" i="3" l="1"/>
  <c r="BX2373" i="3"/>
  <c r="BY2375" i="3" l="1"/>
  <c r="BX2374" i="3"/>
  <c r="BY2376" i="3" l="1"/>
  <c r="BX2375" i="3"/>
  <c r="BX2376" i="3" l="1"/>
  <c r="BY2377" i="3"/>
  <c r="BY2378" i="3" l="1"/>
  <c r="BX2377" i="3"/>
  <c r="BY2379" i="3" l="1"/>
  <c r="BX2378" i="3"/>
  <c r="BY2380" i="3" l="1"/>
  <c r="BX2379" i="3"/>
  <c r="BY2381" i="3" l="1"/>
  <c r="BX2380" i="3"/>
  <c r="BY2382" i="3" l="1"/>
  <c r="BX2381" i="3"/>
  <c r="BX2382" i="3" l="1"/>
  <c r="BY2383" i="3"/>
  <c r="BY2384" i="3" l="1"/>
  <c r="BX2383" i="3"/>
  <c r="BY2385" i="3" l="1"/>
  <c r="BX2384" i="3"/>
  <c r="BX2385" i="3" l="1"/>
  <c r="BY2386" i="3"/>
  <c r="BY2387" i="3" l="1"/>
  <c r="BX2386" i="3"/>
  <c r="BY2388" i="3" l="1"/>
  <c r="BX2387" i="3"/>
  <c r="BX2388" i="3" l="1"/>
  <c r="BY2389" i="3"/>
  <c r="BY2390" i="3" l="1"/>
  <c r="BX2389" i="3"/>
  <c r="BY2391" i="3" l="1"/>
  <c r="BX2390" i="3"/>
  <c r="BY2392" i="3" l="1"/>
  <c r="BX2391" i="3"/>
  <c r="BY2393" i="3" l="1"/>
  <c r="BX2392" i="3"/>
  <c r="BX2393" i="3" l="1"/>
  <c r="BY2394" i="3"/>
  <c r="BX2394" i="3" l="1"/>
  <c r="BY2395" i="3"/>
  <c r="BY2396" i="3" l="1"/>
  <c r="BX2395" i="3"/>
  <c r="BY2397" i="3" l="1"/>
  <c r="BX2396" i="3"/>
  <c r="BY2398" i="3" l="1"/>
  <c r="BX2397" i="3"/>
  <c r="BY2399" i="3" l="1"/>
  <c r="BX2398" i="3"/>
  <c r="BY2400" i="3" l="1"/>
  <c r="BX2399" i="3"/>
  <c r="BX2400" i="3" l="1"/>
  <c r="BY2401" i="3"/>
  <c r="BY2402" i="3" l="1"/>
  <c r="BX2401" i="3"/>
  <c r="BY2403" i="3" l="1"/>
  <c r="BX2402" i="3"/>
  <c r="BY2404" i="3" l="1"/>
  <c r="BX2403" i="3"/>
  <c r="BY2405" i="3" l="1"/>
  <c r="BX2404" i="3"/>
  <c r="BY2406" i="3" l="1"/>
  <c r="BX2405" i="3"/>
  <c r="BX2406" i="3" l="1"/>
  <c r="BY2407" i="3"/>
  <c r="BY2408" i="3" l="1"/>
  <c r="BX2407" i="3"/>
  <c r="BY2409" i="3" l="1"/>
  <c r="BX2408" i="3"/>
  <c r="BY2410" i="3" l="1"/>
  <c r="BX2409" i="3"/>
  <c r="BY2411" i="3" l="1"/>
  <c r="BX2410" i="3"/>
  <c r="BY2412" i="3" l="1"/>
  <c r="BX2411" i="3"/>
  <c r="BX2412" i="3" l="1"/>
  <c r="BY2413" i="3"/>
  <c r="BY2414" i="3" l="1"/>
  <c r="BX2413" i="3"/>
  <c r="BY2415" i="3" l="1"/>
  <c r="BX2414" i="3"/>
  <c r="BY2416" i="3" l="1"/>
  <c r="BX2415" i="3"/>
  <c r="BY2417" i="3" l="1"/>
  <c r="BX2416" i="3"/>
  <c r="BY2418" i="3" l="1"/>
  <c r="BX2417" i="3"/>
  <c r="BX2418" i="3" l="1"/>
  <c r="BY2419" i="3"/>
  <c r="BY2420" i="3" l="1"/>
  <c r="BX2419" i="3"/>
  <c r="BY2421" i="3" l="1"/>
  <c r="BX2420" i="3"/>
  <c r="BY2422" i="3" l="1"/>
  <c r="BX2421" i="3"/>
  <c r="BY2423" i="3" l="1"/>
  <c r="BX2422" i="3"/>
  <c r="BY2424" i="3" l="1"/>
  <c r="BX2423" i="3"/>
  <c r="BX2424" i="3" l="1"/>
  <c r="BY2425" i="3"/>
  <c r="BY2426" i="3" l="1"/>
  <c r="BX2425" i="3"/>
  <c r="BY2427" i="3" l="1"/>
  <c r="BX2426" i="3"/>
  <c r="BY2428" i="3" l="1"/>
  <c r="BX2427" i="3"/>
  <c r="BY2429" i="3" l="1"/>
  <c r="BX2428" i="3"/>
  <c r="BY2430" i="3" l="1"/>
  <c r="BX2429" i="3"/>
  <c r="BX2430" i="3" l="1"/>
  <c r="BY2431" i="3"/>
  <c r="BY2432" i="3" l="1"/>
  <c r="BX2431" i="3"/>
  <c r="BY2433" i="3" l="1"/>
  <c r="BX2432" i="3"/>
  <c r="BY2434" i="3" l="1"/>
  <c r="BX2433" i="3"/>
  <c r="BY2435" i="3" l="1"/>
  <c r="BX2434" i="3"/>
  <c r="BY2436" i="3" l="1"/>
  <c r="BX2435" i="3"/>
  <c r="BX2436" i="3" l="1"/>
  <c r="BY2437" i="3"/>
  <c r="BY2438" i="3" l="1"/>
  <c r="BX2437" i="3"/>
  <c r="BY2439" i="3" l="1"/>
  <c r="BX2438" i="3"/>
  <c r="BY2440" i="3" l="1"/>
  <c r="BX2439" i="3"/>
  <c r="BY2441" i="3" l="1"/>
  <c r="BX2440" i="3"/>
  <c r="BX2441" i="3" l="1"/>
  <c r="BY2442" i="3"/>
  <c r="BX2442" i="3" l="1"/>
  <c r="BY2443" i="3"/>
  <c r="BY2444" i="3" l="1"/>
  <c r="BX2443" i="3"/>
  <c r="BX2444" i="3" l="1"/>
  <c r="BY2445" i="3"/>
  <c r="BY2446" i="3" l="1"/>
  <c r="BX2445" i="3"/>
  <c r="BY2447" i="3" l="1"/>
  <c r="BX2446" i="3"/>
  <c r="BX2447" i="3" l="1"/>
  <c r="BY2448" i="3"/>
  <c r="BX2448" i="3" l="1"/>
  <c r="BY2449" i="3"/>
  <c r="BY2450" i="3" l="1"/>
  <c r="BX2449" i="3"/>
  <c r="BX2450" i="3" l="1"/>
  <c r="BY2451" i="3"/>
  <c r="BY2452" i="3" l="1"/>
  <c r="BX2451" i="3"/>
  <c r="BY2453" i="3" l="1"/>
  <c r="BX2452" i="3"/>
  <c r="BX2453" i="3" l="1"/>
  <c r="BY2454" i="3"/>
  <c r="BX2454" i="3" l="1"/>
  <c r="BY2455" i="3"/>
  <c r="BY2456" i="3" l="1"/>
  <c r="BX2455" i="3"/>
  <c r="BX2456" i="3" l="1"/>
  <c r="BY2457" i="3"/>
  <c r="BY2458" i="3" l="1"/>
  <c r="BX2457" i="3"/>
  <c r="BY2459" i="3" l="1"/>
  <c r="BX2458" i="3"/>
  <c r="BX2459" i="3" l="1"/>
  <c r="BY2460" i="3"/>
  <c r="BX2460" i="3" l="1"/>
  <c r="BY2461" i="3"/>
  <c r="BY2462" i="3" l="1"/>
  <c r="BX2461" i="3"/>
  <c r="BX2462" i="3" l="1"/>
  <c r="BY2463" i="3"/>
  <c r="BY2464" i="3" l="1"/>
  <c r="BX2463" i="3"/>
  <c r="BY2465" i="3" l="1"/>
  <c r="BX2464" i="3"/>
  <c r="BX2465" i="3" l="1"/>
  <c r="BY2466" i="3"/>
  <c r="BX2466" i="3" l="1"/>
  <c r="BY2467" i="3"/>
  <c r="BY2468" i="3" l="1"/>
  <c r="BX2467" i="3"/>
  <c r="BX2468" i="3" l="1"/>
  <c r="BY2469" i="3"/>
  <c r="BY2470" i="3" l="1"/>
  <c r="BX2469" i="3"/>
  <c r="BY2471" i="3" l="1"/>
  <c r="BX2470" i="3"/>
  <c r="BX2471" i="3" l="1"/>
  <c r="BY2472" i="3"/>
  <c r="BX2472" i="3" l="1"/>
  <c r="BY2473" i="3"/>
  <c r="BY2474" i="3" l="1"/>
  <c r="BX2473" i="3"/>
  <c r="BX2474" i="3" l="1"/>
  <c r="BY2475" i="3"/>
  <c r="BY2476" i="3" l="1"/>
  <c r="BX2475" i="3"/>
  <c r="BY2477" i="3" l="1"/>
  <c r="BX2476" i="3"/>
  <c r="BX2477" i="3" l="1"/>
  <c r="BY2478" i="3"/>
  <c r="BX2478" i="3" l="1"/>
  <c r="BY2479" i="3"/>
  <c r="BY2480" i="3" l="1"/>
  <c r="BX2479" i="3"/>
  <c r="BX2480" i="3" l="1"/>
  <c r="BY2481" i="3"/>
  <c r="BY2482" i="3" l="1"/>
  <c r="BX2481" i="3"/>
  <c r="BY2483" i="3" l="1"/>
  <c r="BX2482" i="3"/>
  <c r="BX2483" i="3" l="1"/>
  <c r="BY2484" i="3"/>
  <c r="BX2484" i="3" l="1"/>
  <c r="BY2485" i="3"/>
  <c r="BY2486" i="3" l="1"/>
  <c r="BX2485" i="3"/>
  <c r="BX2486" i="3" l="1"/>
  <c r="BY2487" i="3"/>
  <c r="BY2488" i="3" l="1"/>
  <c r="BX2487" i="3"/>
  <c r="BY2489" i="3" l="1"/>
  <c r="BX2488" i="3"/>
  <c r="BX2489" i="3" l="1"/>
  <c r="BY2490" i="3"/>
  <c r="BX2490" i="3" l="1"/>
  <c r="BY2491" i="3"/>
  <c r="BY2492" i="3" l="1"/>
  <c r="BX2491" i="3"/>
  <c r="BX2492" i="3" l="1"/>
  <c r="BY2493" i="3"/>
  <c r="BY2494" i="3" l="1"/>
  <c r="BX2493" i="3"/>
  <c r="BY2495" i="3" l="1"/>
  <c r="BX2494" i="3"/>
  <c r="BX2495" i="3" l="1"/>
  <c r="BY2496" i="3"/>
  <c r="BX2496" i="3" l="1"/>
  <c r="BY2497" i="3"/>
  <c r="BY2498" i="3" l="1"/>
  <c r="BX2497" i="3"/>
  <c r="BX2498" i="3" l="1"/>
  <c r="BY2499" i="3"/>
  <c r="BY2500" i="3" l="1"/>
  <c r="BX2499" i="3"/>
  <c r="BY2501" i="3" l="1"/>
  <c r="BX2500" i="3"/>
  <c r="BX2501" i="3" l="1"/>
  <c r="BY2502" i="3"/>
  <c r="BX2502" i="3" l="1"/>
  <c r="BY2503" i="3"/>
  <c r="BY2504" i="3" l="1"/>
  <c r="BX2503" i="3"/>
  <c r="BX2504" i="3" l="1"/>
  <c r="BY2505" i="3"/>
  <c r="BY2506" i="3" l="1"/>
  <c r="BX2505" i="3"/>
  <c r="BY2507" i="3" l="1"/>
  <c r="BX2506" i="3"/>
  <c r="BX2507" i="3" l="1"/>
  <c r="BY2508" i="3"/>
  <c r="BX2508" i="3" l="1"/>
  <c r="BY2509" i="3"/>
  <c r="BY2510" i="3" l="1"/>
  <c r="BX2509" i="3"/>
  <c r="BX2510" i="3" l="1"/>
  <c r="BY2511" i="3"/>
  <c r="BY2512" i="3" l="1"/>
  <c r="BX2511" i="3"/>
  <c r="BY2513" i="3" l="1"/>
  <c r="BX2512" i="3"/>
  <c r="BX2513" i="3" l="1"/>
  <c r="BY2514" i="3"/>
  <c r="BX2514" i="3" l="1"/>
  <c r="BY2515" i="3"/>
  <c r="BY2516" i="3" l="1"/>
  <c r="BX2515" i="3"/>
  <c r="BX2516" i="3" l="1"/>
  <c r="BY2517" i="3"/>
  <c r="BY2518" i="3" l="1"/>
  <c r="BX2517" i="3"/>
  <c r="BY2519" i="3" l="1"/>
  <c r="BX2518" i="3"/>
  <c r="BX2519" i="3" l="1"/>
  <c r="BY2520" i="3"/>
  <c r="BX2520" i="3" l="1"/>
  <c r="BY2521" i="3"/>
  <c r="BY2522" i="3" l="1"/>
  <c r="BX2521" i="3"/>
  <c r="BX2522" i="3" l="1"/>
  <c r="BY2523" i="3"/>
  <c r="BY2524" i="3" l="1"/>
  <c r="BX2523" i="3"/>
  <c r="BY2525" i="3" l="1"/>
  <c r="BX2524" i="3"/>
  <c r="BX2525" i="3" l="1"/>
  <c r="BY2526" i="3"/>
  <c r="BX2526" i="3" l="1"/>
  <c r="BY2527" i="3"/>
  <c r="BY2528" i="3" l="1"/>
  <c r="BX2527" i="3"/>
  <c r="BX2528" i="3" l="1"/>
  <c r="BY2529" i="3"/>
  <c r="BY2530" i="3" l="1"/>
  <c r="BX2529" i="3"/>
  <c r="BY2531" i="3" l="1"/>
  <c r="BX2530" i="3"/>
  <c r="BX2531" i="3" l="1"/>
  <c r="BY2532" i="3"/>
  <c r="BX2532" i="3" l="1"/>
  <c r="BY2533" i="3"/>
  <c r="BY2534" i="3" l="1"/>
  <c r="BX2533" i="3"/>
  <c r="BX2534" i="3" l="1"/>
  <c r="BY2535" i="3"/>
  <c r="BY2536" i="3" l="1"/>
  <c r="BX2535" i="3"/>
  <c r="BY2537" i="3" l="1"/>
  <c r="BX2536" i="3"/>
  <c r="BX2537" i="3" l="1"/>
  <c r="BY2538" i="3"/>
  <c r="BX2538" i="3" l="1"/>
  <c r="BY2539" i="3"/>
  <c r="BY2540" i="3" l="1"/>
  <c r="BX2539" i="3"/>
  <c r="BX2540" i="3" l="1"/>
  <c r="BY2541" i="3"/>
  <c r="BY2542" i="3" l="1"/>
  <c r="BX2541" i="3"/>
  <c r="BY2543" i="3" l="1"/>
  <c r="BX2542" i="3"/>
  <c r="BX2543" i="3" l="1"/>
  <c r="BY2544" i="3"/>
  <c r="BX2544" i="3" l="1"/>
  <c r="BY2545" i="3"/>
  <c r="BY2546" i="3" l="1"/>
  <c r="BX2545" i="3"/>
  <c r="BX2546" i="3" l="1"/>
  <c r="BY2547" i="3"/>
  <c r="BY2548" i="3" l="1"/>
  <c r="BX2547" i="3"/>
  <c r="BY2549" i="3" l="1"/>
  <c r="BX2548" i="3"/>
  <c r="BX2549" i="3" l="1"/>
  <c r="BY2550" i="3"/>
  <c r="BX2550" i="3" l="1"/>
  <c r="BY2551" i="3"/>
  <c r="BY2552" i="3" l="1"/>
  <c r="BX2551" i="3"/>
  <c r="BX2552" i="3" l="1"/>
  <c r="BY2553" i="3"/>
  <c r="BY2554" i="3" l="1"/>
  <c r="BX2553" i="3"/>
  <c r="BY2555" i="3" l="1"/>
  <c r="BX2554" i="3"/>
  <c r="BX2555" i="3" l="1"/>
  <c r="BY2556" i="3"/>
  <c r="BX2556" i="3" l="1"/>
  <c r="BY2557" i="3"/>
  <c r="BY2558" i="3" l="1"/>
  <c r="BX2557" i="3"/>
  <c r="BX2558" i="3" l="1"/>
  <c r="BY2559" i="3"/>
  <c r="BY2560" i="3" l="1"/>
  <c r="BX2559" i="3"/>
  <c r="BY2561" i="3" l="1"/>
  <c r="BX2560" i="3"/>
  <c r="BX2561" i="3" l="1"/>
  <c r="BY2562" i="3"/>
  <c r="BX2562" i="3" l="1"/>
  <c r="BY2563" i="3"/>
  <c r="BY2564" i="3" l="1"/>
  <c r="BX2563" i="3"/>
  <c r="BX2564" i="3" l="1"/>
  <c r="BY2565" i="3"/>
  <c r="BY2566" i="3" l="1"/>
  <c r="BX2565" i="3"/>
  <c r="BY2567" i="3" l="1"/>
  <c r="BX2566" i="3"/>
  <c r="BX2567" i="3" l="1"/>
  <c r="BY2568" i="3"/>
  <c r="BX2568" i="3" l="1"/>
  <c r="BY2569" i="3"/>
  <c r="BY2570" i="3" l="1"/>
  <c r="BX2569" i="3"/>
  <c r="BX2570" i="3" l="1"/>
  <c r="BY2571" i="3"/>
  <c r="BY2572" i="3" l="1"/>
  <c r="BX2571" i="3"/>
  <c r="BY2573" i="3" l="1"/>
  <c r="BX2572" i="3"/>
  <c r="BX2573" i="3" l="1"/>
  <c r="BY2574" i="3"/>
  <c r="BX2574" i="3" l="1"/>
  <c r="BY2575" i="3"/>
  <c r="BY2576" i="3" l="1"/>
  <c r="BX2575" i="3"/>
  <c r="BX2576" i="3" l="1"/>
  <c r="BY2577" i="3"/>
  <c r="BY2578" i="3" l="1"/>
  <c r="BX2577" i="3"/>
  <c r="BY2579" i="3" l="1"/>
  <c r="BX2578" i="3"/>
  <c r="BX2579" i="3" l="1"/>
  <c r="BY2580" i="3"/>
  <c r="BX2580" i="3" l="1"/>
  <c r="BY2581" i="3"/>
  <c r="BY2582" i="3" l="1"/>
  <c r="BX2581" i="3"/>
  <c r="BX2582" i="3" l="1"/>
  <c r="BY2583" i="3"/>
  <c r="BY2584" i="3" l="1"/>
  <c r="BX2583" i="3"/>
  <c r="BY2585" i="3" l="1"/>
  <c r="BX2584" i="3"/>
  <c r="BX2585" i="3" l="1"/>
  <c r="BY2586" i="3"/>
  <c r="BX2586" i="3" l="1"/>
  <c r="BY2587" i="3"/>
  <c r="BY2588" i="3" l="1"/>
  <c r="BX2587" i="3"/>
  <c r="BX2588" i="3" l="1"/>
  <c r="BY2589" i="3"/>
  <c r="BY2590" i="3" l="1"/>
  <c r="BX2589" i="3"/>
  <c r="BY2591" i="3" l="1"/>
  <c r="BX2590" i="3"/>
  <c r="BX2591" i="3" l="1"/>
  <c r="BY2592" i="3"/>
  <c r="BX2592" i="3" l="1"/>
  <c r="BY2593" i="3"/>
  <c r="BY2594" i="3" l="1"/>
  <c r="BX2593" i="3"/>
  <c r="BX2594" i="3" l="1"/>
  <c r="BY2595" i="3"/>
  <c r="BY2596" i="3" l="1"/>
  <c r="BX2595" i="3"/>
  <c r="BY2597" i="3" l="1"/>
  <c r="BX2596" i="3"/>
  <c r="BX2597" i="3" l="1"/>
  <c r="BY2598" i="3"/>
  <c r="BX2598" i="3" l="1"/>
  <c r="BY2599" i="3"/>
  <c r="BY2600" i="3" l="1"/>
  <c r="BX2599" i="3"/>
  <c r="BX2600" i="3" l="1"/>
  <c r="BY2601" i="3"/>
  <c r="BY2602" i="3" l="1"/>
  <c r="BX2601" i="3"/>
  <c r="BY2603" i="3" l="1"/>
  <c r="BX2602" i="3"/>
  <c r="BX2603" i="3" l="1"/>
  <c r="BY2604" i="3"/>
  <c r="BX2604" i="3" l="1"/>
  <c r="BY2605" i="3"/>
  <c r="BY2606" i="3" l="1"/>
  <c r="BX2605" i="3"/>
  <c r="BX2606" i="3" l="1"/>
  <c r="BY2607" i="3"/>
  <c r="BY2608" i="3" l="1"/>
  <c r="BX2607" i="3"/>
  <c r="BY2609" i="3" l="1"/>
  <c r="BX2608" i="3"/>
  <c r="BX2609" i="3" l="1"/>
  <c r="BY2610" i="3"/>
  <c r="BX2610" i="3" l="1"/>
  <c r="BY2611" i="3"/>
  <c r="BY2612" i="3" l="1"/>
  <c r="BX2611" i="3"/>
  <c r="BX2612" i="3" l="1"/>
  <c r="BY2613" i="3"/>
  <c r="BY2614" i="3" l="1"/>
  <c r="BX2613" i="3"/>
  <c r="BY2615" i="3" l="1"/>
  <c r="BX2614" i="3"/>
  <c r="BX2615" i="3" l="1"/>
  <c r="BY2616" i="3"/>
  <c r="BX2616" i="3" l="1"/>
  <c r="BY2617" i="3"/>
  <c r="BY2618" i="3" l="1"/>
  <c r="BX2617" i="3"/>
  <c r="BX2618" i="3" l="1"/>
  <c r="BY2619" i="3"/>
  <c r="BY2620" i="3" l="1"/>
  <c r="BX2619" i="3"/>
  <c r="BY2621" i="3" l="1"/>
  <c r="BX2620" i="3"/>
  <c r="BX2621" i="3" l="1"/>
  <c r="BY2622" i="3"/>
  <c r="BX2622" i="3" l="1"/>
  <c r="BY2623" i="3"/>
  <c r="BY2624" i="3" l="1"/>
  <c r="BX2623" i="3"/>
  <c r="BX2624" i="3" l="1"/>
  <c r="BY2625" i="3"/>
  <c r="BY2626" i="3" l="1"/>
  <c r="BX2625" i="3"/>
  <c r="BY2627" i="3" l="1"/>
  <c r="BX2626" i="3"/>
  <c r="BX2627" i="3" l="1"/>
  <c r="BY2628" i="3"/>
  <c r="BX2628" i="3" l="1"/>
  <c r="BY2629" i="3"/>
  <c r="BY2630" i="3" l="1"/>
  <c r="BX2629" i="3"/>
  <c r="BX2630" i="3" l="1"/>
  <c r="BY2631" i="3"/>
  <c r="BY2632" i="3" l="1"/>
  <c r="BX2631" i="3"/>
  <c r="BY2633" i="3" l="1"/>
  <c r="BX2632" i="3"/>
  <c r="BX2633" i="3" l="1"/>
  <c r="BY2634" i="3"/>
  <c r="BX2634" i="3" l="1"/>
  <c r="BY2635" i="3"/>
  <c r="BY2636" i="3" l="1"/>
  <c r="BX2635" i="3"/>
  <c r="BX2636" i="3" l="1"/>
  <c r="BY2637" i="3"/>
  <c r="BY2638" i="3" l="1"/>
  <c r="BX2637" i="3"/>
  <c r="BY2639" i="3" l="1"/>
  <c r="BX2638" i="3"/>
  <c r="BX2639" i="3" l="1"/>
  <c r="BY2640" i="3"/>
  <c r="BX2640" i="3" l="1"/>
  <c r="BY2641" i="3"/>
  <c r="BY2642" i="3" l="1"/>
  <c r="BX2641" i="3"/>
  <c r="BX2642" i="3" l="1"/>
  <c r="BY2643" i="3"/>
  <c r="BY2644" i="3" l="1"/>
  <c r="BX2643" i="3"/>
  <c r="BY2645" i="3" l="1"/>
  <c r="BX2644" i="3"/>
  <c r="BX2645" i="3" l="1"/>
  <c r="BY2646" i="3"/>
  <c r="BX2646" i="3" l="1"/>
  <c r="BY2647" i="3"/>
  <c r="BY2648" i="3" l="1"/>
  <c r="BX2647" i="3"/>
  <c r="BX2648" i="3" l="1"/>
  <c r="BY2649" i="3"/>
  <c r="BY2650" i="3" l="1"/>
  <c r="BX2649" i="3"/>
  <c r="BY2651" i="3" l="1"/>
  <c r="BX2650" i="3"/>
  <c r="BX2651" i="3" l="1"/>
  <c r="BY2652" i="3"/>
  <c r="BX2652" i="3" l="1"/>
  <c r="BY2653" i="3"/>
  <c r="BY2654" i="3" l="1"/>
  <c r="BX2653" i="3"/>
  <c r="BX2654" i="3" l="1"/>
  <c r="BY2655" i="3"/>
  <c r="BY2656" i="3" l="1"/>
  <c r="BX2655" i="3"/>
  <c r="BY2657" i="3" l="1"/>
  <c r="BX2656" i="3"/>
  <c r="BX2657" i="3" l="1"/>
  <c r="BY2658" i="3"/>
  <c r="BX2658" i="3" l="1"/>
  <c r="BY2659" i="3"/>
  <c r="BY2660" i="3" l="1"/>
  <c r="BX2659" i="3"/>
  <c r="BX2660" i="3" l="1"/>
  <c r="BY2661" i="3"/>
  <c r="BY2662" i="3" l="1"/>
  <c r="BX2661" i="3"/>
  <c r="BY2663" i="3" l="1"/>
  <c r="BX2662" i="3"/>
  <c r="BX2663" i="3" l="1"/>
  <c r="BY2664" i="3"/>
  <c r="BX2664" i="3" l="1"/>
  <c r="BY2665" i="3"/>
  <c r="BY2666" i="3" l="1"/>
  <c r="BX2665" i="3"/>
  <c r="BX2666" i="3" l="1"/>
  <c r="BY2667" i="3"/>
  <c r="BY2668" i="3" l="1"/>
  <c r="BX2667" i="3"/>
  <c r="BY2669" i="3" l="1"/>
  <c r="BX2668" i="3"/>
  <c r="BX2669" i="3" l="1"/>
  <c r="BY2670" i="3"/>
  <c r="BX2670" i="3" l="1"/>
  <c r="BY2671" i="3"/>
  <c r="BY2672" i="3" l="1"/>
  <c r="BX2671" i="3"/>
  <c r="BX2672" i="3" l="1"/>
  <c r="BY2673" i="3"/>
  <c r="BY2674" i="3" l="1"/>
  <c r="BX2673" i="3"/>
  <c r="BY2675" i="3" l="1"/>
  <c r="BX2674" i="3"/>
  <c r="BX2675" i="3" l="1"/>
  <c r="BY2676" i="3"/>
  <c r="BX2676" i="3" l="1"/>
  <c r="BY2677" i="3"/>
  <c r="BY2678" i="3" l="1"/>
  <c r="BX2677" i="3"/>
  <c r="BX2678" i="3" l="1"/>
  <c r="BY2679" i="3"/>
  <c r="BY2680" i="3" l="1"/>
  <c r="BX2679" i="3"/>
  <c r="BY2681" i="3" l="1"/>
  <c r="BX2680" i="3"/>
  <c r="BX2681" i="3" l="1"/>
  <c r="BY2682" i="3"/>
  <c r="BX2682" i="3" l="1"/>
  <c r="BY2683" i="3"/>
  <c r="BY2684" i="3" l="1"/>
  <c r="BX2683" i="3"/>
  <c r="BX2684" i="3" l="1"/>
  <c r="BY2685" i="3"/>
  <c r="BY2686" i="3" l="1"/>
  <c r="BX2685" i="3"/>
  <c r="BY2687" i="3" l="1"/>
  <c r="BX2686" i="3"/>
  <c r="BX2687" i="3" l="1"/>
  <c r="BY2688" i="3"/>
  <c r="BX2688" i="3" l="1"/>
  <c r="BY2689" i="3"/>
  <c r="BY2690" i="3" l="1"/>
  <c r="BX2689" i="3"/>
  <c r="BX2690" i="3" l="1"/>
  <c r="BY2691" i="3"/>
  <c r="BY2692" i="3" l="1"/>
  <c r="BX2691" i="3"/>
  <c r="BY2693" i="3" l="1"/>
  <c r="BX2692" i="3"/>
  <c r="BX2693" i="3" l="1"/>
  <c r="BY2694" i="3"/>
  <c r="BX2694" i="3" l="1"/>
  <c r="BY2695" i="3"/>
  <c r="BY2696" i="3" l="1"/>
  <c r="BX2695" i="3"/>
  <c r="BX2696" i="3" l="1"/>
  <c r="BY2697" i="3"/>
  <c r="BY2698" i="3" l="1"/>
  <c r="BX2697" i="3"/>
  <c r="BY2699" i="3" l="1"/>
  <c r="BX2698" i="3"/>
  <c r="BX2699" i="3" l="1"/>
  <c r="BY2700" i="3"/>
  <c r="BX2700" i="3" l="1"/>
  <c r="BY2701" i="3"/>
  <c r="BY2702" i="3" l="1"/>
  <c r="BX2701" i="3"/>
  <c r="BX2702" i="3" l="1"/>
  <c r="BY2703" i="3"/>
  <c r="BY2704" i="3" l="1"/>
  <c r="BX2703" i="3"/>
  <c r="BY2705" i="3" l="1"/>
  <c r="BX2704" i="3"/>
  <c r="BX2705" i="3" l="1"/>
  <c r="BY2706" i="3"/>
  <c r="BX2706" i="3" l="1"/>
  <c r="BY2707" i="3"/>
  <c r="BY2708" i="3" l="1"/>
  <c r="BX2707" i="3"/>
  <c r="BX2708" i="3" l="1"/>
  <c r="BY2709" i="3"/>
  <c r="BY2710" i="3" l="1"/>
  <c r="BX2709" i="3"/>
  <c r="BY2711" i="3" l="1"/>
  <c r="BX2710" i="3"/>
  <c r="BX2711" i="3" l="1"/>
  <c r="BY2712" i="3"/>
  <c r="BX2712" i="3" l="1"/>
  <c r="BY2713" i="3"/>
  <c r="BY2714" i="3" l="1"/>
  <c r="BX2713" i="3"/>
  <c r="BX2714" i="3" l="1"/>
  <c r="BY2715" i="3"/>
  <c r="BY2716" i="3" l="1"/>
  <c r="BX2715" i="3"/>
  <c r="BY2717" i="3" l="1"/>
  <c r="BX2716" i="3"/>
  <c r="BX2717" i="3" l="1"/>
  <c r="BY2718" i="3"/>
  <c r="BX2718" i="3" l="1"/>
  <c r="BY2719" i="3"/>
  <c r="BY2720" i="3" l="1"/>
  <c r="BX2719" i="3"/>
  <c r="BX2720" i="3" l="1"/>
  <c r="BY2721" i="3"/>
  <c r="BY2722" i="3" l="1"/>
  <c r="BX2721" i="3"/>
  <c r="BY2723" i="3" l="1"/>
  <c r="BX2722" i="3"/>
  <c r="BX2723" i="3" l="1"/>
  <c r="BY2724" i="3"/>
  <c r="BX2724" i="3" l="1"/>
  <c r="BY2725" i="3"/>
  <c r="BY2726" i="3" l="1"/>
  <c r="BX2725" i="3"/>
  <c r="BX2726" i="3" l="1"/>
  <c r="BY2727" i="3"/>
  <c r="BY2728" i="3" l="1"/>
  <c r="BX2727" i="3"/>
  <c r="BY2729" i="3" l="1"/>
  <c r="BX2728" i="3"/>
  <c r="BX2729" i="3" l="1"/>
  <c r="BY2730" i="3"/>
  <c r="BX2730" i="3" l="1"/>
  <c r="BY2731" i="3"/>
  <c r="BY2732" i="3" l="1"/>
  <c r="BX2731" i="3"/>
  <c r="BX2732" i="3" l="1"/>
  <c r="BY2733" i="3"/>
  <c r="BY2734" i="3" l="1"/>
  <c r="BX2733" i="3"/>
  <c r="BY2735" i="3" l="1"/>
  <c r="BX2734" i="3"/>
  <c r="BX2735" i="3" l="1"/>
  <c r="BY2736" i="3"/>
  <c r="BX2736" i="3" l="1"/>
  <c r="BY2737" i="3"/>
  <c r="BY2738" i="3" l="1"/>
  <c r="BX2737" i="3"/>
  <c r="BX2738" i="3" l="1"/>
  <c r="BY2739" i="3"/>
  <c r="BY2740" i="3" l="1"/>
  <c r="BX2739" i="3"/>
  <c r="BY2741" i="3" l="1"/>
  <c r="BX2740" i="3"/>
  <c r="BX2741" i="3" l="1"/>
  <c r="BY2742" i="3"/>
  <c r="BX2742" i="3" l="1"/>
  <c r="BY2743" i="3"/>
  <c r="BY2744" i="3" l="1"/>
  <c r="BX2743" i="3"/>
  <c r="BX2744" i="3" l="1"/>
  <c r="BY2745" i="3"/>
  <c r="BY2746" i="3" l="1"/>
  <c r="BX2745" i="3"/>
  <c r="BY2747" i="3" l="1"/>
  <c r="BX2746" i="3"/>
  <c r="BX2747" i="3" l="1"/>
  <c r="BY2748" i="3"/>
  <c r="BX2748" i="3" l="1"/>
  <c r="BY2749" i="3"/>
  <c r="BY2750" i="3" l="1"/>
  <c r="BX2749" i="3"/>
  <c r="BX2750" i="3" l="1"/>
  <c r="BY2751" i="3"/>
  <c r="BY2752" i="3" l="1"/>
  <c r="BX2751" i="3"/>
  <c r="BY2753" i="3" l="1"/>
  <c r="BX2752" i="3"/>
  <c r="BX2753" i="3" l="1"/>
  <c r="BY2754" i="3"/>
  <c r="BX2754" i="3" l="1"/>
  <c r="BY2755" i="3"/>
  <c r="BY2756" i="3" l="1"/>
  <c r="BX2755" i="3"/>
  <c r="BX2756" i="3" l="1"/>
  <c r="BY2757" i="3"/>
  <c r="BY2758" i="3" l="1"/>
  <c r="BX2757" i="3"/>
  <c r="BY2759" i="3" l="1"/>
  <c r="BX2758" i="3"/>
  <c r="BX2759" i="3" l="1"/>
  <c r="BY2760" i="3"/>
  <c r="BX2760" i="3" l="1"/>
  <c r="BY2761" i="3"/>
  <c r="BY2762" i="3" l="1"/>
  <c r="BX2761" i="3"/>
  <c r="BX2762" i="3" l="1"/>
  <c r="BY2763" i="3"/>
  <c r="BY2764" i="3" l="1"/>
  <c r="BX2763" i="3"/>
  <c r="BY2765" i="3" l="1"/>
  <c r="BX2764" i="3"/>
  <c r="BX2765" i="3" l="1"/>
  <c r="BY2766" i="3"/>
  <c r="BX2766" i="3" l="1"/>
  <c r="BY2767" i="3"/>
  <c r="BY2768" i="3" l="1"/>
  <c r="BX2767" i="3"/>
  <c r="BX2768" i="3" l="1"/>
  <c r="BY2769" i="3"/>
  <c r="BY2770" i="3" l="1"/>
  <c r="BX2769" i="3"/>
  <c r="BY2771" i="3" l="1"/>
  <c r="BX2770" i="3"/>
  <c r="BX2771" i="3" l="1"/>
  <c r="BY2772" i="3"/>
  <c r="BY2773" i="3" l="1"/>
  <c r="BX2772" i="3"/>
  <c r="BY2774" i="3" l="1"/>
  <c r="BX2773" i="3"/>
  <c r="BX2774" i="3" l="1"/>
  <c r="BY2775" i="3"/>
  <c r="BY2776" i="3" l="1"/>
  <c r="BX2775" i="3"/>
  <c r="BY2777" i="3" l="1"/>
  <c r="BX2776" i="3"/>
  <c r="BX2777" i="3" l="1"/>
  <c r="BY2778" i="3"/>
  <c r="BY2779" i="3" l="1"/>
  <c r="BX2778" i="3"/>
  <c r="BY2780" i="3" l="1"/>
  <c r="BX2779" i="3"/>
  <c r="BX2780" i="3" l="1"/>
  <c r="BY2781" i="3"/>
  <c r="BY2782" i="3" l="1"/>
  <c r="BX2781" i="3"/>
  <c r="BY2783" i="3" l="1"/>
  <c r="BX2782" i="3"/>
  <c r="BX2783" i="3" l="1"/>
  <c r="BY2784" i="3"/>
  <c r="BY2785" i="3" l="1"/>
  <c r="BX2784" i="3"/>
  <c r="BY2786" i="3" l="1"/>
  <c r="BX2785" i="3"/>
  <c r="BX2786" i="3" l="1"/>
  <c r="BY2787" i="3"/>
  <c r="BX2787" i="3" l="1"/>
  <c r="BY2788" i="3"/>
  <c r="BY2789" i="3" l="1"/>
  <c r="BX2788" i="3"/>
  <c r="BX2789" i="3" l="1"/>
  <c r="BY2790" i="3"/>
  <c r="BY2791" i="3" l="1"/>
  <c r="BX2790" i="3"/>
  <c r="BY2792" i="3" l="1"/>
  <c r="BX2791" i="3"/>
  <c r="BX2792" i="3" l="1"/>
  <c r="BY2793" i="3"/>
  <c r="BY2794" i="3" l="1"/>
  <c r="BX2793" i="3"/>
  <c r="BY2795" i="3" l="1"/>
  <c r="BX2794" i="3"/>
  <c r="BX2795" i="3" l="1"/>
  <c r="BY2796" i="3"/>
  <c r="BY2797" i="3" l="1"/>
  <c r="BX2796" i="3"/>
  <c r="BY2798" i="3" l="1"/>
  <c r="BX2797" i="3"/>
  <c r="BX2798" i="3" l="1"/>
  <c r="BY2799" i="3"/>
  <c r="BY2800" i="3" l="1"/>
  <c r="BX2799" i="3"/>
  <c r="BY2801" i="3" l="1"/>
  <c r="BX2800" i="3"/>
  <c r="BX2801" i="3" l="1"/>
  <c r="BY2802" i="3"/>
  <c r="BY2803" i="3" l="1"/>
  <c r="BX2802" i="3"/>
  <c r="BY2804" i="3" l="1"/>
  <c r="BX2803" i="3"/>
  <c r="BX2804" i="3" l="1"/>
  <c r="BY2805" i="3"/>
  <c r="BY2806" i="3" l="1"/>
  <c r="BX2805" i="3"/>
  <c r="BY2807" i="3" l="1"/>
  <c r="BX2806" i="3"/>
  <c r="BX2807" i="3" l="1"/>
  <c r="BY2808" i="3"/>
  <c r="BY2809" i="3" l="1"/>
  <c r="BX2808" i="3"/>
  <c r="BY2810" i="3" l="1"/>
  <c r="BX2809" i="3"/>
  <c r="BX2810" i="3" l="1"/>
  <c r="BY2811" i="3"/>
  <c r="BY2812" i="3" l="1"/>
  <c r="BX2811" i="3"/>
  <c r="BY2813" i="3" l="1"/>
  <c r="BX2812" i="3"/>
  <c r="BX2813" i="3" l="1"/>
  <c r="BY2814" i="3"/>
  <c r="BY2815" i="3" l="1"/>
  <c r="BX2814" i="3"/>
  <c r="BY2816" i="3" l="1"/>
  <c r="BX2815" i="3"/>
  <c r="BX2816" i="3" l="1"/>
  <c r="BY2817" i="3"/>
  <c r="BX2817" i="3" l="1"/>
  <c r="BY2818" i="3"/>
  <c r="BY2819" i="3" l="1"/>
  <c r="BX2818" i="3"/>
  <c r="BX2819" i="3" l="1"/>
  <c r="BY2820" i="3"/>
  <c r="BY2821" i="3" l="1"/>
  <c r="BX2820" i="3"/>
  <c r="BY2822" i="3" l="1"/>
  <c r="BX2821" i="3"/>
  <c r="BX2822" i="3" l="1"/>
  <c r="BY2823" i="3"/>
  <c r="BY2824" i="3" l="1"/>
  <c r="BX2823" i="3"/>
  <c r="BY2825" i="3" l="1"/>
  <c r="BX2824" i="3"/>
  <c r="BX2825" i="3" l="1"/>
  <c r="BY2826" i="3"/>
  <c r="BY2827" i="3" l="1"/>
  <c r="BX2826" i="3"/>
  <c r="BY2828" i="3" l="1"/>
  <c r="BX2827" i="3"/>
  <c r="BX2828" i="3" l="1"/>
  <c r="BY2829" i="3"/>
  <c r="BY2830" i="3" l="1"/>
  <c r="BX2829" i="3"/>
  <c r="BY2831" i="3" l="1"/>
  <c r="BX2830" i="3"/>
  <c r="BX2831" i="3" l="1"/>
  <c r="BY2832" i="3"/>
  <c r="BY2833" i="3" l="1"/>
  <c r="BX2832" i="3"/>
  <c r="BY2834" i="3" l="1"/>
  <c r="BX2833" i="3"/>
  <c r="BX2834" i="3" l="1"/>
  <c r="BY2835" i="3"/>
  <c r="BY2836" i="3" l="1"/>
  <c r="BX2835" i="3"/>
  <c r="BY2837" i="3" l="1"/>
  <c r="BX2836" i="3"/>
  <c r="BX2837" i="3" l="1"/>
  <c r="BY2838" i="3"/>
  <c r="BY2839" i="3" l="1"/>
  <c r="BX2838" i="3"/>
  <c r="BX2839" i="3" l="1"/>
  <c r="BY2840" i="3"/>
  <c r="BX2840" i="3" l="1"/>
  <c r="BY2841" i="3"/>
  <c r="BY2842" i="3" l="1"/>
  <c r="BX2841" i="3"/>
  <c r="BY2843" i="3" l="1"/>
  <c r="BX2842" i="3"/>
  <c r="BX2843" i="3" l="1"/>
  <c r="BY2844" i="3"/>
  <c r="BY2845" i="3" l="1"/>
  <c r="BX2844" i="3"/>
  <c r="BX2845" i="3" l="1"/>
  <c r="BY2846" i="3"/>
  <c r="BX2846" i="3" l="1"/>
  <c r="BY2847" i="3"/>
  <c r="BX2847" i="3" l="1"/>
  <c r="BY2848" i="3"/>
  <c r="BY2849" i="3" l="1"/>
  <c r="BX2848" i="3"/>
  <c r="BX2849" i="3" l="1"/>
  <c r="BY2850" i="3"/>
  <c r="BY2851" i="3" l="1"/>
  <c r="BX2850" i="3"/>
  <c r="BX2851" i="3" l="1"/>
  <c r="BY2852" i="3"/>
  <c r="BX2852" i="3" l="1"/>
  <c r="BY2853" i="3"/>
  <c r="BX2853" i="3" l="1"/>
  <c r="BY2854" i="3"/>
  <c r="BY2855" i="3" l="1"/>
  <c r="BX2854" i="3"/>
  <c r="BX2855" i="3" l="1"/>
  <c r="BY2856" i="3"/>
  <c r="BY2857" i="3" l="1"/>
  <c r="BX2856" i="3"/>
  <c r="BX2857" i="3" l="1"/>
  <c r="BY2858" i="3"/>
  <c r="BX2858" i="3" l="1"/>
  <c r="BY2859" i="3"/>
  <c r="BX2859" i="3" l="1"/>
  <c r="BY2860" i="3"/>
  <c r="BY2861" i="3" l="1"/>
  <c r="BX2860" i="3"/>
  <c r="BX2861" i="3" l="1"/>
  <c r="BY2862" i="3"/>
  <c r="BY2863" i="3" l="1"/>
  <c r="BX2862" i="3"/>
  <c r="BX2863" i="3" l="1"/>
  <c r="BY2864" i="3"/>
  <c r="BX2864" i="3" l="1"/>
  <c r="BY2865" i="3"/>
  <c r="BX2865" i="3" l="1"/>
  <c r="BY2866" i="3"/>
  <c r="BY2867" i="3" l="1"/>
  <c r="BX2866" i="3"/>
  <c r="BX2867" i="3" l="1"/>
  <c r="BY2868" i="3"/>
  <c r="BY2869" i="3" l="1"/>
  <c r="BX2868" i="3"/>
  <c r="BX2869" i="3" l="1"/>
  <c r="BY2870" i="3"/>
  <c r="BX2870" i="3" l="1"/>
  <c r="BY2871" i="3"/>
  <c r="BX2871" i="3" l="1"/>
  <c r="BY2872" i="3"/>
  <c r="BY2873" i="3" l="1"/>
  <c r="BX2872" i="3"/>
  <c r="BX2873" i="3" l="1"/>
  <c r="BY2874" i="3"/>
  <c r="BY2875" i="3" l="1"/>
  <c r="BX2874" i="3"/>
  <c r="BX2875" i="3" l="1"/>
  <c r="BY2876" i="3"/>
  <c r="BX2876" i="3" l="1"/>
  <c r="BY2877" i="3"/>
  <c r="BX2877" i="3" l="1"/>
  <c r="BY2878" i="3"/>
  <c r="BY2879" i="3" l="1"/>
  <c r="BX2878" i="3"/>
  <c r="BX2879" i="3" l="1"/>
  <c r="BY2880" i="3"/>
  <c r="BY2881" i="3" l="1"/>
  <c r="BX2880" i="3"/>
  <c r="BX2881" i="3" l="1"/>
  <c r="BY2882" i="3"/>
  <c r="BX2882" i="3" l="1"/>
  <c r="BY2883" i="3"/>
  <c r="BX2883" i="3" l="1"/>
  <c r="BY2884" i="3"/>
  <c r="BY2885" i="3" l="1"/>
  <c r="BX2884" i="3"/>
  <c r="BX2885" i="3" l="1"/>
  <c r="BY2886" i="3"/>
  <c r="BY2887" i="3" l="1"/>
  <c r="BX2886" i="3"/>
  <c r="BX2887" i="3" l="1"/>
  <c r="BY2888" i="3"/>
  <c r="BX2888" i="3" l="1"/>
  <c r="BY2889" i="3"/>
  <c r="BX2889" i="3" l="1"/>
  <c r="BY2890" i="3"/>
  <c r="BY2891" i="3" l="1"/>
  <c r="BX2890" i="3"/>
  <c r="BY2892" i="3" l="1"/>
  <c r="BX2891" i="3"/>
  <c r="BY2893" i="3" l="1"/>
  <c r="BX2892" i="3"/>
  <c r="BX2893" i="3" l="1"/>
  <c r="BY2894" i="3"/>
  <c r="BX2894" i="3" l="1"/>
  <c r="BY2895" i="3"/>
  <c r="BX2895" i="3" l="1"/>
  <c r="BY2896" i="3"/>
  <c r="BY2897" i="3" l="1"/>
  <c r="BX2896" i="3"/>
  <c r="BY2898" i="3" l="1"/>
  <c r="BX2897" i="3"/>
  <c r="BY2899" i="3" l="1"/>
  <c r="BX2898" i="3"/>
  <c r="BX2899" i="3" l="1"/>
  <c r="BY2900" i="3"/>
  <c r="BX2900" i="3" l="1"/>
  <c r="BY2901" i="3"/>
  <c r="BX2901" i="3" l="1"/>
  <c r="BY2902" i="3"/>
  <c r="BY2903" i="3" l="1"/>
  <c r="BX2902" i="3"/>
  <c r="BY2904" i="3" l="1"/>
  <c r="BX2903" i="3"/>
  <c r="BY2905" i="3" l="1"/>
  <c r="BX2904" i="3"/>
  <c r="BX2905" i="3" l="1"/>
  <c r="BY2906" i="3"/>
  <c r="BX2906" i="3" l="1"/>
  <c r="BY2907" i="3"/>
  <c r="BX2907" i="3" l="1"/>
  <c r="BY2908" i="3"/>
  <c r="BY2909" i="3" l="1"/>
  <c r="BX2908" i="3"/>
  <c r="BY2910" i="3" l="1"/>
  <c r="BX2909" i="3"/>
  <c r="BY2911" i="3" l="1"/>
  <c r="BX2910" i="3"/>
  <c r="BX2911" i="3" l="1"/>
  <c r="BY2912" i="3"/>
  <c r="BX2912" i="3" l="1"/>
  <c r="BY2913" i="3"/>
  <c r="BX2913" i="3" l="1"/>
  <c r="BY2914" i="3"/>
  <c r="BY2915" i="3" l="1"/>
  <c r="BX2914" i="3"/>
  <c r="BY2916" i="3" l="1"/>
  <c r="BX2915" i="3"/>
  <c r="BY2917" i="3" l="1"/>
  <c r="BX2916" i="3"/>
  <c r="BX2917" i="3" l="1"/>
  <c r="BY2918" i="3"/>
  <c r="BX2918" i="3" l="1"/>
  <c r="BY2919" i="3"/>
  <c r="BY2920" i="3" l="1"/>
  <c r="BX2919" i="3"/>
  <c r="BY2921" i="3" l="1"/>
  <c r="BX2920" i="3"/>
  <c r="BY2922" i="3" l="1"/>
  <c r="BX2921" i="3"/>
  <c r="BY2923" i="3" l="1"/>
  <c r="BX2922" i="3"/>
  <c r="BX2923" i="3" l="1"/>
  <c r="BY2924" i="3"/>
  <c r="BX2924" i="3" l="1"/>
  <c r="BY2925" i="3"/>
  <c r="BY2926" i="3" l="1"/>
  <c r="BX2925" i="3"/>
  <c r="BY2927" i="3" l="1"/>
  <c r="BX2926" i="3"/>
  <c r="BY2928" i="3" l="1"/>
  <c r="BX2927" i="3"/>
  <c r="BY2929" i="3" l="1"/>
  <c r="BX2928" i="3"/>
  <c r="BX2929" i="3" l="1"/>
  <c r="BY2930" i="3"/>
  <c r="BX2930" i="3" l="1"/>
  <c r="BY2931" i="3"/>
  <c r="BY2932" i="3" l="1"/>
  <c r="BX2931" i="3"/>
  <c r="BY2933" i="3" l="1"/>
  <c r="BX2932" i="3"/>
  <c r="BY2934" i="3" l="1"/>
  <c r="BX2933" i="3"/>
  <c r="BY2935" i="3" l="1"/>
  <c r="BX2934" i="3"/>
  <c r="BX2935" i="3" l="1"/>
  <c r="BY2936" i="3"/>
  <c r="BX2936" i="3" l="1"/>
  <c r="BY2937" i="3"/>
  <c r="BY2938" i="3" l="1"/>
  <c r="BX2937" i="3"/>
  <c r="BY2939" i="3" l="1"/>
  <c r="BX2938" i="3"/>
  <c r="BY2940" i="3" l="1"/>
  <c r="BX2939" i="3"/>
  <c r="BY2941" i="3" l="1"/>
  <c r="BX2940" i="3"/>
  <c r="BX2941" i="3" l="1"/>
  <c r="BY2942" i="3"/>
  <c r="BX2942" i="3" l="1"/>
  <c r="BY2943" i="3"/>
  <c r="BY2944" i="3" l="1"/>
  <c r="BX2943" i="3"/>
  <c r="BY2945" i="3" l="1"/>
  <c r="BX2944" i="3"/>
  <c r="BY2946" i="3" l="1"/>
  <c r="BX2945" i="3"/>
  <c r="BY2947" i="3" l="1"/>
  <c r="BX2946" i="3"/>
  <c r="BX2947" i="3" l="1"/>
  <c r="BY2948" i="3"/>
  <c r="BX2948" i="3" l="1"/>
  <c r="BY2949" i="3"/>
  <c r="BY2950" i="3" l="1"/>
  <c r="BX2949" i="3"/>
  <c r="BY2951" i="3" l="1"/>
  <c r="BX2950" i="3"/>
  <c r="BY2952" i="3" l="1"/>
  <c r="BX2951" i="3"/>
  <c r="BY2953" i="3" l="1"/>
  <c r="BX2952" i="3"/>
  <c r="BX2953" i="3" l="1"/>
  <c r="BY2954" i="3"/>
  <c r="BX2954" i="3" l="1"/>
  <c r="BY2955" i="3"/>
  <c r="BY2956" i="3" l="1"/>
  <c r="BX2955" i="3"/>
  <c r="BY2957" i="3" l="1"/>
  <c r="BX2956" i="3"/>
  <c r="BY2958" i="3" l="1"/>
  <c r="BX2957" i="3"/>
  <c r="BY2959" i="3" l="1"/>
  <c r="BX2958" i="3"/>
  <c r="BX2959" i="3" l="1"/>
  <c r="BY2960" i="3"/>
  <c r="BX2960" i="3" l="1"/>
  <c r="BY2961" i="3"/>
  <c r="BY2962" i="3" l="1"/>
  <c r="BX2961" i="3"/>
  <c r="BY2963" i="3" l="1"/>
  <c r="BX2962" i="3"/>
  <c r="BY2964" i="3" l="1"/>
  <c r="BX2963" i="3"/>
  <c r="BY2965" i="3" l="1"/>
  <c r="BX2964" i="3"/>
  <c r="BX2965" i="3" l="1"/>
  <c r="BY2966" i="3"/>
  <c r="BX2966" i="3" l="1"/>
  <c r="BY2967" i="3"/>
  <c r="BY2968" i="3" l="1"/>
  <c r="BX2967" i="3"/>
  <c r="BY2969" i="3" l="1"/>
  <c r="BX2968" i="3"/>
  <c r="BY2970" i="3" l="1"/>
  <c r="BX2969" i="3"/>
  <c r="BY2971" i="3" l="1"/>
  <c r="BX2970" i="3"/>
  <c r="BX2971" i="3" l="1"/>
  <c r="BY2972" i="3"/>
  <c r="BX2972" i="3" l="1"/>
  <c r="BY2973" i="3"/>
  <c r="BY2974" i="3" l="1"/>
  <c r="BX2973" i="3"/>
  <c r="BY2975" i="3" l="1"/>
  <c r="BX2974" i="3"/>
  <c r="BY2976" i="3" l="1"/>
  <c r="BX2975" i="3"/>
  <c r="BY2977" i="3" l="1"/>
  <c r="BX2976" i="3"/>
  <c r="BX2977" i="3" l="1"/>
  <c r="BY2978" i="3"/>
  <c r="BX2978" i="3" l="1"/>
  <c r="BY2979" i="3"/>
  <c r="BY2980" i="3" l="1"/>
  <c r="BX2979" i="3"/>
  <c r="BY2981" i="3" l="1"/>
  <c r="BX2980" i="3"/>
  <c r="BY2982" i="3" l="1"/>
  <c r="BX2981" i="3"/>
  <c r="BY2983" i="3" l="1"/>
  <c r="BX2982" i="3"/>
  <c r="BX2983" i="3" l="1"/>
  <c r="BY2984" i="3"/>
  <c r="BX2984" i="3" l="1"/>
  <c r="BY2985" i="3"/>
  <c r="BY2986" i="3" l="1"/>
  <c r="BX2985" i="3"/>
  <c r="BY2987" i="3" l="1"/>
  <c r="BX2986" i="3"/>
  <c r="BY2988" i="3" l="1"/>
  <c r="BX2987" i="3"/>
  <c r="BY2989" i="3" l="1"/>
  <c r="BX2988" i="3"/>
  <c r="BX2989" i="3" l="1"/>
  <c r="BY2990" i="3"/>
  <c r="BX2990" i="3" l="1"/>
  <c r="BY2991" i="3"/>
  <c r="BY2992" i="3" l="1"/>
  <c r="BX2991" i="3"/>
  <c r="BY2993" i="3" l="1"/>
  <c r="BX2992" i="3"/>
  <c r="BY2994" i="3" l="1"/>
  <c r="BX2993" i="3"/>
  <c r="BY2995" i="3" l="1"/>
  <c r="BX2994" i="3"/>
  <c r="BX2995" i="3" l="1"/>
  <c r="BY2996" i="3"/>
  <c r="BX2996" i="3" l="1"/>
  <c r="BY2997" i="3"/>
  <c r="BY2998" i="3" l="1"/>
  <c r="BX2997" i="3"/>
  <c r="BY2999" i="3" l="1"/>
  <c r="BX2998" i="3"/>
  <c r="BY3000" i="3" l="1"/>
  <c r="BX2999" i="3"/>
  <c r="BY3001" i="3" l="1"/>
  <c r="BX3000" i="3"/>
  <c r="BX3001" i="3" l="1"/>
  <c r="BY3002" i="3"/>
  <c r="BX3002" i="3" l="1"/>
  <c r="BY3003" i="3"/>
  <c r="BY3004" i="3" l="1"/>
  <c r="BX3003" i="3"/>
  <c r="BY3005" i="3" l="1"/>
  <c r="BX3004" i="3"/>
  <c r="BY3006" i="3" l="1"/>
  <c r="BX3005" i="3"/>
  <c r="BY3007" i="3" l="1"/>
  <c r="BX3006" i="3"/>
  <c r="BX3007" i="3" l="1"/>
  <c r="BY3008" i="3"/>
  <c r="BX3008" i="3" l="1"/>
  <c r="BY3009" i="3"/>
  <c r="BY3010" i="3" l="1"/>
  <c r="BX3009" i="3"/>
  <c r="BY3011" i="3" l="1"/>
  <c r="BX3010" i="3"/>
  <c r="BY3012" i="3" l="1"/>
  <c r="BX3011" i="3"/>
  <c r="BY3013" i="3" l="1"/>
  <c r="BX3012" i="3"/>
  <c r="BX3013" i="3" l="1"/>
  <c r="BY3014" i="3"/>
  <c r="BX3014" i="3" l="1"/>
  <c r="BY3015" i="3"/>
  <c r="BY3016" i="3" l="1"/>
  <c r="BX3015" i="3"/>
  <c r="BY3017" i="3" l="1"/>
  <c r="BX3016" i="3"/>
  <c r="BY3018" i="3" l="1"/>
  <c r="BX3017" i="3"/>
  <c r="BY3019" i="3" l="1"/>
  <c r="BX3018" i="3"/>
  <c r="BX3019" i="3" l="1"/>
  <c r="BY3020" i="3"/>
  <c r="BX3020" i="3" l="1"/>
  <c r="BY3021" i="3"/>
  <c r="BY3022" i="3" l="1"/>
  <c r="BX3021" i="3"/>
  <c r="BY3023" i="3" l="1"/>
  <c r="BX3022" i="3"/>
  <c r="BY3024" i="3" l="1"/>
  <c r="BX3023" i="3"/>
  <c r="BY3025" i="3" l="1"/>
  <c r="BX3024" i="3"/>
  <c r="BX3025" i="3" l="1"/>
  <c r="BY3026" i="3"/>
  <c r="BX3026" i="3" l="1"/>
  <c r="BY3027" i="3"/>
  <c r="BY3028" i="3" l="1"/>
  <c r="BX3027" i="3"/>
  <c r="BY3029" i="3" l="1"/>
  <c r="BX3028" i="3"/>
  <c r="BY3030" i="3" l="1"/>
  <c r="BX3029" i="3"/>
  <c r="BY3031" i="3" l="1"/>
  <c r="BX3030" i="3"/>
  <c r="BX3031" i="3" l="1"/>
  <c r="BY3032" i="3"/>
  <c r="BX3032" i="3" l="1"/>
  <c r="BY3033" i="3"/>
  <c r="BY3034" i="3" l="1"/>
  <c r="BX3033" i="3"/>
  <c r="BY3035" i="3" l="1"/>
  <c r="BX3034" i="3"/>
  <c r="BY3036" i="3" l="1"/>
  <c r="BX3035" i="3"/>
  <c r="BY3037" i="3" l="1"/>
  <c r="BX3036" i="3"/>
  <c r="BX3037" i="3" l="1"/>
  <c r="BY3038" i="3"/>
  <c r="BX3038" i="3" l="1"/>
  <c r="BY3039" i="3"/>
  <c r="BY3040" i="3" l="1"/>
  <c r="BX3039" i="3"/>
  <c r="BY3041" i="3" l="1"/>
  <c r="BX3040" i="3"/>
  <c r="BY3042" i="3" l="1"/>
  <c r="BX3041" i="3"/>
  <c r="BY3043" i="3" l="1"/>
  <c r="BX3042" i="3"/>
  <c r="BX3043" i="3" l="1"/>
  <c r="BY3044" i="3"/>
  <c r="BX3044" i="3" l="1"/>
  <c r="BY3045" i="3"/>
  <c r="BY3046" i="3" l="1"/>
  <c r="BX3045" i="3"/>
  <c r="BY3047" i="3" l="1"/>
  <c r="BX3046" i="3"/>
  <c r="BY3048" i="3" l="1"/>
  <c r="BX3047" i="3"/>
  <c r="BY3049" i="3" l="1"/>
  <c r="BX3048" i="3"/>
  <c r="BX3049" i="3" l="1"/>
  <c r="BY3050" i="3"/>
  <c r="BX3050" i="3" l="1"/>
  <c r="BY3051" i="3"/>
  <c r="BY3052" i="3" l="1"/>
  <c r="BX3051" i="3"/>
  <c r="BY3053" i="3" l="1"/>
  <c r="BX3052" i="3"/>
  <c r="BY3054" i="3" l="1"/>
  <c r="BX3053" i="3"/>
  <c r="BY3055" i="3" l="1"/>
  <c r="BX3054" i="3"/>
  <c r="BX3055" i="3" l="1"/>
  <c r="BY3056" i="3"/>
  <c r="BX3056" i="3" l="1"/>
  <c r="BY3057" i="3"/>
  <c r="BY3058" i="3" l="1"/>
  <c r="BX3057" i="3"/>
  <c r="BY3059" i="3" l="1"/>
  <c r="BX3058" i="3"/>
  <c r="BY3060" i="3" l="1"/>
  <c r="BX3059" i="3"/>
  <c r="BY3061" i="3" l="1"/>
  <c r="BX3060" i="3"/>
  <c r="BX3061" i="3" l="1"/>
  <c r="BY3062" i="3"/>
  <c r="BX3062" i="3" l="1"/>
  <c r="BY3063" i="3"/>
  <c r="BY3064" i="3" l="1"/>
  <c r="BX3063" i="3"/>
  <c r="BY3065" i="3" l="1"/>
  <c r="BX3064" i="3"/>
  <c r="BY3066" i="3" l="1"/>
  <c r="BX3065" i="3"/>
  <c r="BY3067" i="3" l="1"/>
  <c r="BX3066" i="3"/>
  <c r="BX3067" i="3" l="1"/>
  <c r="BY3068" i="3"/>
  <c r="BX3068" i="3" l="1"/>
  <c r="BY3069" i="3"/>
  <c r="BY3070" i="3" l="1"/>
  <c r="BX3069" i="3"/>
  <c r="BY3071" i="3" l="1"/>
  <c r="BX3070" i="3"/>
  <c r="BY3072" i="3" l="1"/>
  <c r="BX3071" i="3"/>
  <c r="BY3073" i="3" l="1"/>
  <c r="BX3072" i="3"/>
  <c r="BX3073" i="3" l="1"/>
  <c r="BY3074" i="3"/>
  <c r="BX3074" i="3" l="1"/>
  <c r="BY3075" i="3"/>
  <c r="BY3076" i="3" l="1"/>
  <c r="BX3075" i="3"/>
  <c r="BY3077" i="3" l="1"/>
  <c r="BX3076" i="3"/>
  <c r="BY3078" i="3" l="1"/>
  <c r="BX3077" i="3"/>
  <c r="BY3079" i="3" l="1"/>
  <c r="BX3078" i="3"/>
  <c r="BX3079" i="3" l="1"/>
  <c r="BY3080" i="3"/>
  <c r="BX3080" i="3" l="1"/>
  <c r="BY3081" i="3"/>
  <c r="BY3082" i="3" l="1"/>
  <c r="BX3081" i="3"/>
  <c r="BY3083" i="3" l="1"/>
  <c r="BX3082" i="3"/>
  <c r="BY3084" i="3" l="1"/>
  <c r="BX3083" i="3"/>
  <c r="BY3085" i="3" l="1"/>
  <c r="BX3084" i="3"/>
  <c r="BX3085" i="3" l="1"/>
  <c r="BY3086" i="3"/>
  <c r="BX3086" i="3" l="1"/>
  <c r="BY3087" i="3"/>
  <c r="BY3088" i="3" l="1"/>
  <c r="BX3087" i="3"/>
  <c r="BY3089" i="3" l="1"/>
  <c r="BX3088" i="3"/>
  <c r="BY3090" i="3" l="1"/>
  <c r="BX3089" i="3"/>
  <c r="BY3091" i="3" l="1"/>
  <c r="BX3090" i="3"/>
  <c r="BX3091" i="3" l="1"/>
  <c r="BY3092" i="3"/>
  <c r="BX3092" i="3" l="1"/>
  <c r="BY3093" i="3"/>
  <c r="BY3094" i="3" l="1"/>
  <c r="BX3093" i="3"/>
  <c r="BY3095" i="3" l="1"/>
  <c r="BX3094" i="3"/>
  <c r="BY3096" i="3" l="1"/>
  <c r="BX3095" i="3"/>
  <c r="BY3097" i="3" l="1"/>
  <c r="BX3096" i="3"/>
  <c r="BX3097" i="3" l="1"/>
  <c r="BY3098" i="3"/>
  <c r="BX3098" i="3" l="1"/>
  <c r="BY3099" i="3"/>
  <c r="BY3100" i="3" l="1"/>
  <c r="BX3099" i="3"/>
  <c r="BY3101" i="3" l="1"/>
  <c r="BX3100" i="3"/>
  <c r="BY3102" i="3" l="1"/>
  <c r="BX3101" i="3"/>
  <c r="BY3103" i="3" l="1"/>
  <c r="BX3102" i="3"/>
  <c r="BX3103" i="3" l="1"/>
  <c r="BY3104" i="3"/>
  <c r="BX3104" i="3" l="1"/>
  <c r="BY3105" i="3"/>
  <c r="BY3106" i="3" l="1"/>
  <c r="BX3105" i="3"/>
  <c r="BY3107" i="3" l="1"/>
  <c r="BX3106" i="3"/>
  <c r="BY3108" i="3" l="1"/>
  <c r="BX3107" i="3"/>
  <c r="BY3109" i="3" l="1"/>
  <c r="BX3108" i="3"/>
  <c r="BX3109" i="3" l="1"/>
  <c r="BY3110" i="3"/>
  <c r="BX3110" i="3" l="1"/>
  <c r="BY3111" i="3"/>
  <c r="BY3112" i="3" l="1"/>
  <c r="BX3111" i="3"/>
  <c r="BY3113" i="3" l="1"/>
  <c r="BX3112" i="3"/>
  <c r="BY3114" i="3" l="1"/>
  <c r="BX3113" i="3"/>
  <c r="BY3115" i="3" l="1"/>
  <c r="BX3114" i="3"/>
  <c r="BX3115" i="3" l="1"/>
  <c r="BY3116" i="3"/>
  <c r="BX3116" i="3" l="1"/>
  <c r="BY3117" i="3"/>
  <c r="BY3118" i="3" l="1"/>
  <c r="BX3117" i="3"/>
  <c r="BY3119" i="3" l="1"/>
  <c r="BX3118" i="3"/>
  <c r="BY3120" i="3" l="1"/>
  <c r="BX3119" i="3"/>
  <c r="BY3121" i="3" l="1"/>
  <c r="BX3120" i="3"/>
  <c r="BX3121" i="3" l="1"/>
  <c r="BY3122" i="3"/>
  <c r="BX3122" i="3" l="1"/>
  <c r="BY3123" i="3"/>
  <c r="BY3124" i="3" l="1"/>
  <c r="BX3123" i="3"/>
  <c r="BY3125" i="3" l="1"/>
  <c r="BX3124" i="3"/>
  <c r="BY3126" i="3" l="1"/>
  <c r="BX3125" i="3"/>
  <c r="BY3127" i="3" l="1"/>
  <c r="BX3126" i="3"/>
  <c r="BX3127" i="3" l="1"/>
  <c r="BY3128" i="3"/>
  <c r="BX3128" i="3" l="1"/>
  <c r="BY3129" i="3"/>
  <c r="BY3130" i="3" l="1"/>
  <c r="BX3129" i="3"/>
  <c r="BY3131" i="3" l="1"/>
  <c r="BX3130" i="3"/>
  <c r="BY3132" i="3" l="1"/>
  <c r="BX3131" i="3"/>
  <c r="BY3133" i="3" l="1"/>
  <c r="BX3132" i="3"/>
  <c r="BX3133" i="3" l="1"/>
  <c r="BY3134" i="3"/>
  <c r="BX3134" i="3" l="1"/>
  <c r="BY3135" i="3"/>
  <c r="BY3136" i="3" l="1"/>
  <c r="BX3135" i="3"/>
  <c r="BY3137" i="3" l="1"/>
  <c r="BX3136" i="3"/>
  <c r="BY3138" i="3" l="1"/>
  <c r="BX3137" i="3"/>
  <c r="BY3139" i="3" l="1"/>
  <c r="BX3138" i="3"/>
  <c r="BX3139" i="3" l="1"/>
  <c r="BY3140" i="3"/>
  <c r="BX3140" i="3" l="1"/>
  <c r="BY3141" i="3"/>
  <c r="BY3142" i="3" l="1"/>
  <c r="BX3141" i="3"/>
  <c r="BY3143" i="3" l="1"/>
  <c r="BX3142" i="3"/>
  <c r="BY3144" i="3" l="1"/>
  <c r="BX3143" i="3"/>
  <c r="BY3145" i="3" l="1"/>
  <c r="BX3144" i="3"/>
  <c r="BX3145" i="3" l="1"/>
  <c r="BY3146" i="3"/>
  <c r="BX3146" i="3" l="1"/>
  <c r="BY3147" i="3"/>
  <c r="BY3148" i="3" l="1"/>
  <c r="BX3147" i="3"/>
  <c r="BY3149" i="3" l="1"/>
  <c r="BX3148" i="3"/>
  <c r="BY3150" i="3" l="1"/>
  <c r="BX3149" i="3"/>
  <c r="BY3151" i="3" l="1"/>
  <c r="BX3150" i="3"/>
  <c r="BX3151" i="3" l="1"/>
  <c r="BY3152" i="3"/>
  <c r="BX3152" i="3" l="1"/>
  <c r="BY3153" i="3"/>
  <c r="BY3154" i="3" l="1"/>
  <c r="BX3153" i="3"/>
  <c r="BY3155" i="3" l="1"/>
  <c r="BX3154" i="3"/>
  <c r="BY3156" i="3" l="1"/>
  <c r="BX3155" i="3"/>
  <c r="BY3157" i="3" l="1"/>
  <c r="BX3156" i="3"/>
  <c r="BX3157" i="3" l="1"/>
  <c r="BY3158" i="3"/>
  <c r="BX3158" i="3" l="1"/>
  <c r="BY3159" i="3"/>
  <c r="BY3160" i="3" l="1"/>
  <c r="BX3159" i="3"/>
  <c r="BY3161" i="3" l="1"/>
  <c r="BX3160" i="3"/>
  <c r="BY3162" i="3" l="1"/>
  <c r="BX3161" i="3"/>
  <c r="BY3163" i="3" l="1"/>
  <c r="BX3162" i="3"/>
  <c r="BX3163" i="3" l="1"/>
  <c r="BY3164" i="3"/>
  <c r="BX3164" i="3" l="1"/>
  <c r="BY3165" i="3"/>
  <c r="BY3166" i="3" l="1"/>
  <c r="BX3165" i="3"/>
  <c r="BY3167" i="3" l="1"/>
  <c r="BX3166" i="3"/>
  <c r="BY3168" i="3" l="1"/>
  <c r="BX3167" i="3"/>
  <c r="BY3169" i="3" l="1"/>
  <c r="BX3168" i="3"/>
  <c r="BX3169" i="3" l="1"/>
  <c r="BY3170" i="3"/>
  <c r="BX3170" i="3" l="1"/>
  <c r="BY3171" i="3"/>
  <c r="BY3172" i="3" l="1"/>
  <c r="BX3171" i="3"/>
  <c r="BY3173" i="3" l="1"/>
  <c r="BX3172" i="3"/>
  <c r="BY3174" i="3" l="1"/>
  <c r="BX3173" i="3"/>
  <c r="BY3175" i="3" l="1"/>
  <c r="BX3174" i="3"/>
  <c r="BX3175" i="3" l="1"/>
  <c r="BY3176" i="3"/>
  <c r="BX3176" i="3" l="1"/>
  <c r="BY3177" i="3"/>
  <c r="BY3178" i="3" l="1"/>
  <c r="BX3177" i="3"/>
  <c r="BY3179" i="3" l="1"/>
  <c r="BX3178" i="3"/>
  <c r="BY3180" i="3" l="1"/>
  <c r="BX3179" i="3"/>
  <c r="BY3181" i="3" l="1"/>
  <c r="BX3180" i="3"/>
  <c r="BX3181" i="3" l="1"/>
  <c r="BY3182" i="3"/>
  <c r="BX3182" i="3" l="1"/>
  <c r="BY3183" i="3"/>
  <c r="BY3184" i="3" l="1"/>
  <c r="BX3183" i="3"/>
  <c r="BY3185" i="3" l="1"/>
  <c r="BX3184" i="3"/>
  <c r="BY3186" i="3" l="1"/>
  <c r="BX3185" i="3"/>
  <c r="BY3187" i="3" l="1"/>
  <c r="BX3186" i="3"/>
  <c r="BX3187" i="3" l="1"/>
  <c r="BY3188" i="3"/>
  <c r="BX3188" i="3" l="1"/>
  <c r="BY3189" i="3"/>
  <c r="BY3190" i="3" l="1"/>
  <c r="BX3189" i="3"/>
  <c r="BY3191" i="3" l="1"/>
  <c r="BX3190" i="3"/>
  <c r="BY3192" i="3" l="1"/>
  <c r="BX3191" i="3"/>
  <c r="BY3193" i="3" l="1"/>
  <c r="BX3192" i="3"/>
  <c r="BX3193" i="3" l="1"/>
  <c r="BY3194" i="3"/>
  <c r="BX3194" i="3" l="1"/>
  <c r="BY3195" i="3"/>
  <c r="BY3196" i="3" l="1"/>
  <c r="BX3195" i="3"/>
  <c r="BY3197" i="3" l="1"/>
  <c r="BX3196" i="3"/>
  <c r="BY3198" i="3" l="1"/>
  <c r="BX3197" i="3"/>
  <c r="BY3199" i="3" l="1"/>
  <c r="BX3198" i="3"/>
  <c r="BX3199" i="3" l="1"/>
  <c r="BY3200" i="3"/>
  <c r="BX3200" i="3" l="1"/>
  <c r="BY3201" i="3"/>
  <c r="BY3202" i="3" l="1"/>
  <c r="BX3201" i="3"/>
  <c r="BY3203" i="3" l="1"/>
  <c r="BX3202" i="3"/>
  <c r="BY3204" i="3" l="1"/>
  <c r="BX3203" i="3"/>
  <c r="BY3205" i="3" l="1"/>
  <c r="BX3204" i="3"/>
  <c r="BX3205" i="3" l="1"/>
  <c r="BY3206" i="3"/>
  <c r="BX3206" i="3" l="1"/>
  <c r="BY3207" i="3"/>
  <c r="BX3207" i="3" l="1"/>
  <c r="BY3208" i="3"/>
  <c r="BY3209" i="3" l="1"/>
  <c r="BX3208" i="3"/>
  <c r="BY3210" i="3" l="1"/>
  <c r="BX3209" i="3"/>
  <c r="BY3211" i="3" l="1"/>
  <c r="BX3210" i="3"/>
  <c r="BY3212" i="3" l="1"/>
  <c r="BX3211" i="3"/>
  <c r="BX3212" i="3" l="1"/>
  <c r="BY3213" i="3"/>
  <c r="BX3213" i="3" l="1"/>
  <c r="BY3214" i="3"/>
  <c r="BY3215" i="3" l="1"/>
  <c r="BX3214" i="3"/>
  <c r="BY3216" i="3" l="1"/>
  <c r="BX3215" i="3"/>
  <c r="BY3217" i="3" l="1"/>
  <c r="BX3216" i="3"/>
  <c r="BY3218" i="3" l="1"/>
  <c r="BX3217" i="3"/>
  <c r="BY3219" i="3" l="1"/>
  <c r="BX3218" i="3"/>
  <c r="BX3219" i="3" l="1"/>
  <c r="BY3220" i="3"/>
  <c r="BY3221" i="3" l="1"/>
  <c r="BX3220" i="3"/>
  <c r="BY3222" i="3" l="1"/>
  <c r="BX3221" i="3"/>
  <c r="BY3223" i="3" l="1"/>
  <c r="BX3222" i="3"/>
  <c r="BY3224" i="3" l="1"/>
  <c r="BX3223" i="3"/>
  <c r="BY3225" i="3" l="1"/>
  <c r="BX3224" i="3"/>
  <c r="BX3225" i="3" l="1"/>
  <c r="BY3226" i="3"/>
  <c r="BX3226" i="3" l="1"/>
  <c r="BY3227" i="3"/>
  <c r="BY3228" i="3" l="1"/>
  <c r="BX3227" i="3"/>
  <c r="BY3229" i="3" l="1"/>
  <c r="BX3228" i="3"/>
  <c r="BY3230" i="3" l="1"/>
  <c r="BX3229" i="3"/>
  <c r="BY3231" i="3" l="1"/>
  <c r="BX3230" i="3"/>
  <c r="BX3231" i="3" l="1"/>
  <c r="BY3232" i="3"/>
  <c r="BY3233" i="3" l="1"/>
  <c r="BX3232" i="3"/>
  <c r="BX3233" i="3" l="1"/>
  <c r="BY3234" i="3"/>
  <c r="BY3235" i="3" l="1"/>
  <c r="BX3234" i="3"/>
  <c r="BY3236" i="3" l="1"/>
  <c r="BX3235" i="3"/>
  <c r="BY3237" i="3" l="1"/>
  <c r="BX3236" i="3"/>
  <c r="BX3237" i="3" l="1"/>
  <c r="BY3238" i="3"/>
  <c r="BY3239" i="3" l="1"/>
  <c r="BX3238" i="3"/>
  <c r="BY3240" i="3" l="1"/>
  <c r="BX3239" i="3"/>
  <c r="BX3240" i="3" l="1"/>
  <c r="BY3241" i="3"/>
  <c r="BY3242" i="3" l="1"/>
  <c r="BX3241" i="3"/>
  <c r="BY3243" i="3" l="1"/>
  <c r="BX3242" i="3"/>
  <c r="BX3243" i="3" l="1"/>
  <c r="BY3244" i="3"/>
  <c r="BY3245" i="3" l="1"/>
  <c r="BX3244" i="3"/>
  <c r="BY3246" i="3" l="1"/>
  <c r="BX3245" i="3"/>
  <c r="BY3247" i="3" l="1"/>
  <c r="BX3246" i="3"/>
  <c r="BY3248" i="3" l="1"/>
  <c r="BX3247" i="3"/>
  <c r="BY3249" i="3" l="1"/>
  <c r="BX3248" i="3"/>
  <c r="BX3249" i="3" l="1"/>
  <c r="BY3250" i="3"/>
  <c r="BY3251" i="3" l="1"/>
  <c r="BX3250" i="3"/>
  <c r="BY3252" i="3" l="1"/>
  <c r="BX3251" i="3"/>
  <c r="BY3253" i="3" l="1"/>
  <c r="BX3252" i="3"/>
  <c r="BY3254" i="3" l="1"/>
  <c r="BX3253" i="3"/>
  <c r="BY3255" i="3" l="1"/>
  <c r="BX3254" i="3"/>
  <c r="BX3255" i="3" l="1"/>
  <c r="BY3256" i="3"/>
  <c r="BY3257" i="3" l="1"/>
  <c r="BX3256" i="3"/>
  <c r="BX3257" i="3" l="1"/>
  <c r="BY3258" i="3"/>
  <c r="BY3259" i="3" l="1"/>
  <c r="BX3258" i="3"/>
  <c r="BY3260" i="3" l="1"/>
  <c r="BX3259" i="3"/>
  <c r="BY3261" i="3" l="1"/>
  <c r="BX3260" i="3"/>
  <c r="BX3261" i="3" l="1"/>
  <c r="BY3262" i="3"/>
  <c r="BY3263" i="3" l="1"/>
  <c r="BX3262" i="3"/>
  <c r="BY3264" i="3" l="1"/>
  <c r="BX3263" i="3"/>
  <c r="BX3264" i="3" l="1"/>
  <c r="BY3265" i="3"/>
  <c r="BY3266" i="3" l="1"/>
  <c r="BX3265" i="3"/>
  <c r="BY3267" i="3" l="1"/>
  <c r="BX3266" i="3"/>
  <c r="BX3267" i="3" l="1"/>
  <c r="BY3268" i="3"/>
  <c r="BY3269" i="3" l="1"/>
  <c r="BX3268" i="3"/>
  <c r="BY3270" i="3" l="1"/>
  <c r="BX3269" i="3"/>
  <c r="BY3271" i="3" l="1"/>
  <c r="BX3270" i="3"/>
  <c r="BY3272" i="3" l="1"/>
  <c r="BX3271" i="3"/>
  <c r="BY3273" i="3" l="1"/>
  <c r="BX3272" i="3"/>
  <c r="BX3273" i="3" l="1"/>
  <c r="BY3274" i="3"/>
  <c r="BY3275" i="3" l="1"/>
  <c r="BX3274" i="3"/>
  <c r="BY3276" i="3" l="1"/>
  <c r="BX3275" i="3"/>
  <c r="BY3277" i="3" l="1"/>
  <c r="BX3276" i="3"/>
  <c r="BY3278" i="3" l="1"/>
  <c r="BX3277" i="3"/>
  <c r="BY3279" i="3" l="1"/>
  <c r="BX3278" i="3"/>
  <c r="BX3279" i="3" l="1"/>
  <c r="BY3280" i="3"/>
  <c r="BY3281" i="3" l="1"/>
  <c r="BX3280" i="3"/>
  <c r="BX3281" i="3" l="1"/>
  <c r="BY3282" i="3"/>
  <c r="BY3283" i="3" l="1"/>
  <c r="BX3282" i="3"/>
  <c r="BY3284" i="3" l="1"/>
  <c r="BX3283" i="3"/>
  <c r="BY3285" i="3" l="1"/>
  <c r="BX3284" i="3"/>
  <c r="BX3285" i="3" l="1"/>
  <c r="BY3286" i="3"/>
  <c r="BY3287" i="3" l="1"/>
  <c r="BX3286" i="3"/>
  <c r="BY3288" i="3" l="1"/>
  <c r="BX3287" i="3"/>
  <c r="BX3288" i="3" l="1"/>
  <c r="BY3289" i="3"/>
  <c r="BY3290" i="3" l="1"/>
  <c r="BX3289" i="3"/>
  <c r="BY3291" i="3" l="1"/>
  <c r="BX3290" i="3"/>
  <c r="BX3291" i="3" l="1"/>
  <c r="BY3292" i="3"/>
  <c r="BX3292" i="3" l="1"/>
  <c r="BY3293" i="3"/>
  <c r="BY3294" i="3" l="1"/>
  <c r="BX3293" i="3"/>
  <c r="BY3295" i="3" l="1"/>
  <c r="BX3294" i="3"/>
  <c r="BY3296" i="3" l="1"/>
  <c r="BX3295" i="3"/>
  <c r="BY3297" i="3" l="1"/>
  <c r="BX3296" i="3"/>
  <c r="BX3297" i="3" l="1"/>
  <c r="BY3298" i="3"/>
  <c r="BX3298" i="3" l="1"/>
  <c r="BY3299" i="3"/>
  <c r="BY3300" i="3" l="1"/>
  <c r="BX3299" i="3"/>
  <c r="BY3301" i="3" l="1"/>
  <c r="BX3300" i="3"/>
  <c r="BY3302" i="3" l="1"/>
  <c r="BX3301" i="3"/>
  <c r="BY3303" i="3" l="1"/>
  <c r="BX3302" i="3"/>
  <c r="BX3303" i="3" l="1"/>
  <c r="BY3304" i="3"/>
  <c r="BX3304" i="3" l="1"/>
  <c r="BY3305" i="3"/>
  <c r="BY3306" i="3" l="1"/>
  <c r="BX3305" i="3"/>
  <c r="BX3306" i="3" l="1"/>
  <c r="BY3307" i="3"/>
  <c r="BY3308" i="3" l="1"/>
  <c r="BX3307" i="3"/>
  <c r="BY3309" i="3" l="1"/>
  <c r="BX3308" i="3"/>
  <c r="BX3309" i="3" l="1"/>
  <c r="BY3310" i="3"/>
  <c r="BX3310" i="3" l="1"/>
  <c r="BY3311" i="3"/>
  <c r="BY3312" i="3" l="1"/>
  <c r="BX3311" i="3"/>
  <c r="BY3313" i="3" l="1"/>
  <c r="BX3312" i="3"/>
  <c r="BY3314" i="3" l="1"/>
  <c r="BX3313" i="3"/>
  <c r="BY3315" i="3" l="1"/>
  <c r="BX3314" i="3"/>
  <c r="BX3315" i="3" l="1"/>
  <c r="BY3316" i="3"/>
  <c r="BX3316" i="3" l="1"/>
  <c r="BY3317" i="3"/>
  <c r="BY3318" i="3" l="1"/>
  <c r="BX3317" i="3"/>
  <c r="BY3319" i="3" l="1"/>
  <c r="BX3318" i="3"/>
  <c r="BY3320" i="3" l="1"/>
  <c r="BX3319" i="3"/>
  <c r="BY3321" i="3" l="1"/>
  <c r="BX3320" i="3"/>
  <c r="BX3321" i="3" l="1"/>
  <c r="BY3322" i="3"/>
  <c r="BX3322" i="3" l="1"/>
  <c r="BY3323" i="3"/>
  <c r="BY3324" i="3" l="1"/>
  <c r="BX3323" i="3"/>
  <c r="BX3324" i="3" l="1"/>
  <c r="BY3325" i="3"/>
  <c r="BY3326" i="3" l="1"/>
  <c r="BX3325" i="3"/>
  <c r="BY3327" i="3" l="1"/>
  <c r="BX3326" i="3"/>
  <c r="BX3327" i="3" l="1"/>
  <c r="BY3328" i="3"/>
  <c r="BX3328" i="3" l="1"/>
  <c r="BY3329" i="3"/>
  <c r="BY3330" i="3" l="1"/>
  <c r="BX3329" i="3"/>
  <c r="BY3331" i="3" l="1"/>
  <c r="BX3330" i="3"/>
  <c r="BY3332" i="3" l="1"/>
  <c r="BX3331" i="3"/>
  <c r="BY3333" i="3" l="1"/>
  <c r="BX3332" i="3"/>
  <c r="BX3333" i="3" l="1"/>
  <c r="BY3334" i="3"/>
  <c r="BX3334" i="3" l="1"/>
  <c r="BY3335" i="3"/>
  <c r="BY3336" i="3" l="1"/>
  <c r="BX3335" i="3"/>
  <c r="BY3337" i="3" l="1"/>
  <c r="BX3336" i="3"/>
  <c r="BY3338" i="3" l="1"/>
  <c r="BX3337" i="3"/>
  <c r="BY3339" i="3" l="1"/>
  <c r="BX3338" i="3"/>
  <c r="BX3339" i="3" l="1"/>
  <c r="BY3340" i="3"/>
  <c r="BX3340" i="3" l="1"/>
  <c r="BY3341" i="3"/>
  <c r="BY3342" i="3" l="1"/>
  <c r="BX3341" i="3"/>
  <c r="BX3342" i="3" l="1"/>
  <c r="BY3343" i="3"/>
  <c r="BY3344" i="3" l="1"/>
  <c r="BX3343" i="3"/>
  <c r="BY3345" i="3" l="1"/>
  <c r="BX3344" i="3"/>
  <c r="BX3345" i="3" l="1"/>
  <c r="BY3346" i="3"/>
  <c r="BX3346" i="3" l="1"/>
  <c r="BY3347" i="3"/>
  <c r="BY3348" i="3" l="1"/>
  <c r="BX3347" i="3"/>
  <c r="BY3349" i="3" l="1"/>
  <c r="BX3348" i="3"/>
  <c r="BY3350" i="3" l="1"/>
  <c r="BX3349" i="3"/>
  <c r="BY3351" i="3" l="1"/>
  <c r="BX3350" i="3"/>
  <c r="BX3351" i="3" l="1"/>
  <c r="BY3352" i="3"/>
  <c r="BX3352" i="3" l="1"/>
  <c r="BY3353" i="3"/>
  <c r="BY3354" i="3" l="1"/>
  <c r="BX3353" i="3"/>
  <c r="BY3355" i="3" l="1"/>
  <c r="BX3354" i="3"/>
  <c r="BY3356" i="3" l="1"/>
  <c r="BX3355" i="3"/>
  <c r="BY3357" i="3" l="1"/>
  <c r="BX3356" i="3"/>
  <c r="BX3357" i="3" l="1"/>
  <c r="BY3358" i="3"/>
  <c r="BX3358" i="3" l="1"/>
  <c r="BY3359" i="3"/>
  <c r="BY3360" i="3" l="1"/>
  <c r="BX3359" i="3"/>
  <c r="BY3361" i="3" l="1"/>
  <c r="BX3360" i="3"/>
  <c r="BY3362" i="3" l="1"/>
  <c r="BX3361" i="3"/>
  <c r="BY3363" i="3" l="1"/>
  <c r="BX3362" i="3"/>
  <c r="BX3363" i="3" l="1"/>
  <c r="BY3364" i="3"/>
  <c r="BX3364" i="3" l="1"/>
  <c r="BY3365" i="3"/>
  <c r="BY3366" i="3" l="1"/>
  <c r="BX3365" i="3"/>
  <c r="BY3367" i="3" l="1"/>
  <c r="BX3366" i="3"/>
  <c r="BY3368" i="3" l="1"/>
  <c r="BX3367" i="3"/>
  <c r="BY3369" i="3" l="1"/>
  <c r="BX3368" i="3"/>
  <c r="BX3369" i="3" l="1"/>
  <c r="BY3370" i="3"/>
  <c r="BX3370" i="3" l="1"/>
  <c r="BY3371" i="3"/>
  <c r="BY3372" i="3" l="1"/>
  <c r="BX3371" i="3"/>
  <c r="BX3372" i="3" l="1"/>
  <c r="BY3373" i="3"/>
  <c r="BY3374" i="3" l="1"/>
  <c r="BX3373" i="3"/>
  <c r="BY3375" i="3" l="1"/>
  <c r="BX3374" i="3"/>
  <c r="BX3375" i="3" l="1"/>
  <c r="BY3376" i="3"/>
  <c r="BX3376" i="3" l="1"/>
  <c r="BY3377" i="3"/>
  <c r="BY3378" i="3" l="1"/>
  <c r="BX3377" i="3"/>
  <c r="BY3379" i="3" l="1"/>
  <c r="BX3378" i="3"/>
  <c r="BY3380" i="3" l="1"/>
  <c r="BX3379" i="3"/>
  <c r="BY3381" i="3" l="1"/>
  <c r="BX3380" i="3"/>
  <c r="BX3381" i="3" l="1"/>
  <c r="BY3382" i="3"/>
  <c r="BX3382" i="3" l="1"/>
  <c r="BY3383" i="3"/>
  <c r="BY3384" i="3" l="1"/>
  <c r="BX3383" i="3"/>
  <c r="BX3384" i="3" l="1"/>
  <c r="BY3385" i="3"/>
  <c r="BY3386" i="3" l="1"/>
  <c r="BX3385" i="3"/>
  <c r="BY3387" i="3" l="1"/>
  <c r="BX3386" i="3"/>
  <c r="BX3387" i="3" l="1"/>
  <c r="BY3388" i="3"/>
  <c r="BX3388" i="3" l="1"/>
  <c r="BY3389" i="3"/>
  <c r="BY3390" i="3" l="1"/>
  <c r="BX3389" i="3"/>
  <c r="BY3391" i="3" l="1"/>
  <c r="BX3390" i="3"/>
  <c r="BY3392" i="3" l="1"/>
  <c r="BX3391" i="3"/>
  <c r="BY3393" i="3" l="1"/>
  <c r="BX3392" i="3"/>
  <c r="BX3393" i="3" l="1"/>
  <c r="BY3394" i="3"/>
  <c r="BX3394" i="3" l="1"/>
  <c r="BY3395" i="3"/>
  <c r="BY3396" i="3" l="1"/>
  <c r="BX3395" i="3"/>
  <c r="BX3396" i="3" l="1"/>
  <c r="BY3397" i="3"/>
  <c r="BY3398" i="3" l="1"/>
  <c r="BX3397" i="3"/>
  <c r="BY3399" i="3" l="1"/>
  <c r="BX3398" i="3"/>
  <c r="BX3399" i="3" l="1"/>
  <c r="BY3400" i="3"/>
  <c r="BX3400" i="3" l="1"/>
  <c r="BY3401" i="3"/>
  <c r="BY3402" i="3" l="1"/>
  <c r="BX3401" i="3"/>
  <c r="BY3403" i="3" l="1"/>
  <c r="BX3402" i="3"/>
  <c r="BY3404" i="3" l="1"/>
  <c r="BX3403" i="3"/>
  <c r="BY3405" i="3" l="1"/>
  <c r="BX3404" i="3"/>
  <c r="BX3405" i="3" l="1"/>
  <c r="BY3406" i="3"/>
  <c r="BX3406" i="3" l="1"/>
  <c r="BY3407" i="3"/>
  <c r="BY3408" i="3" l="1"/>
  <c r="BX3407" i="3"/>
  <c r="BX3408" i="3" l="1"/>
  <c r="BY3409" i="3"/>
  <c r="BY3410" i="3" l="1"/>
  <c r="BX3409" i="3"/>
  <c r="BY3411" i="3" l="1"/>
  <c r="BX3410" i="3"/>
  <c r="BX3411" i="3" l="1"/>
  <c r="BY3412" i="3"/>
  <c r="BX3412" i="3" l="1"/>
  <c r="BY3413" i="3"/>
  <c r="BY3414" i="3" l="1"/>
  <c r="BX3413" i="3"/>
  <c r="BY3415" i="3" l="1"/>
  <c r="BX3414" i="3"/>
  <c r="BY3416" i="3" l="1"/>
  <c r="BX3415" i="3"/>
  <c r="BY3417" i="3" l="1"/>
  <c r="BX3416" i="3"/>
  <c r="BX3417" i="3" l="1"/>
  <c r="BY3418" i="3"/>
  <c r="BX3418" i="3" l="1"/>
  <c r="BY3419" i="3"/>
  <c r="BY3420" i="3" l="1"/>
  <c r="BX3419" i="3"/>
  <c r="BX3420" i="3" l="1"/>
  <c r="BY3421" i="3"/>
  <c r="BY3422" i="3" l="1"/>
  <c r="BX3421" i="3"/>
  <c r="BY3423" i="3" l="1"/>
  <c r="BX3422" i="3"/>
  <c r="BX3423" i="3" l="1"/>
  <c r="BY3424" i="3"/>
  <c r="BX3424" i="3" l="1"/>
  <c r="BY3425" i="3"/>
  <c r="BY3426" i="3" l="1"/>
  <c r="BX3425" i="3"/>
  <c r="BY3427" i="3" l="1"/>
  <c r="BX3426" i="3"/>
  <c r="BY3428" i="3" l="1"/>
  <c r="BX3427" i="3"/>
  <c r="BY3429" i="3" l="1"/>
  <c r="BX3428" i="3"/>
  <c r="BX3429" i="3" l="1"/>
  <c r="BY3430" i="3"/>
  <c r="BX3430" i="3" l="1"/>
  <c r="BY3431" i="3"/>
  <c r="BY3432" i="3" l="1"/>
  <c r="BX3431" i="3"/>
  <c r="BX3432" i="3" l="1"/>
  <c r="BY3433" i="3"/>
  <c r="BY3434" i="3" l="1"/>
  <c r="BX3433" i="3"/>
  <c r="BY3435" i="3" l="1"/>
  <c r="BX3434" i="3"/>
  <c r="BX3435" i="3" l="1"/>
  <c r="BY3436" i="3"/>
  <c r="BX3436" i="3" l="1"/>
  <c r="BY3437" i="3"/>
  <c r="BY3438" i="3" l="1"/>
  <c r="BX3437" i="3"/>
  <c r="BY3439" i="3" l="1"/>
  <c r="BX3438" i="3"/>
  <c r="BY3440" i="3" l="1"/>
  <c r="BX3439" i="3"/>
  <c r="BY3441" i="3" l="1"/>
  <c r="BX3440" i="3"/>
  <c r="BX3441" i="3" l="1"/>
  <c r="BY3442" i="3"/>
  <c r="BX3442" i="3" l="1"/>
  <c r="BY3443" i="3"/>
  <c r="BY3444" i="3" l="1"/>
  <c r="BX3443" i="3"/>
  <c r="BX3444" i="3" l="1"/>
  <c r="BY3445" i="3"/>
  <c r="BY3446" i="3" l="1"/>
  <c r="BX3445" i="3"/>
  <c r="BY3447" i="3" l="1"/>
  <c r="BX3446" i="3"/>
  <c r="BX3447" i="3" l="1"/>
  <c r="BY3448" i="3"/>
  <c r="BX3448" i="3" l="1"/>
  <c r="BY3449" i="3"/>
  <c r="BY3450" i="3" l="1"/>
  <c r="BX3449" i="3"/>
  <c r="BY3451" i="3" l="1"/>
  <c r="BX3450" i="3"/>
  <c r="BY3452" i="3" l="1"/>
  <c r="BX3451" i="3"/>
  <c r="BY3453" i="3" l="1"/>
  <c r="BX3452" i="3"/>
  <c r="BX3453" i="3" l="1"/>
  <c r="BY3454" i="3"/>
  <c r="BX3454" i="3" l="1"/>
  <c r="BY3455" i="3"/>
  <c r="BY3456" i="3" l="1"/>
  <c r="BX3455" i="3"/>
  <c r="BX3456" i="3" l="1"/>
  <c r="BY3457" i="3"/>
  <c r="BY3458" i="3" l="1"/>
  <c r="BX3457" i="3"/>
  <c r="BY3459" i="3" l="1"/>
  <c r="BX3458" i="3"/>
  <c r="BX3459" i="3" l="1"/>
  <c r="BY3460" i="3"/>
  <c r="BX3460" i="3" l="1"/>
  <c r="BY3461" i="3"/>
  <c r="BY3462" i="3" l="1"/>
  <c r="BX3461" i="3"/>
  <c r="BY3463" i="3" l="1"/>
  <c r="BX3462" i="3"/>
  <c r="BY3464" i="3" l="1"/>
  <c r="BX3463" i="3"/>
  <c r="BY3465" i="3" l="1"/>
  <c r="BX3464" i="3"/>
  <c r="BX3465" i="3" l="1"/>
  <c r="BY3466" i="3"/>
  <c r="BX3466" i="3" l="1"/>
  <c r="BY3467" i="3"/>
  <c r="BY3468" i="3" l="1"/>
  <c r="BX3467" i="3"/>
  <c r="BX3468" i="3" l="1"/>
  <c r="BY3469" i="3"/>
  <c r="BY3470" i="3" l="1"/>
  <c r="BX3469" i="3"/>
  <c r="BY3471" i="3" l="1"/>
  <c r="BX3470" i="3"/>
  <c r="BX3471" i="3" l="1"/>
  <c r="BY3472" i="3"/>
  <c r="BX3472" i="3" l="1"/>
  <c r="BY3473" i="3"/>
  <c r="BY3474" i="3" l="1"/>
  <c r="BX3473" i="3"/>
  <c r="BY3475" i="3" l="1"/>
  <c r="BX3474" i="3"/>
  <c r="BY3476" i="3" l="1"/>
  <c r="BX3475" i="3"/>
  <c r="BY3477" i="3" l="1"/>
  <c r="BX3476" i="3"/>
  <c r="BX3477" i="3" l="1"/>
  <c r="BY3478" i="3"/>
  <c r="BX3478" i="3" l="1"/>
  <c r="BY3479" i="3"/>
  <c r="BY3480" i="3" l="1"/>
  <c r="BX3479" i="3"/>
  <c r="BX3480" i="3" l="1"/>
  <c r="BY3481" i="3"/>
  <c r="BY3482" i="3" l="1"/>
  <c r="BX3481" i="3"/>
  <c r="BY3483" i="3" l="1"/>
  <c r="BX3482" i="3"/>
  <c r="BX3483" i="3" l="1"/>
  <c r="BY3484" i="3"/>
  <c r="BX3484" i="3" l="1"/>
  <c r="BY3485" i="3"/>
  <c r="BY3486" i="3" l="1"/>
  <c r="BX3485" i="3"/>
  <c r="BY3487" i="3" l="1"/>
  <c r="BX3486" i="3"/>
  <c r="BY3488" i="3" l="1"/>
  <c r="BX3487" i="3"/>
  <c r="BY3489" i="3" l="1"/>
  <c r="BX3488" i="3"/>
  <c r="BX3489" i="3" l="1"/>
  <c r="BY3490" i="3"/>
  <c r="BX3490" i="3" l="1"/>
  <c r="BY3491" i="3"/>
  <c r="BY3492" i="3" l="1"/>
  <c r="BX3491" i="3"/>
  <c r="BX3492" i="3" l="1"/>
  <c r="BY3493" i="3"/>
  <c r="BY3494" i="3" l="1"/>
  <c r="BX3493" i="3"/>
  <c r="BY3495" i="3" l="1"/>
  <c r="BX3494" i="3"/>
  <c r="BX3495" i="3" l="1"/>
  <c r="BY3496" i="3"/>
  <c r="BX3496" i="3" l="1"/>
  <c r="BY3497" i="3"/>
  <c r="BY3498" i="3" l="1"/>
  <c r="BX3497" i="3"/>
  <c r="BY3499" i="3" l="1"/>
  <c r="BX3498" i="3"/>
  <c r="BY3500" i="3" l="1"/>
  <c r="BX3499" i="3"/>
  <c r="BY3501" i="3" l="1"/>
  <c r="BX3500" i="3"/>
  <c r="BX3501" i="3" l="1"/>
  <c r="BY3502" i="3"/>
  <c r="BX3502" i="3" l="1"/>
  <c r="BY3503" i="3"/>
  <c r="BY3504" i="3" l="1"/>
  <c r="BX3503" i="3"/>
  <c r="BX3504" i="3" l="1"/>
  <c r="BY3505" i="3"/>
  <c r="BY3506" i="3" l="1"/>
  <c r="BX3505" i="3"/>
  <c r="BY3507" i="3" l="1"/>
  <c r="BX3506" i="3"/>
  <c r="BY3508" i="3" l="1"/>
  <c r="BX3507" i="3"/>
  <c r="BX3508" i="3" l="1"/>
  <c r="BY3509" i="3"/>
  <c r="BY3510" i="3" l="1"/>
  <c r="BX3509" i="3"/>
  <c r="BY3511" i="3" l="1"/>
  <c r="BX3510" i="3"/>
  <c r="BY3512" i="3" l="1"/>
  <c r="BX3511" i="3"/>
  <c r="BY3513" i="3" l="1"/>
  <c r="BX3512" i="3"/>
  <c r="BY3514" i="3" l="1"/>
  <c r="BX3513" i="3"/>
  <c r="BX3514" i="3" l="1"/>
  <c r="BY3515" i="3"/>
  <c r="BY3516" i="3" l="1"/>
  <c r="BX3515" i="3"/>
  <c r="BY3517" i="3" l="1"/>
  <c r="BX3516" i="3"/>
  <c r="BY3518" i="3" l="1"/>
  <c r="BX3517" i="3"/>
  <c r="BX3518" i="3" l="1"/>
  <c r="BY3519" i="3"/>
  <c r="BY3520" i="3" l="1"/>
  <c r="BX3519" i="3"/>
  <c r="BX3520" i="3" l="1"/>
  <c r="BY3521" i="3"/>
  <c r="BY3522" i="3" l="1"/>
  <c r="BX3521" i="3"/>
  <c r="BY3523" i="3" l="1"/>
  <c r="BX3522" i="3"/>
  <c r="BY3524" i="3" l="1"/>
  <c r="BX3523" i="3"/>
  <c r="BY3525" i="3" l="1"/>
  <c r="BX3524" i="3"/>
  <c r="BY3526" i="3" l="1"/>
  <c r="BX3525" i="3"/>
  <c r="BX3526" i="3" l="1"/>
  <c r="BY3527" i="3"/>
  <c r="BY3528" i="3" l="1"/>
  <c r="BX3527" i="3"/>
  <c r="BY3529" i="3" l="1"/>
  <c r="BX3528" i="3"/>
  <c r="BY3530" i="3" l="1"/>
  <c r="BX3529" i="3"/>
  <c r="BY3531" i="3" l="1"/>
  <c r="BX3530" i="3"/>
  <c r="BY3532" i="3" l="1"/>
  <c r="BX3531" i="3"/>
  <c r="BX3532" i="3" l="1"/>
  <c r="BY3533" i="3"/>
  <c r="BY3534" i="3" l="1"/>
  <c r="BX3533" i="3"/>
  <c r="BY3535" i="3" l="1"/>
  <c r="BX3534" i="3"/>
  <c r="BY3536" i="3" l="1"/>
  <c r="BX3535" i="3"/>
  <c r="BY3537" i="3" l="1"/>
  <c r="BX3536" i="3"/>
  <c r="BY3538" i="3" l="1"/>
  <c r="BX3537" i="3"/>
  <c r="BX3538" i="3" l="1"/>
  <c r="BY3539" i="3"/>
  <c r="BY3540" i="3" l="1"/>
  <c r="BX3539" i="3"/>
  <c r="BY3541" i="3" l="1"/>
  <c r="BX3540" i="3"/>
  <c r="BY3542" i="3" l="1"/>
  <c r="BX3541" i="3"/>
  <c r="BY3543" i="3" l="1"/>
  <c r="BX3542" i="3"/>
  <c r="BY3544" i="3" l="1"/>
  <c r="BX3543" i="3"/>
  <c r="BX3544" i="3" l="1"/>
  <c r="BY3545" i="3"/>
  <c r="BX3545" i="3" l="1"/>
  <c r="BY3546" i="3"/>
  <c r="BY3547" i="3" l="1"/>
  <c r="BX3546" i="3"/>
  <c r="BY3548" i="3" l="1"/>
  <c r="BX3547" i="3"/>
  <c r="BX3548" i="3" l="1"/>
  <c r="BY3549" i="3"/>
  <c r="BY3550" i="3" l="1"/>
  <c r="BX3549" i="3"/>
  <c r="BX3550" i="3" l="1"/>
  <c r="BY3551" i="3"/>
  <c r="BX3551" i="3" l="1"/>
  <c r="BY3552" i="3"/>
  <c r="BY3553" i="3" l="1"/>
  <c r="BX3552" i="3"/>
  <c r="BY3554" i="3" l="1"/>
  <c r="BX3553" i="3"/>
  <c r="BX3554" i="3" l="1"/>
  <c r="BY3555" i="3"/>
  <c r="BY3556" i="3" l="1"/>
  <c r="BX3555" i="3"/>
  <c r="BX3556" i="3" l="1"/>
  <c r="BY3557" i="3"/>
  <c r="BX3557" i="3" l="1"/>
  <c r="BY3558" i="3"/>
  <c r="BY3559" i="3" l="1"/>
  <c r="BX3558" i="3"/>
  <c r="BY3560" i="3" l="1"/>
  <c r="BX3559" i="3"/>
  <c r="BX3560" i="3" l="1"/>
  <c r="BY3561" i="3"/>
  <c r="BY3562" i="3" l="1"/>
  <c r="BX3561" i="3"/>
  <c r="BX3562" i="3" l="1"/>
  <c r="BY3563" i="3"/>
  <c r="BX3563" i="3" l="1"/>
  <c r="BY3564" i="3"/>
  <c r="BY3565" i="3" l="1"/>
  <c r="BX3564" i="3"/>
  <c r="BY3566" i="3" l="1"/>
  <c r="BX3565" i="3"/>
  <c r="BX3566" i="3" l="1"/>
  <c r="BY3567" i="3"/>
  <c r="BY3568" i="3" l="1"/>
  <c r="BX3567" i="3"/>
  <c r="BX3568" i="3" l="1"/>
  <c r="BY3569" i="3"/>
  <c r="BX3569" i="3" l="1"/>
  <c r="BY3570" i="3"/>
  <c r="BX3570" i="3" l="1"/>
  <c r="BY3571" i="3"/>
  <c r="BY3572" i="3" l="1"/>
  <c r="BX3571" i="3"/>
  <c r="BX3572" i="3" l="1"/>
  <c r="BY3573" i="3"/>
  <c r="BY3574" i="3" l="1"/>
  <c r="BX3573" i="3"/>
  <c r="BX3574" i="3" l="1"/>
  <c r="BY3575" i="3"/>
  <c r="BX3575" i="3" l="1"/>
  <c r="BY3576" i="3"/>
  <c r="BX3576" i="3" l="1"/>
  <c r="BY3577" i="3"/>
  <c r="BY3578" i="3" l="1"/>
  <c r="BX3577" i="3"/>
  <c r="BY3579" i="3" l="1"/>
  <c r="BX3578" i="3"/>
  <c r="BY3580" i="3" l="1"/>
  <c r="BX3579" i="3"/>
  <c r="BX3580" i="3" l="1"/>
  <c r="BY3581" i="3"/>
  <c r="BX3581" i="3" l="1"/>
  <c r="BY3582" i="3"/>
  <c r="BX3582" i="3" l="1"/>
  <c r="BY3583" i="3"/>
  <c r="BY3584" i="3" l="1"/>
  <c r="BX3583" i="3"/>
  <c r="BY3585" i="3" l="1"/>
  <c r="BX3584" i="3"/>
  <c r="BY3586" i="3" l="1"/>
  <c r="BX3585" i="3"/>
  <c r="BX3586" i="3" l="1"/>
  <c r="BY3587" i="3"/>
  <c r="BX3587" i="3" l="1"/>
  <c r="BY3588" i="3"/>
  <c r="BX3588" i="3" l="1"/>
  <c r="BY3589" i="3"/>
  <c r="BY3590" i="3" l="1"/>
  <c r="BX3589" i="3"/>
  <c r="BY3591" i="3" l="1"/>
  <c r="BX3590" i="3"/>
  <c r="BY3592" i="3" l="1"/>
  <c r="BX3591" i="3"/>
  <c r="BX3592" i="3" l="1"/>
  <c r="BY3593" i="3"/>
  <c r="BX3593" i="3" l="1"/>
  <c r="BY3594" i="3"/>
  <c r="BX3594" i="3" l="1"/>
  <c r="BY3595" i="3"/>
  <c r="BY3596" i="3" l="1"/>
  <c r="BX3595" i="3"/>
  <c r="BY3597" i="3" l="1"/>
  <c r="BX3596" i="3"/>
  <c r="BY3598" i="3" l="1"/>
  <c r="BX3597" i="3"/>
  <c r="BX3598" i="3" l="1"/>
  <c r="BY3599" i="3"/>
  <c r="BX3599" i="3" l="1"/>
  <c r="BY3600" i="3"/>
  <c r="BX3600" i="3" l="1"/>
  <c r="BY3601" i="3"/>
  <c r="BY3602" i="3" l="1"/>
  <c r="BX3601" i="3"/>
  <c r="BY3603" i="3" l="1"/>
  <c r="BX3602" i="3"/>
  <c r="BY3604" i="3" l="1"/>
  <c r="BX3603" i="3"/>
  <c r="BX3604" i="3" l="1"/>
  <c r="BY3605" i="3"/>
  <c r="BX3605" i="3" l="1"/>
  <c r="BY3606" i="3"/>
  <c r="BX3606" i="3" l="1"/>
  <c r="BY3607" i="3"/>
  <c r="BY3608" i="3" l="1"/>
  <c r="BX3607" i="3"/>
  <c r="BY3609" i="3" l="1"/>
  <c r="BX3608" i="3"/>
  <c r="BY3610" i="3" l="1"/>
  <c r="BX3609" i="3"/>
  <c r="BX3610" i="3" l="1"/>
  <c r="BY3611" i="3"/>
  <c r="BX3611" i="3" l="1"/>
  <c r="BY3612" i="3"/>
  <c r="BX3612" i="3" l="1"/>
  <c r="BY3613" i="3"/>
  <c r="BY3614" i="3" l="1"/>
  <c r="BX3613" i="3"/>
  <c r="BY3615" i="3" l="1"/>
  <c r="BX3614" i="3"/>
  <c r="BY3616" i="3" l="1"/>
  <c r="BX3615" i="3"/>
  <c r="BX3616" i="3" l="1"/>
  <c r="BY3617" i="3"/>
  <c r="BX3617" i="3" l="1"/>
  <c r="BY3618" i="3"/>
  <c r="BX3618" i="3" l="1"/>
  <c r="BY3619" i="3"/>
  <c r="BY3620" i="3" l="1"/>
  <c r="BX3619" i="3"/>
  <c r="BY3621" i="3" l="1"/>
  <c r="BX3620" i="3"/>
  <c r="BY3622" i="3" l="1"/>
  <c r="BX3621" i="3"/>
  <c r="BX3622" i="3" l="1"/>
  <c r="BY3623" i="3"/>
  <c r="BX3623" i="3" l="1"/>
  <c r="BY3624" i="3"/>
  <c r="BX3624" i="3" l="1"/>
  <c r="BY3625" i="3"/>
  <c r="BY3626" i="3" l="1"/>
  <c r="BX3625" i="3"/>
  <c r="BY3627" i="3" l="1"/>
  <c r="BX3626" i="3"/>
  <c r="BY3628" i="3" l="1"/>
  <c r="BX3627" i="3"/>
  <c r="BX3628" i="3" l="1"/>
  <c r="BY3629" i="3"/>
  <c r="BX3629" i="3" l="1"/>
  <c r="BY3630" i="3"/>
  <c r="BX3630" i="3" l="1"/>
  <c r="BY3631" i="3"/>
  <c r="BY3632" i="3" l="1"/>
  <c r="BX3631" i="3"/>
  <c r="BY3633" i="3" l="1"/>
  <c r="BX3632" i="3"/>
  <c r="BY3634" i="3" l="1"/>
  <c r="BX3633" i="3"/>
  <c r="BX3634" i="3" l="1"/>
  <c r="BY3635" i="3"/>
  <c r="BX3635" i="3" l="1"/>
  <c r="BY3636" i="3"/>
  <c r="BX3636" i="3" l="1"/>
  <c r="BY3637" i="3"/>
  <c r="BY3638" i="3" l="1"/>
  <c r="BX3637" i="3"/>
  <c r="BY3639" i="3" l="1"/>
  <c r="BX3638" i="3"/>
  <c r="BY3640" i="3" l="1"/>
  <c r="BX3639" i="3"/>
  <c r="BX3640" i="3" l="1"/>
  <c r="BY3641" i="3"/>
  <c r="BX3641" i="3" l="1"/>
  <c r="BY3642" i="3"/>
  <c r="BX3642" i="3" l="1"/>
  <c r="BY3643" i="3"/>
  <c r="BY3644" i="3" l="1"/>
  <c r="BX3643" i="3"/>
  <c r="BY3645" i="3" l="1"/>
  <c r="BX3644" i="3"/>
  <c r="BY3646" i="3" l="1"/>
  <c r="BX3645" i="3"/>
  <c r="BX3646" i="3" l="1"/>
  <c r="BY3647" i="3"/>
  <c r="BX3647" i="3" l="1"/>
  <c r="BY3648" i="3"/>
  <c r="BX3648" i="3" l="1"/>
  <c r="BY3649" i="3"/>
  <c r="BY3650" i="3" l="1"/>
  <c r="BX3649" i="3"/>
  <c r="BY3651" i="3" l="1"/>
  <c r="BX3650" i="3"/>
  <c r="BY3652" i="3" l="1"/>
  <c r="BX3651" i="3"/>
  <c r="BX3652" i="3" l="1"/>
  <c r="BY3653" i="3"/>
  <c r="BX3653" i="3" l="1"/>
  <c r="BY3654" i="3"/>
  <c r="BY3655" i="3" l="1"/>
  <c r="BX3654" i="3"/>
  <c r="BY3656" i="3" l="1"/>
  <c r="BX3655" i="3"/>
  <c r="BY3657" i="3" l="1"/>
  <c r="BX3656" i="3"/>
  <c r="BY3658" i="3" l="1"/>
  <c r="BX3657" i="3"/>
  <c r="BX3658" i="3" l="1"/>
  <c r="BY3659" i="3"/>
  <c r="BX3659" i="3" l="1"/>
  <c r="BY3660" i="3"/>
  <c r="BY3661" i="3" l="1"/>
  <c r="BX3660" i="3"/>
  <c r="BY3662" i="3" l="1"/>
  <c r="BX3661" i="3"/>
  <c r="BY3663" i="3" l="1"/>
  <c r="BX3662" i="3"/>
  <c r="BY3664" i="3" l="1"/>
  <c r="BX3663" i="3"/>
  <c r="BX3664" i="3" l="1"/>
  <c r="BY3665" i="3"/>
  <c r="BX3665" i="3" l="1"/>
  <c r="BY3666" i="3"/>
  <c r="BY3667" i="3" l="1"/>
  <c r="BX3666" i="3"/>
  <c r="BY3668" i="3" l="1"/>
  <c r="BX3667" i="3"/>
  <c r="BY3669" i="3" l="1"/>
  <c r="BX3668" i="3"/>
  <c r="BY3670" i="3" l="1"/>
  <c r="BX3669" i="3"/>
  <c r="BX3670" i="3" l="1"/>
  <c r="BY3671" i="3"/>
  <c r="BX3671" i="3" l="1"/>
  <c r="BY3672" i="3"/>
  <c r="BY3673" i="3" l="1"/>
  <c r="BX3672" i="3"/>
  <c r="BY3674" i="3" l="1"/>
  <c r="BX3673" i="3"/>
  <c r="BY3675" i="3" l="1"/>
  <c r="BX3674" i="3"/>
  <c r="BY3676" i="3" l="1"/>
  <c r="BX3675" i="3"/>
  <c r="BX3676" i="3" l="1"/>
  <c r="BY3677" i="3"/>
  <c r="BX3677" i="3" l="1"/>
  <c r="BY3678" i="3"/>
  <c r="BY3679" i="3" l="1"/>
  <c r="BX3678" i="3"/>
  <c r="BY3680" i="3" l="1"/>
  <c r="BX3679" i="3"/>
  <c r="BY3681" i="3" l="1"/>
  <c r="BX3680" i="3"/>
  <c r="BY3682" i="3" l="1"/>
  <c r="BX3681" i="3"/>
  <c r="BX3682" i="3" l="1"/>
  <c r="BY3683" i="3"/>
  <c r="BX3683" i="3" l="1"/>
  <c r="BY3684" i="3"/>
  <c r="BY3685" i="3" l="1"/>
  <c r="BX3684" i="3"/>
  <c r="BY3686" i="3" l="1"/>
  <c r="BX3685" i="3"/>
  <c r="BY3687" i="3" l="1"/>
  <c r="BX3686" i="3"/>
  <c r="BY3688" i="3" l="1"/>
  <c r="BX3687" i="3"/>
  <c r="BX3688" i="3" l="1"/>
  <c r="BY3689" i="3"/>
  <c r="BX3689" i="3" l="1"/>
  <c r="BY3690" i="3"/>
  <c r="BY3691" i="3" l="1"/>
  <c r="BX3690" i="3"/>
  <c r="BY3692" i="3" l="1"/>
  <c r="BX3691" i="3"/>
  <c r="BY3693" i="3" l="1"/>
  <c r="BX3692" i="3"/>
  <c r="BY3694" i="3" l="1"/>
  <c r="BX3693" i="3"/>
  <c r="BX3694" i="3" l="1"/>
  <c r="BY3695" i="3"/>
  <c r="BX3695" i="3" l="1"/>
  <c r="BY3696" i="3"/>
  <c r="BY3697" i="3" l="1"/>
  <c r="BX3696" i="3"/>
  <c r="BY3698" i="3" l="1"/>
  <c r="BX3697" i="3"/>
  <c r="BY3699" i="3" l="1"/>
  <c r="BX3698" i="3"/>
  <c r="BY3700" i="3" l="1"/>
  <c r="BX3699" i="3"/>
  <c r="BX3700" i="3" l="1"/>
  <c r="BY3701" i="3"/>
  <c r="BX3701" i="3" l="1"/>
  <c r="BY3702" i="3"/>
  <c r="BY3703" i="3" l="1"/>
  <c r="BX3702" i="3"/>
  <c r="BY3704" i="3" l="1"/>
  <c r="BX3703" i="3"/>
  <c r="BY3705" i="3" l="1"/>
  <c r="BX3704" i="3"/>
  <c r="BY3706" i="3" l="1"/>
  <c r="BX3705" i="3"/>
  <c r="BX3706" i="3" l="1"/>
  <c r="BY3707" i="3"/>
  <c r="BX3707" i="3" l="1"/>
  <c r="BY3708" i="3"/>
  <c r="BY3709" i="3" l="1"/>
  <c r="BX3708" i="3"/>
  <c r="BY3710" i="3" l="1"/>
  <c r="BX3709" i="3"/>
  <c r="BY3711" i="3" l="1"/>
  <c r="BX3710" i="3"/>
  <c r="BY3712" i="3" l="1"/>
  <c r="BX3711" i="3"/>
  <c r="BX3712" i="3" l="1"/>
  <c r="BY3713" i="3"/>
  <c r="BX3713" i="3" l="1"/>
  <c r="BY3714" i="3"/>
  <c r="BY3715" i="3" l="1"/>
  <c r="BX3714" i="3"/>
  <c r="BY3716" i="3" l="1"/>
  <c r="BX3715" i="3"/>
  <c r="BY3717" i="3" l="1"/>
  <c r="BX3716" i="3"/>
  <c r="BY3718" i="3" l="1"/>
  <c r="BX3717" i="3"/>
  <c r="BX3718" i="3" l="1"/>
  <c r="BY3719" i="3"/>
  <c r="BX3719" i="3" l="1"/>
  <c r="BY3720" i="3"/>
  <c r="BY3721" i="3" l="1"/>
  <c r="BX3720" i="3"/>
  <c r="BY3722" i="3" l="1"/>
  <c r="BX3721" i="3"/>
  <c r="BY3723" i="3" l="1"/>
  <c r="BX3722" i="3"/>
  <c r="BY3724" i="3" l="1"/>
  <c r="BX3723" i="3"/>
  <c r="BX3724" i="3" l="1"/>
  <c r="BY3725" i="3"/>
  <c r="BX3725" i="3" l="1"/>
  <c r="BY3726" i="3"/>
  <c r="BY3727" i="3" l="1"/>
  <c r="BX3726" i="3"/>
  <c r="BY3728" i="3" l="1"/>
  <c r="BX3727" i="3"/>
  <c r="BY3729" i="3" l="1"/>
  <c r="BX3728" i="3"/>
  <c r="BY3730" i="3" l="1"/>
  <c r="BX3729" i="3"/>
  <c r="BX3730" i="3" l="1"/>
  <c r="BY3731" i="3"/>
  <c r="BX3731" i="3" l="1"/>
  <c r="BY3732" i="3"/>
  <c r="BY3733" i="3" l="1"/>
  <c r="BX3732" i="3"/>
  <c r="BY3734" i="3" l="1"/>
  <c r="BX3733" i="3"/>
  <c r="BY3735" i="3" l="1"/>
  <c r="BX3734" i="3"/>
  <c r="BY3736" i="3" l="1"/>
  <c r="BX3735" i="3"/>
  <c r="BX3736" i="3" l="1"/>
  <c r="BY3737" i="3"/>
  <c r="BX3737" i="3" l="1"/>
  <c r="BY3738" i="3"/>
  <c r="BY3739" i="3" l="1"/>
  <c r="BX3738" i="3"/>
  <c r="BY3740" i="3" l="1"/>
  <c r="BX3739" i="3"/>
  <c r="BY3741" i="3" l="1"/>
  <c r="BX3740" i="3"/>
  <c r="BY3742" i="3" l="1"/>
  <c r="BX3741" i="3"/>
  <c r="BX3742" i="3" l="1"/>
  <c r="BY3743" i="3"/>
  <c r="BX3743" i="3" l="1"/>
  <c r="BY3744" i="3"/>
  <c r="BY3745" i="3" l="1"/>
  <c r="BX3744" i="3"/>
  <c r="BY3746" i="3" l="1"/>
  <c r="BX3745" i="3"/>
  <c r="BY3747" i="3" l="1"/>
  <c r="BX3746" i="3"/>
  <c r="BY3748" i="3" l="1"/>
  <c r="BX3747" i="3"/>
  <c r="BX3748" i="3" l="1"/>
  <c r="BY3749" i="3"/>
  <c r="BX3749" i="3" l="1"/>
  <c r="BY3750" i="3"/>
  <c r="BY3751" i="3" l="1"/>
  <c r="BX3750" i="3"/>
  <c r="BY3752" i="3" l="1"/>
  <c r="BX3751" i="3"/>
  <c r="BY3753" i="3" l="1"/>
  <c r="BX3752" i="3"/>
  <c r="BY3754" i="3" l="1"/>
  <c r="BX3753" i="3"/>
  <c r="BX3754" i="3" l="1"/>
  <c r="BY3755" i="3"/>
  <c r="BX3755" i="3" l="1"/>
  <c r="BY3756" i="3"/>
  <c r="BY3757" i="3" l="1"/>
  <c r="BX3756" i="3"/>
  <c r="BY3758" i="3" l="1"/>
  <c r="BX3757" i="3"/>
  <c r="BY3759" i="3" l="1"/>
  <c r="BX3758" i="3"/>
  <c r="BY3760" i="3" l="1"/>
  <c r="BX3759" i="3"/>
  <c r="BX3760" i="3" l="1"/>
  <c r="BY3761" i="3"/>
  <c r="BX3761" i="3" l="1"/>
  <c r="BY3762" i="3"/>
  <c r="BY3763" i="3" l="1"/>
  <c r="BX3762" i="3"/>
  <c r="BY3764" i="3" l="1"/>
  <c r="BX3763" i="3"/>
  <c r="BY3765" i="3" l="1"/>
  <c r="BX3764" i="3"/>
  <c r="BY3766" i="3" l="1"/>
  <c r="BX3765" i="3"/>
  <c r="BX3766" i="3" l="1"/>
  <c r="BY3767" i="3"/>
  <c r="BX3767" i="3" l="1"/>
  <c r="BY3768" i="3"/>
  <c r="BY3769" i="3" l="1"/>
  <c r="BX3768" i="3"/>
  <c r="BY3770" i="3" l="1"/>
  <c r="BX3769" i="3"/>
  <c r="BY3771" i="3" l="1"/>
  <c r="BX3770" i="3"/>
  <c r="BY3772" i="3" l="1"/>
  <c r="BX3771" i="3"/>
  <c r="BX3772" i="3" l="1"/>
  <c r="BY3773" i="3"/>
  <c r="BX3773" i="3" l="1"/>
  <c r="BY3774" i="3"/>
  <c r="BY3775" i="3" l="1"/>
  <c r="BX3774" i="3"/>
  <c r="BY3776" i="3" l="1"/>
  <c r="BX3775" i="3"/>
  <c r="BY3777" i="3" l="1"/>
  <c r="BX3776" i="3"/>
  <c r="BY3778" i="3" l="1"/>
  <c r="BX3777" i="3"/>
  <c r="BX3778" i="3" l="1"/>
  <c r="BY3779" i="3"/>
  <c r="BX3779" i="3" l="1"/>
  <c r="BY3780" i="3"/>
  <c r="BY3781" i="3" l="1"/>
  <c r="BX3780" i="3"/>
  <c r="BY3782" i="3" l="1"/>
  <c r="BX3781" i="3"/>
  <c r="BY3783" i="3" l="1"/>
  <c r="BX3782" i="3"/>
  <c r="BY3784" i="3" l="1"/>
  <c r="BX3783" i="3"/>
  <c r="BX3784" i="3" l="1"/>
  <c r="BY3785" i="3"/>
  <c r="BX3785" i="3" l="1"/>
  <c r="BY3786" i="3"/>
  <c r="BY3787" i="3" l="1"/>
  <c r="BX3786" i="3"/>
  <c r="BY3788" i="3" l="1"/>
  <c r="BX3787" i="3"/>
  <c r="BY3789" i="3" l="1"/>
  <c r="BX3788" i="3"/>
  <c r="BY3790" i="3" l="1"/>
  <c r="BX3789" i="3"/>
  <c r="BX3790" i="3" l="1"/>
  <c r="BY3791" i="3"/>
  <c r="BX3791" i="3" l="1"/>
  <c r="BY3792" i="3"/>
  <c r="BY3793" i="3" l="1"/>
  <c r="BX3792" i="3"/>
  <c r="BY3794" i="3" l="1"/>
  <c r="BX3793" i="3"/>
  <c r="BY3795" i="3" l="1"/>
  <c r="BX3794" i="3"/>
  <c r="BY3796" i="3" l="1"/>
  <c r="BX3795" i="3"/>
  <c r="BX3796" i="3" l="1"/>
  <c r="BY3797" i="3"/>
  <c r="BX3797" i="3" l="1"/>
  <c r="BY3798" i="3"/>
  <c r="BY3799" i="3" l="1"/>
  <c r="BX3798" i="3"/>
  <c r="BY3800" i="3" l="1"/>
  <c r="BX3799" i="3"/>
  <c r="BY3801" i="3" l="1"/>
  <c r="BX3800" i="3"/>
  <c r="BY3802" i="3" l="1"/>
  <c r="BX3801" i="3"/>
  <c r="BX3802" i="3" l="1"/>
  <c r="BY3803" i="3"/>
  <c r="BX3803" i="3" l="1"/>
  <c r="BY3804" i="3"/>
  <c r="BY3805" i="3" l="1"/>
  <c r="BX3804" i="3"/>
  <c r="BY3806" i="3" l="1"/>
  <c r="BX3805" i="3"/>
  <c r="BY3807" i="3" l="1"/>
  <c r="BX3806" i="3"/>
  <c r="BY3808" i="3" l="1"/>
  <c r="BX3807" i="3"/>
  <c r="BX3808" i="3" l="1"/>
  <c r="BY3809" i="3"/>
  <c r="BX3809" i="3" l="1"/>
  <c r="BY3810" i="3"/>
  <c r="BY3811" i="3" l="1"/>
  <c r="BX3810" i="3"/>
  <c r="BY3812" i="3" l="1"/>
  <c r="BX3811" i="3"/>
  <c r="BY3813" i="3" l="1"/>
  <c r="BX3812" i="3"/>
  <c r="BY3814" i="3" l="1"/>
  <c r="BX3813" i="3"/>
  <c r="BX3814" i="3" l="1"/>
  <c r="BY3815" i="3"/>
  <c r="BX3815" i="3" l="1"/>
  <c r="BY3816" i="3"/>
  <c r="BY3817" i="3" l="1"/>
  <c r="BX3816" i="3"/>
  <c r="BY3818" i="3" l="1"/>
  <c r="BX3817" i="3"/>
  <c r="BY3819" i="3" l="1"/>
  <c r="BX3818" i="3"/>
  <c r="BY3820" i="3" l="1"/>
  <c r="BX3819" i="3"/>
  <c r="BX3820" i="3" l="1"/>
  <c r="BY3821" i="3"/>
  <c r="BX3821" i="3" l="1"/>
  <c r="BY3822" i="3"/>
  <c r="BY3823" i="3" l="1"/>
  <c r="BX3822" i="3"/>
  <c r="BY3824" i="3" l="1"/>
  <c r="BX3823" i="3"/>
  <c r="BY3825" i="3" l="1"/>
  <c r="BX3824" i="3"/>
  <c r="BY3826" i="3" l="1"/>
  <c r="BX3825" i="3"/>
  <c r="BX3826" i="3" l="1"/>
  <c r="BY3827" i="3"/>
  <c r="BX3827" i="3" l="1"/>
  <c r="BY3828" i="3"/>
  <c r="BY3829" i="3" l="1"/>
  <c r="BX3828" i="3"/>
  <c r="BY3830" i="3" l="1"/>
  <c r="BX3829" i="3"/>
  <c r="BY3831" i="3" l="1"/>
  <c r="BX3830" i="3"/>
  <c r="BY3832" i="3" l="1"/>
  <c r="BX3831" i="3"/>
  <c r="BX3832" i="3" l="1"/>
  <c r="BY3833" i="3"/>
  <c r="BX3833" i="3" l="1"/>
  <c r="BY3834" i="3"/>
  <c r="BY3835" i="3" l="1"/>
  <c r="BX3834" i="3"/>
  <c r="BY3836" i="3" l="1"/>
  <c r="BX3835" i="3"/>
  <c r="BY3837" i="3" l="1"/>
  <c r="BX3836" i="3"/>
  <c r="BY3838" i="3" l="1"/>
  <c r="BX3837" i="3"/>
  <c r="BX3838" i="3" l="1"/>
  <c r="BY3839" i="3"/>
  <c r="BX3839" i="3" l="1"/>
  <c r="BY3840" i="3"/>
  <c r="BY3841" i="3" l="1"/>
  <c r="BX3840" i="3"/>
  <c r="BY3842" i="3" l="1"/>
  <c r="BX3841" i="3"/>
  <c r="BY3843" i="3" l="1"/>
  <c r="BX3842" i="3"/>
  <c r="BY3844" i="3" l="1"/>
  <c r="BX3843" i="3"/>
  <c r="BX3844" i="3" l="1"/>
  <c r="BY3845" i="3"/>
  <c r="BX3845" i="3" l="1"/>
  <c r="BY3846" i="3"/>
  <c r="BY3847" i="3" l="1"/>
  <c r="BX3846" i="3"/>
  <c r="BY3848" i="3" l="1"/>
  <c r="BX3847" i="3"/>
  <c r="BY3849" i="3" l="1"/>
  <c r="BX3848" i="3"/>
  <c r="BY3850" i="3" l="1"/>
  <c r="BX3849" i="3"/>
  <c r="BX3850" i="3" l="1"/>
  <c r="BY3851" i="3"/>
  <c r="BX3851" i="3" l="1"/>
  <c r="BY3852" i="3"/>
  <c r="BY3853" i="3" l="1"/>
  <c r="BX3852" i="3"/>
  <c r="BY3854" i="3" l="1"/>
  <c r="BX3853" i="3"/>
  <c r="BY3855" i="3" l="1"/>
  <c r="BX3854" i="3"/>
  <c r="BY3856" i="3" l="1"/>
  <c r="BX3855" i="3"/>
  <c r="BX3856" i="3" l="1"/>
  <c r="BY3857" i="3"/>
  <c r="BX3857" i="3" l="1"/>
  <c r="BY3858" i="3"/>
  <c r="BY3859" i="3" l="1"/>
  <c r="BX3858" i="3"/>
  <c r="BY3860" i="3" l="1"/>
  <c r="BX3859" i="3"/>
  <c r="BY3861" i="3" l="1"/>
  <c r="BX3860" i="3"/>
  <c r="BY3862" i="3" l="1"/>
  <c r="BX3861" i="3"/>
  <c r="BX3862" i="3" l="1"/>
  <c r="BY3863" i="3"/>
  <c r="BX3863" i="3" l="1"/>
  <c r="BY3864" i="3"/>
  <c r="BY3865" i="3" l="1"/>
  <c r="BX3864" i="3"/>
  <c r="BY3866" i="3" l="1"/>
  <c r="BX3865" i="3"/>
  <c r="BY3867" i="3" l="1"/>
  <c r="BX3866" i="3"/>
  <c r="BY3868" i="3" l="1"/>
  <c r="BX3867" i="3"/>
  <c r="BX3868" i="3" l="1"/>
  <c r="BY3869" i="3"/>
  <c r="BX3869" i="3" l="1"/>
  <c r="BY3870" i="3"/>
  <c r="BY3871" i="3" l="1"/>
  <c r="BX3870" i="3"/>
  <c r="BY3872" i="3" l="1"/>
  <c r="BX3871" i="3"/>
  <c r="BY3873" i="3" l="1"/>
  <c r="BX3872" i="3"/>
  <c r="BY3874" i="3" l="1"/>
  <c r="BX3873" i="3"/>
  <c r="BX3874" i="3" l="1"/>
  <c r="BY3875" i="3"/>
  <c r="BX3875" i="3" l="1"/>
  <c r="BY3876" i="3"/>
  <c r="BY3877" i="3" l="1"/>
  <c r="BX3876" i="3"/>
  <c r="BY3878" i="3" l="1"/>
  <c r="BX3877" i="3"/>
  <c r="BY3879" i="3" l="1"/>
  <c r="BX3878" i="3"/>
  <c r="BY3880" i="3" l="1"/>
  <c r="BX3879" i="3"/>
  <c r="BX3880" i="3" l="1"/>
  <c r="BY3881" i="3"/>
  <c r="BX3881" i="3" l="1"/>
  <c r="BY3882" i="3"/>
  <c r="BY3883" i="3" l="1"/>
  <c r="BX3882" i="3"/>
  <c r="BY3884" i="3" l="1"/>
  <c r="BX3883" i="3"/>
  <c r="BY3885" i="3" l="1"/>
  <c r="BX3884" i="3"/>
  <c r="BY3886" i="3" l="1"/>
  <c r="BX3885" i="3"/>
  <c r="BX3886" i="3" l="1"/>
  <c r="BY3887" i="3"/>
  <c r="BX3887" i="3" l="1"/>
  <c r="BY3888" i="3"/>
  <c r="BY3889" i="3" l="1"/>
  <c r="BX3888" i="3"/>
  <c r="BY3890" i="3" l="1"/>
  <c r="BX3889" i="3"/>
  <c r="BY3891" i="3" l="1"/>
  <c r="BX3890" i="3"/>
  <c r="BY3892" i="3" l="1"/>
  <c r="BX3891" i="3"/>
  <c r="BX3892" i="3" l="1"/>
  <c r="BY3893" i="3"/>
  <c r="BX3893" i="3" l="1"/>
  <c r="BY3894" i="3"/>
  <c r="BY3895" i="3" l="1"/>
  <c r="BX3894" i="3"/>
  <c r="BY3896" i="3" l="1"/>
  <c r="BX3895" i="3"/>
  <c r="BY3897" i="3" l="1"/>
  <c r="BX3896" i="3"/>
  <c r="BY3898" i="3" l="1"/>
  <c r="BX3897" i="3"/>
  <c r="BX3898" i="3" l="1"/>
  <c r="BY3899" i="3"/>
  <c r="BX3899" i="3" l="1"/>
  <c r="BY3900" i="3"/>
  <c r="BY3901" i="3" l="1"/>
  <c r="BX3900" i="3"/>
  <c r="BY3902" i="3" l="1"/>
  <c r="BX3901" i="3"/>
  <c r="BY3903" i="3" l="1"/>
  <c r="BX3902" i="3"/>
  <c r="BY3904" i="3" l="1"/>
  <c r="BX3903" i="3"/>
  <c r="BX3904" i="3" l="1"/>
  <c r="BY3905" i="3"/>
  <c r="BX3905" i="3" l="1"/>
  <c r="BY3906" i="3"/>
  <c r="BY3907" i="3" l="1"/>
  <c r="BX3906" i="3"/>
  <c r="BY3908" i="3" l="1"/>
  <c r="BX3907" i="3"/>
  <c r="BY3909" i="3" l="1"/>
  <c r="BX3908" i="3"/>
  <c r="BY3910" i="3" l="1"/>
  <c r="BX3909" i="3"/>
  <c r="BX3910" i="3" l="1"/>
  <c r="BY3911" i="3"/>
  <c r="BX3911" i="3" l="1"/>
  <c r="BY3912" i="3"/>
  <c r="BY3913" i="3" l="1"/>
  <c r="BX3912" i="3"/>
  <c r="BY3914" i="3" l="1"/>
  <c r="BX3913" i="3"/>
  <c r="BY3915" i="3" l="1"/>
  <c r="BX3914" i="3"/>
  <c r="BY3916" i="3" l="1"/>
  <c r="BX3915" i="3"/>
  <c r="BX3916" i="3" l="1"/>
  <c r="BY3917" i="3"/>
  <c r="BX3917" i="3" l="1"/>
  <c r="BY3918" i="3"/>
  <c r="BY3919" i="3" l="1"/>
  <c r="BX3918" i="3"/>
  <c r="BY3920" i="3" l="1"/>
  <c r="BX3919" i="3"/>
  <c r="BY3921" i="3" l="1"/>
  <c r="BX3920" i="3"/>
  <c r="BY3922" i="3" l="1"/>
  <c r="BX3921" i="3"/>
  <c r="BX3922" i="3" l="1"/>
  <c r="BY3923" i="3"/>
  <c r="BX3923" i="3" l="1"/>
  <c r="BY3924" i="3"/>
  <c r="BY3925" i="3" l="1"/>
  <c r="BX3924" i="3"/>
  <c r="BY3926" i="3" l="1"/>
  <c r="BX3925" i="3"/>
  <c r="BY3927" i="3" l="1"/>
  <c r="BX3926" i="3"/>
  <c r="BY3928" i="3" l="1"/>
  <c r="BX3927" i="3"/>
  <c r="BX3928" i="3" l="1"/>
  <c r="BY3929" i="3"/>
  <c r="BX3929" i="3" l="1"/>
  <c r="BY3930" i="3"/>
  <c r="BY3931" i="3" l="1"/>
  <c r="BX3930" i="3"/>
  <c r="BY3932" i="3" l="1"/>
  <c r="BX3931" i="3"/>
  <c r="BX3932" i="3" l="1"/>
  <c r="BY3933" i="3"/>
  <c r="BY3934" i="3" l="1"/>
  <c r="BX3933" i="3"/>
  <c r="BY3935" i="3" l="1"/>
  <c r="BX3934" i="3"/>
  <c r="BX3935" i="3" l="1"/>
  <c r="BY3936" i="3"/>
  <c r="BX3936" i="3" l="1"/>
  <c r="BY3937" i="3"/>
  <c r="BY3938" i="3" l="1"/>
  <c r="BX3937" i="3"/>
  <c r="BX3938" i="3" l="1"/>
  <c r="BY3939" i="3"/>
  <c r="BY3940" i="3" l="1"/>
  <c r="BX3939" i="3"/>
  <c r="BY3941" i="3" l="1"/>
  <c r="BX3940" i="3"/>
  <c r="BX3941" i="3" l="1"/>
  <c r="BY3942" i="3"/>
  <c r="BY3943" i="3" l="1"/>
  <c r="BX3942" i="3"/>
  <c r="BX3943" i="3" l="1"/>
  <c r="BY3944" i="3"/>
  <c r="BX3944" i="3" l="1"/>
  <c r="BY3945" i="3"/>
  <c r="BY3946" i="3" l="1"/>
  <c r="BX3945" i="3"/>
  <c r="BY3947" i="3" l="1"/>
  <c r="BX3946" i="3"/>
  <c r="BX3947" i="3" l="1"/>
  <c r="BY3948" i="3"/>
  <c r="BY3949" i="3" l="1"/>
  <c r="BX3948" i="3"/>
  <c r="BY3950" i="3" l="1"/>
  <c r="BX3949" i="3"/>
  <c r="BX3950" i="3" l="1"/>
  <c r="BY3951" i="3"/>
  <c r="BX3951" i="3" l="1"/>
  <c r="BY3952" i="3"/>
  <c r="BY3953" i="3" l="1"/>
  <c r="BX3952" i="3"/>
  <c r="BX3953" i="3" l="1"/>
  <c r="BY3954" i="3"/>
  <c r="BY3955" i="3" l="1"/>
  <c r="BX3954" i="3"/>
  <c r="BY3956" i="3" l="1"/>
  <c r="BX3955" i="3"/>
  <c r="BX3956" i="3" l="1"/>
  <c r="BY3957" i="3"/>
  <c r="BY3958" i="3" l="1"/>
  <c r="BX3957" i="3"/>
  <c r="BY3959" i="3" l="1"/>
  <c r="BX3958" i="3"/>
  <c r="BX3959" i="3" l="1"/>
  <c r="BY3960" i="3"/>
  <c r="BX3960" i="3" l="1"/>
  <c r="BY3961" i="3"/>
  <c r="BY3962" i="3" l="1"/>
  <c r="BX3961" i="3"/>
  <c r="BX3962" i="3" l="1"/>
  <c r="BY3963" i="3"/>
  <c r="BY3964" i="3" l="1"/>
  <c r="BX3963" i="3"/>
  <c r="BY3965" i="3" l="1"/>
  <c r="BX3964" i="3"/>
  <c r="BX3965" i="3" l="1"/>
  <c r="BY3966" i="3"/>
  <c r="BY3967" i="3" l="1"/>
  <c r="BX3966" i="3"/>
  <c r="BX3967" i="3" l="1"/>
  <c r="BY3968" i="3"/>
  <c r="BX3968" i="3" l="1"/>
  <c r="BY3969" i="3"/>
  <c r="BY3970" i="3" l="1"/>
  <c r="BX3969" i="3"/>
  <c r="BY3971" i="3" l="1"/>
  <c r="BX3970" i="3"/>
  <c r="BX3971" i="3" l="1"/>
  <c r="BY3972" i="3"/>
  <c r="BY3973" i="3" l="1"/>
  <c r="BX3972" i="3"/>
  <c r="BY3974" i="3" l="1"/>
  <c r="BX3973" i="3"/>
  <c r="BX3974" i="3" l="1"/>
  <c r="BY3975" i="3"/>
  <c r="BX3975" i="3" l="1"/>
  <c r="BY3976" i="3"/>
  <c r="BY3977" i="3" l="1"/>
  <c r="BX3976" i="3"/>
  <c r="BX3977" i="3" l="1"/>
  <c r="BY3978" i="3"/>
  <c r="BY3979" i="3" l="1"/>
  <c r="BX3978" i="3"/>
  <c r="BY3980" i="3" l="1"/>
  <c r="BX3979" i="3"/>
  <c r="BX3980" i="3" l="1"/>
  <c r="BY3981" i="3"/>
  <c r="BY3982" i="3" l="1"/>
  <c r="BX3981" i="3"/>
  <c r="BY3983" i="3" l="1"/>
  <c r="BX3982" i="3"/>
  <c r="BX3983" i="3" l="1"/>
  <c r="BY3984" i="3"/>
  <c r="BX3984" i="3" l="1"/>
  <c r="BY3985" i="3"/>
  <c r="BY3986" i="3" l="1"/>
  <c r="BX3985" i="3"/>
  <c r="BX3986" i="3" l="1"/>
  <c r="BY3987" i="3"/>
  <c r="BY3988" i="3" l="1"/>
  <c r="BX3987" i="3"/>
  <c r="BY3989" i="3" l="1"/>
  <c r="BX3988" i="3"/>
  <c r="BX3989" i="3" l="1"/>
  <c r="BY3990" i="3"/>
  <c r="BY3991" i="3" l="1"/>
  <c r="BX3990" i="3"/>
  <c r="BX3991" i="3" l="1"/>
  <c r="BY3992" i="3"/>
  <c r="BX3992" i="3" l="1"/>
  <c r="BY3993" i="3"/>
  <c r="BY3994" i="3" l="1"/>
  <c r="BX3993" i="3"/>
  <c r="BY3995" i="3" l="1"/>
  <c r="BX3994" i="3"/>
  <c r="BX3995" i="3" l="1"/>
  <c r="BY3996" i="3"/>
  <c r="BY3997" i="3" l="1"/>
  <c r="BX3996" i="3"/>
  <c r="BY3998" i="3" l="1"/>
  <c r="BX3997" i="3"/>
  <c r="BX3998" i="3" l="1"/>
  <c r="BY3999" i="3"/>
  <c r="BX3999" i="3" l="1"/>
  <c r="BY4000" i="3"/>
  <c r="BY4001" i="3" l="1"/>
  <c r="BX4000" i="3"/>
  <c r="BX4001" i="3" l="1"/>
  <c r="BY4002" i="3"/>
  <c r="BY4003" i="3" l="1"/>
  <c r="BX4002" i="3"/>
  <c r="BY4004" i="3" l="1"/>
  <c r="BX4003" i="3"/>
  <c r="BX4004" i="3" l="1"/>
  <c r="BY4005" i="3"/>
  <c r="BY4006" i="3" l="1"/>
  <c r="BX4005" i="3"/>
  <c r="BY4007" i="3" l="1"/>
  <c r="BX4006" i="3"/>
  <c r="BX4007" i="3" l="1"/>
  <c r="BY4008" i="3"/>
  <c r="BX4008" i="3" l="1"/>
  <c r="BY4009" i="3"/>
  <c r="BY4010" i="3" l="1"/>
  <c r="BX4009" i="3"/>
  <c r="BX4010" i="3" l="1"/>
  <c r="BY4011" i="3"/>
  <c r="BY4012" i="3" l="1"/>
  <c r="BX4011" i="3"/>
  <c r="BY4013" i="3" l="1"/>
  <c r="BX4012" i="3"/>
  <c r="BX4013" i="3" l="1"/>
  <c r="BY4014" i="3"/>
  <c r="BY4015" i="3" l="1"/>
  <c r="BX4014" i="3"/>
  <c r="BX4015" i="3" l="1"/>
  <c r="BY4016" i="3"/>
  <c r="BX4016" i="3" l="1"/>
  <c r="BY4017" i="3"/>
  <c r="BY4018" i="3" l="1"/>
  <c r="BX4017" i="3"/>
  <c r="BY4019" i="3" l="1"/>
  <c r="BX4018" i="3"/>
  <c r="BX4019" i="3" l="1"/>
  <c r="BY4020" i="3"/>
  <c r="BY4021" i="3" l="1"/>
  <c r="BX4020" i="3"/>
  <c r="BY4022" i="3" l="1"/>
  <c r="BX4021" i="3"/>
  <c r="BX4022" i="3" l="1"/>
  <c r="BY4023" i="3"/>
  <c r="BX4023" i="3" l="1"/>
  <c r="BY4024" i="3"/>
  <c r="BY4025" i="3" l="1"/>
  <c r="BX4024" i="3"/>
  <c r="BX4025" i="3" l="1"/>
  <c r="BY4026" i="3"/>
  <c r="BY4027" i="3" l="1"/>
  <c r="BX4026" i="3"/>
  <c r="BY4028" i="3" l="1"/>
  <c r="BX4027" i="3"/>
  <c r="BX4028" i="3" l="1"/>
  <c r="BY4029" i="3"/>
  <c r="BY4030" i="3" l="1"/>
  <c r="BX4029" i="3"/>
  <c r="BY4031" i="3" l="1"/>
  <c r="BX4030" i="3"/>
  <c r="BX4031" i="3" l="1"/>
  <c r="BY4032" i="3"/>
  <c r="BX4032" i="3" l="1"/>
  <c r="BY4033" i="3"/>
  <c r="BY4034" i="3" l="1"/>
  <c r="BX4033" i="3"/>
  <c r="BX4034" i="3" l="1"/>
  <c r="BY4035" i="3"/>
  <c r="BY4036" i="3" l="1"/>
  <c r="BX4035" i="3"/>
  <c r="BY4037" i="3" l="1"/>
  <c r="BX4036" i="3"/>
  <c r="BX4037" i="3" l="1"/>
  <c r="BY4038" i="3"/>
  <c r="BY4039" i="3" l="1"/>
  <c r="BX4038" i="3"/>
  <c r="BX4039" i="3" l="1"/>
  <c r="BY4040" i="3"/>
  <c r="BX4040" i="3" l="1"/>
  <c r="BY4041" i="3"/>
  <c r="BY4042" i="3" l="1"/>
  <c r="BX4041" i="3"/>
  <c r="BY4043" i="3" l="1"/>
  <c r="BX4042" i="3"/>
  <c r="BX4043" i="3" l="1"/>
  <c r="BY4044" i="3"/>
  <c r="BY4045" i="3" l="1"/>
  <c r="BX4044" i="3"/>
  <c r="BY4046" i="3" l="1"/>
  <c r="BX4045" i="3"/>
  <c r="BX4046" i="3" l="1"/>
  <c r="BY4047" i="3"/>
  <c r="BX4047" i="3" l="1"/>
  <c r="BY4048" i="3"/>
  <c r="BY4049" i="3" l="1"/>
  <c r="BX4048" i="3"/>
  <c r="BX4049" i="3" l="1"/>
  <c r="BY4050" i="3"/>
  <c r="BY4051" i="3" l="1"/>
  <c r="BX4050" i="3"/>
  <c r="BY4052" i="3" l="1"/>
  <c r="BX4051" i="3"/>
  <c r="BX4052" i="3" l="1"/>
  <c r="BY4053" i="3"/>
  <c r="BY4054" i="3" l="1"/>
  <c r="BX4053" i="3"/>
  <c r="BY4055" i="3" l="1"/>
  <c r="BX4054" i="3"/>
  <c r="BX4055" i="3" l="1"/>
  <c r="BY4056" i="3"/>
  <c r="BX4056" i="3" l="1"/>
  <c r="BY4057" i="3"/>
  <c r="BY4058" i="3" l="1"/>
  <c r="BX4057" i="3"/>
  <c r="BX4058" i="3" l="1"/>
  <c r="BY4059" i="3"/>
  <c r="BY4060" i="3" l="1"/>
  <c r="BX4059" i="3"/>
  <c r="BY4061" i="3" l="1"/>
  <c r="BX4060" i="3"/>
  <c r="BX4061" i="3" l="1"/>
  <c r="BY4062" i="3"/>
  <c r="BY4063" i="3" l="1"/>
  <c r="BX4062" i="3"/>
  <c r="BX4063" i="3" l="1"/>
  <c r="BY4064" i="3"/>
  <c r="BX4064" i="3" l="1"/>
  <c r="BY4065" i="3"/>
  <c r="BY4066" i="3" l="1"/>
  <c r="BX4065" i="3"/>
  <c r="BY4067" i="3" l="1"/>
  <c r="BX4066" i="3"/>
  <c r="BX4067" i="3" l="1"/>
  <c r="BY4068" i="3"/>
  <c r="BY4069" i="3" l="1"/>
  <c r="BX4068" i="3"/>
  <c r="BY4070" i="3" l="1"/>
  <c r="BX4069" i="3"/>
  <c r="BX4070" i="3" l="1"/>
  <c r="BY4071" i="3"/>
  <c r="BX4071" i="3" l="1"/>
  <c r="BY4072" i="3"/>
  <c r="BY4073" i="3" l="1"/>
  <c r="BX4072" i="3"/>
  <c r="BX4073" i="3" l="1"/>
  <c r="BY4074" i="3"/>
  <c r="BY4075" i="3" l="1"/>
  <c r="BX4074" i="3"/>
  <c r="BY4076" i="3" l="1"/>
  <c r="BX4075" i="3"/>
  <c r="BX4076" i="3" l="1"/>
  <c r="BY4077" i="3"/>
  <c r="BX4077" i="3" l="1"/>
  <c r="BY4078" i="3"/>
  <c r="BY4079" i="3" l="1"/>
  <c r="BX4078" i="3"/>
  <c r="BX4079" i="3" l="1"/>
  <c r="BY4080" i="3"/>
  <c r="BX4080" i="3" l="1"/>
  <c r="BY4081" i="3"/>
  <c r="BX4081" i="3" l="1"/>
  <c r="BY4082" i="3"/>
  <c r="BX4082" i="3" l="1"/>
  <c r="BY4083" i="3"/>
  <c r="BX4083" i="3" l="1"/>
  <c r="BY4084" i="3"/>
  <c r="BY4085" i="3" l="1"/>
  <c r="BX4084" i="3"/>
  <c r="BX4085" i="3" l="1"/>
  <c r="BY4086" i="3"/>
  <c r="BY4087" i="3" l="1"/>
  <c r="BX4086" i="3"/>
  <c r="BY4088" i="3" l="1"/>
  <c r="BX4087" i="3"/>
  <c r="BX4088" i="3" l="1"/>
  <c r="BY4089" i="3"/>
  <c r="BX4089" i="3" l="1"/>
  <c r="BY4090" i="3"/>
  <c r="BY4091" i="3" l="1"/>
  <c r="BX4090" i="3"/>
  <c r="BX4091" i="3" l="1"/>
  <c r="BY4092" i="3"/>
  <c r="BY4093" i="3" l="1"/>
  <c r="BX4092" i="3"/>
  <c r="BY4094" i="3" l="1"/>
  <c r="BX4093" i="3"/>
  <c r="BX4094" i="3" l="1"/>
  <c r="BY4095" i="3"/>
  <c r="BX4095" i="3" l="1"/>
  <c r="BY4096" i="3"/>
  <c r="BY4097" i="3" l="1"/>
  <c r="BX4096" i="3"/>
  <c r="BX4097" i="3" l="1"/>
  <c r="BY4098" i="3"/>
  <c r="BX4098" i="3" l="1"/>
  <c r="BY4099" i="3"/>
  <c r="BX4099" i="3" l="1"/>
  <c r="BY4100" i="3"/>
  <c r="BX4100" i="3" l="1"/>
  <c r="BY4101" i="3"/>
  <c r="BX4101" i="3" l="1"/>
  <c r="BY4102" i="3"/>
  <c r="BY4103" i="3" l="1"/>
  <c r="BX4102" i="3"/>
  <c r="BX4103" i="3" l="1"/>
  <c r="BY4104" i="3"/>
  <c r="BY4105" i="3" l="1"/>
  <c r="BX4104" i="3"/>
  <c r="BY4106" i="3" l="1"/>
  <c r="BX4105" i="3"/>
  <c r="BX4106" i="3" l="1"/>
  <c r="BY4107" i="3"/>
  <c r="BX4107" i="3" l="1"/>
  <c r="BY4108" i="3"/>
  <c r="BY4109" i="3" l="1"/>
  <c r="BX4108" i="3"/>
  <c r="BX4109" i="3" l="1"/>
  <c r="BY4110" i="3"/>
  <c r="BY4111" i="3" l="1"/>
  <c r="BX4110" i="3"/>
  <c r="BY4112" i="3" l="1"/>
  <c r="BX4111" i="3"/>
  <c r="BX4112" i="3" l="1"/>
  <c r="BY4113" i="3"/>
  <c r="BX4113" i="3" l="1"/>
  <c r="BY4114" i="3"/>
  <c r="BY4115" i="3" l="1"/>
  <c r="BX4114" i="3"/>
  <c r="BX4115" i="3" l="1"/>
  <c r="BY4116" i="3"/>
  <c r="BX4116" i="3" l="1"/>
  <c r="BY4117" i="3"/>
  <c r="BX4117" i="3" l="1"/>
  <c r="BY4118" i="3"/>
  <c r="BX4118" i="3" l="1"/>
  <c r="BY4119" i="3"/>
  <c r="BX4119" i="3" l="1"/>
  <c r="BY4120" i="3"/>
  <c r="BY4121" i="3" l="1"/>
  <c r="BX4120" i="3"/>
  <c r="BX4121" i="3" l="1"/>
  <c r="BY4122" i="3"/>
  <c r="BY4123" i="3" l="1"/>
  <c r="BX4122" i="3"/>
  <c r="BY4124" i="3" l="1"/>
  <c r="BX4123" i="3"/>
  <c r="BX4124" i="3" l="1"/>
  <c r="BY4125" i="3"/>
  <c r="BX4125" i="3" l="1"/>
  <c r="BY4126" i="3"/>
  <c r="BY4127" i="3" l="1"/>
  <c r="BX4126" i="3"/>
  <c r="BX4127" i="3" l="1"/>
  <c r="BY4128" i="3"/>
  <c r="BY4129" i="3" l="1"/>
  <c r="BX4128" i="3"/>
  <c r="BY4130" i="3" l="1"/>
  <c r="BX4129" i="3"/>
  <c r="BX4130" i="3" l="1"/>
  <c r="BY4131" i="3"/>
  <c r="BX4131" i="3" l="1"/>
  <c r="BY4132" i="3"/>
  <c r="BY4133" i="3" l="1"/>
  <c r="BX4132" i="3"/>
  <c r="BX4133" i="3" l="1"/>
  <c r="BY4134" i="3"/>
  <c r="BX4134" i="3" l="1"/>
  <c r="BY4135" i="3"/>
  <c r="BX4135" i="3" l="1"/>
  <c r="BY4136" i="3"/>
  <c r="BX4136" i="3" l="1"/>
  <c r="BY4137" i="3"/>
  <c r="BX4137" i="3" l="1"/>
  <c r="BY4138" i="3"/>
  <c r="BY4139" i="3" l="1"/>
  <c r="BX4138" i="3"/>
  <c r="BX4139" i="3" l="1"/>
  <c r="BY4140" i="3"/>
  <c r="BY4141" i="3" l="1"/>
  <c r="BX4140" i="3"/>
  <c r="BY4142" i="3" l="1"/>
  <c r="BX4141" i="3"/>
  <c r="BX4142" i="3" l="1"/>
  <c r="BY4143" i="3"/>
  <c r="BX4143" i="3" l="1"/>
  <c r="BY4144" i="3"/>
  <c r="BY4145" i="3" l="1"/>
  <c r="BX4144" i="3"/>
  <c r="BX4145" i="3" l="1"/>
  <c r="BY4146" i="3"/>
  <c r="BY4147" i="3" l="1"/>
  <c r="BX4146" i="3"/>
  <c r="BY4148" i="3" l="1"/>
  <c r="BX4147" i="3"/>
  <c r="BX4148" i="3" l="1"/>
  <c r="BY4149" i="3"/>
  <c r="BX4149" i="3" l="1"/>
  <c r="BY4150" i="3"/>
  <c r="BY4151" i="3" l="1"/>
  <c r="BX4150" i="3"/>
  <c r="BX4151" i="3" l="1"/>
  <c r="BY4152" i="3"/>
  <c r="BX4152" i="3" l="1"/>
  <c r="BY4153" i="3"/>
  <c r="BX4153" i="3" l="1"/>
  <c r="BY4154" i="3"/>
  <c r="BX4154" i="3" l="1"/>
  <c r="BY4155" i="3"/>
  <c r="BX4155" i="3" l="1"/>
  <c r="BY4156" i="3"/>
  <c r="BY4157" i="3" l="1"/>
  <c r="BX4156" i="3"/>
  <c r="BX4157" i="3" l="1"/>
  <c r="BY4158" i="3"/>
  <c r="BY4159" i="3" l="1"/>
  <c r="BX4158" i="3"/>
  <c r="BY4160" i="3" l="1"/>
  <c r="BX4159" i="3"/>
  <c r="BX4160" i="3" l="1"/>
  <c r="BY4161" i="3"/>
  <c r="BX4161" i="3" l="1"/>
  <c r="BY4162" i="3"/>
  <c r="BY4163" i="3" l="1"/>
  <c r="BX4162" i="3"/>
  <c r="BX4163" i="3" l="1"/>
  <c r="BY4164" i="3"/>
  <c r="BY4165" i="3" l="1"/>
  <c r="BX4164" i="3"/>
  <c r="BY4166" i="3" l="1"/>
  <c r="BX4165" i="3"/>
  <c r="BX4166" i="3" l="1"/>
  <c r="BY4167" i="3"/>
  <c r="BX4167" i="3" l="1"/>
  <c r="BY4168" i="3"/>
  <c r="BY4169" i="3" l="1"/>
  <c r="BX4168" i="3"/>
  <c r="BX4169" i="3" l="1"/>
  <c r="BY4170" i="3"/>
  <c r="BX4170" i="3" l="1"/>
  <c r="BY4171" i="3"/>
  <c r="BX4171" i="3" l="1"/>
  <c r="BY4172" i="3"/>
  <c r="BX4172" i="3" l="1"/>
  <c r="BY4173" i="3"/>
  <c r="BX4173" i="3" l="1"/>
  <c r="BY4174" i="3"/>
  <c r="BY4175" i="3" l="1"/>
  <c r="BX4174" i="3"/>
  <c r="BX4175" i="3" l="1"/>
  <c r="BY4176" i="3"/>
  <c r="BY4177" i="3" l="1"/>
  <c r="BX4176" i="3"/>
  <c r="BY4178" i="3" l="1"/>
  <c r="BX4177" i="3"/>
  <c r="BX4178" i="3" l="1"/>
  <c r="BY4179" i="3"/>
  <c r="BX4179" i="3" l="1"/>
  <c r="BY4180" i="3"/>
  <c r="BY4181" i="3" l="1"/>
  <c r="BX4180" i="3"/>
  <c r="BX4181" i="3" l="1"/>
  <c r="BY4182" i="3"/>
  <c r="BY4183" i="3" l="1"/>
  <c r="BX4182" i="3"/>
  <c r="BY4184" i="3" l="1"/>
  <c r="BX4183" i="3"/>
  <c r="BX4184" i="3" l="1"/>
  <c r="BY4185" i="3"/>
  <c r="BX4185" i="3" l="1"/>
  <c r="BY4186" i="3"/>
  <c r="BY4187" i="3" l="1"/>
  <c r="BX4186" i="3"/>
  <c r="BX4187" i="3" l="1"/>
  <c r="BY4188" i="3"/>
  <c r="BX4188" i="3" l="1"/>
  <c r="BY4189" i="3"/>
  <c r="BX4189" i="3" l="1"/>
  <c r="BY4190" i="3"/>
  <c r="BX4190" i="3" l="1"/>
  <c r="BY4191" i="3"/>
  <c r="BX4191" i="3" l="1"/>
  <c r="BY4192" i="3"/>
  <c r="BY4193" i="3" l="1"/>
  <c r="BX4192" i="3"/>
  <c r="BX4193" i="3" l="1"/>
  <c r="BY4194" i="3"/>
  <c r="BY4195" i="3" l="1"/>
  <c r="BX4194" i="3"/>
  <c r="BY4196" i="3" l="1"/>
  <c r="BX4195" i="3"/>
  <c r="BX4196" i="3" l="1"/>
  <c r="BY4197" i="3"/>
  <c r="BX4197" i="3" l="1"/>
  <c r="BY4198" i="3"/>
  <c r="BY4199" i="3" l="1"/>
  <c r="BX4198" i="3"/>
  <c r="BX4199" i="3" l="1"/>
  <c r="BY4200" i="3"/>
  <c r="BY4201" i="3" l="1"/>
  <c r="BX4200" i="3"/>
  <c r="BY4202" i="3" l="1"/>
  <c r="BX4201" i="3"/>
  <c r="BX4202" i="3" l="1"/>
  <c r="BY4203" i="3"/>
  <c r="BX4203" i="3" l="1"/>
  <c r="BY4204" i="3"/>
  <c r="BY4205" i="3" l="1"/>
  <c r="BX4204" i="3"/>
  <c r="BX4205" i="3" l="1"/>
  <c r="BY4206" i="3"/>
  <c r="BX4206" i="3" l="1"/>
  <c r="BY4207" i="3"/>
  <c r="BX4207" i="3" l="1"/>
  <c r="BY4208" i="3"/>
  <c r="BX4208" i="3" l="1"/>
  <c r="BY4209" i="3"/>
  <c r="BX4209" i="3" l="1"/>
  <c r="BY4210" i="3"/>
  <c r="BY4211" i="3" l="1"/>
  <c r="BX4210" i="3"/>
  <c r="BX4211" i="3" l="1"/>
  <c r="BY4212" i="3"/>
  <c r="BY4213" i="3" l="1"/>
  <c r="BX4212" i="3"/>
  <c r="BY4214" i="3" l="1"/>
  <c r="BX4213" i="3"/>
  <c r="BX4214" i="3" l="1"/>
  <c r="BY4215" i="3"/>
  <c r="BX4215" i="3" l="1"/>
  <c r="BY4216" i="3"/>
  <c r="BY4217" i="3" l="1"/>
  <c r="BX4216" i="3"/>
  <c r="BX4217" i="3" l="1"/>
  <c r="BY4218" i="3"/>
  <c r="BY4219" i="3" l="1"/>
  <c r="BX4218" i="3"/>
  <c r="BY4220" i="3" l="1"/>
  <c r="BX4219" i="3"/>
  <c r="BX4220" i="3" l="1"/>
  <c r="BY4221" i="3"/>
  <c r="BX4221" i="3" l="1"/>
  <c r="BY4222" i="3"/>
  <c r="BY4223" i="3" l="1"/>
  <c r="BX4222" i="3"/>
  <c r="BX4223" i="3" l="1"/>
  <c r="BY4224" i="3"/>
  <c r="BX4224" i="3" l="1"/>
  <c r="BY4225" i="3"/>
  <c r="BX4225" i="3" l="1"/>
  <c r="BY4226" i="3"/>
  <c r="BX4226" i="3" l="1"/>
  <c r="BY4227" i="3"/>
  <c r="BX4227" i="3" l="1"/>
  <c r="BY4228" i="3"/>
  <c r="BY4229" i="3" l="1"/>
  <c r="BX4228" i="3"/>
  <c r="BX4229" i="3" l="1"/>
  <c r="BY4230" i="3"/>
  <c r="BY4231" i="3" l="1"/>
  <c r="BX4230" i="3"/>
  <c r="BY4232" i="3" l="1"/>
  <c r="BX4231" i="3"/>
  <c r="BX4232" i="3" l="1"/>
  <c r="BY4233" i="3"/>
  <c r="BX4233" i="3" l="1"/>
  <c r="BY4234" i="3"/>
  <c r="BY4235" i="3" l="1"/>
  <c r="BX4234" i="3"/>
  <c r="BX4235" i="3" l="1"/>
  <c r="BY4236" i="3"/>
  <c r="BY4237" i="3" l="1"/>
  <c r="BX4236" i="3"/>
  <c r="BY4238" i="3" l="1"/>
  <c r="BX4237" i="3"/>
  <c r="BX4238" i="3" l="1"/>
  <c r="BY4239" i="3"/>
  <c r="BX4239" i="3" l="1"/>
  <c r="BY4240" i="3"/>
  <c r="BY4241" i="3" l="1"/>
  <c r="BX4240" i="3"/>
  <c r="BX4241" i="3" l="1"/>
  <c r="BY4242" i="3"/>
  <c r="BX4242" i="3" l="1"/>
  <c r="BY4243" i="3"/>
  <c r="BX4243" i="3" l="1"/>
  <c r="BY4244" i="3"/>
  <c r="BX4244" i="3" l="1"/>
  <c r="BY4245" i="3"/>
  <c r="BX4245" i="3" l="1"/>
  <c r="BY4246" i="3"/>
  <c r="BY4247" i="3" l="1"/>
  <c r="BX4246" i="3"/>
  <c r="BX4247" i="3" l="1"/>
  <c r="BY4248" i="3"/>
  <c r="BY4249" i="3" l="1"/>
  <c r="BX4248" i="3"/>
  <c r="BY4250" i="3" l="1"/>
  <c r="BX4249" i="3"/>
  <c r="BX4250" i="3" l="1"/>
  <c r="BY4251" i="3"/>
  <c r="BX4251" i="3" l="1"/>
  <c r="BY4252" i="3"/>
  <c r="BY4253" i="3" l="1"/>
  <c r="BX4252" i="3"/>
  <c r="BX4253" i="3" l="1"/>
  <c r="BY4254" i="3"/>
  <c r="BY4255" i="3" l="1"/>
  <c r="BX4254" i="3"/>
  <c r="BY4256" i="3" l="1"/>
  <c r="BX4255" i="3"/>
  <c r="BX4256" i="3" l="1"/>
  <c r="BY4257" i="3"/>
  <c r="BX4257" i="3" l="1"/>
  <c r="BY4258" i="3"/>
  <c r="BY4259" i="3" l="1"/>
  <c r="BX4258" i="3"/>
  <c r="BX4259" i="3" l="1"/>
  <c r="BY4260" i="3"/>
  <c r="BX4260" i="3" l="1"/>
  <c r="BY4261" i="3"/>
  <c r="BX4261" i="3" l="1"/>
  <c r="BY4262" i="3"/>
  <c r="BX4262" i="3" l="1"/>
  <c r="BY4263" i="3"/>
  <c r="BX4263" i="3" l="1"/>
  <c r="BY4264" i="3"/>
  <c r="BY4265" i="3" l="1"/>
  <c r="BX4264" i="3"/>
  <c r="BX4265" i="3" l="1"/>
  <c r="BY4266" i="3"/>
  <c r="BY4267" i="3" l="1"/>
  <c r="BX4266" i="3"/>
  <c r="BY4268" i="3" l="1"/>
  <c r="BX4267" i="3"/>
  <c r="BY4269" i="3" l="1"/>
  <c r="BX4268" i="3"/>
  <c r="BX4269" i="3" l="1"/>
  <c r="BY4270" i="3"/>
  <c r="BY4271" i="3" l="1"/>
  <c r="BX4270" i="3"/>
  <c r="BY4272" i="3" l="1"/>
  <c r="BX4271" i="3"/>
  <c r="BX4272" i="3" l="1"/>
  <c r="BY4273" i="3"/>
  <c r="BY4274" i="3" l="1"/>
  <c r="BX4273" i="3"/>
  <c r="BY4275" i="3" l="1"/>
  <c r="BX4274" i="3"/>
  <c r="BX4275" i="3" l="1"/>
  <c r="BY4276" i="3"/>
  <c r="BY4277" i="3" l="1"/>
  <c r="BX4276" i="3"/>
  <c r="BY4278" i="3" l="1"/>
  <c r="BX4277" i="3"/>
  <c r="BX4278" i="3" l="1"/>
  <c r="BY4279" i="3"/>
  <c r="BX4279" i="3" l="1"/>
  <c r="BY4280" i="3"/>
  <c r="BY4281" i="3" l="1"/>
  <c r="BX4280" i="3"/>
  <c r="BX4281" i="3" l="1"/>
  <c r="BY4282" i="3"/>
  <c r="BY4283" i="3" l="1"/>
  <c r="BX4282" i="3"/>
  <c r="BY4284" i="3" l="1"/>
  <c r="BX4283" i="3"/>
  <c r="BX4284" i="3" l="1"/>
  <c r="BY4285" i="3"/>
  <c r="BY4286" i="3" l="1"/>
  <c r="BX4285" i="3"/>
  <c r="BX4286" i="3" l="1"/>
  <c r="BY4287" i="3"/>
  <c r="BX4287" i="3" l="1"/>
  <c r="BY4288" i="3"/>
  <c r="BY4289" i="3" l="1"/>
  <c r="BX4288" i="3"/>
  <c r="BY4290" i="3" l="1"/>
  <c r="BX4289" i="3"/>
  <c r="BX4290" i="3" l="1"/>
  <c r="BY4291" i="3"/>
  <c r="BX4291" i="3" l="1"/>
  <c r="BY4292" i="3"/>
  <c r="BY4293" i="3" l="1"/>
  <c r="BX4292" i="3"/>
  <c r="BX4293" i="3" l="1"/>
  <c r="BY4294" i="3"/>
  <c r="BX4294" i="3" l="1"/>
  <c r="BY4295" i="3"/>
  <c r="BY4296" i="3" l="1"/>
  <c r="BX4295" i="3"/>
  <c r="BX4296" i="3" l="1"/>
  <c r="BY4297" i="3"/>
  <c r="BX4297" i="3" l="1"/>
  <c r="BY4298" i="3"/>
  <c r="BX4298" i="3" l="1"/>
  <c r="BY4299" i="3"/>
  <c r="BX4299" i="3" l="1"/>
  <c r="BY4300" i="3"/>
  <c r="BY4301" i="3" l="1"/>
  <c r="BX4300" i="3"/>
  <c r="BY4302" i="3" l="1"/>
  <c r="BX4301" i="3"/>
  <c r="BX4302" i="3" l="1"/>
  <c r="BY4303" i="3"/>
  <c r="BX4303" i="3" l="1"/>
  <c r="BY4304" i="3"/>
  <c r="BY4305" i="3" l="1"/>
  <c r="BX4304" i="3"/>
  <c r="BX4305" i="3" l="1"/>
  <c r="BY4306" i="3"/>
  <c r="BY4307" i="3" l="1"/>
  <c r="BX4306" i="3"/>
  <c r="BY4308" i="3" l="1"/>
  <c r="BX4307" i="3"/>
  <c r="BX4308" i="3" l="1"/>
  <c r="BY4309" i="3"/>
  <c r="BY4310" i="3" l="1"/>
  <c r="BX4309" i="3"/>
  <c r="BY4311" i="3" l="1"/>
  <c r="BX4310" i="3"/>
  <c r="BX4311" i="3" l="1"/>
  <c r="BY4312" i="3"/>
  <c r="BY4313" i="3" l="1"/>
  <c r="BX4312" i="3"/>
  <c r="BY4314" i="3" l="1"/>
  <c r="BX4313" i="3"/>
  <c r="BX4314" i="3" l="1"/>
  <c r="BY4315" i="3"/>
  <c r="BY4316" i="3" l="1"/>
  <c r="BX4315" i="3"/>
  <c r="BX4316" i="3" l="1"/>
  <c r="BY4317" i="3"/>
  <c r="BX4317" i="3" l="1"/>
  <c r="BY4318" i="3"/>
  <c r="BY4319" i="3" l="1"/>
  <c r="BX4318" i="3"/>
  <c r="BY4320" i="3" l="1"/>
  <c r="BX4319" i="3"/>
  <c r="BX4320" i="3" l="1"/>
  <c r="BY4321" i="3"/>
  <c r="BY4322" i="3" l="1"/>
  <c r="BX4321" i="3"/>
  <c r="BX4322" i="3" l="1"/>
  <c r="BY4323" i="3"/>
  <c r="BX4323" i="3" l="1"/>
  <c r="BY4324" i="3"/>
  <c r="BX4324" i="3" l="1"/>
  <c r="BY4325" i="3"/>
  <c r="BX4325" i="3" l="1"/>
  <c r="BY4326" i="3"/>
  <c r="BX4326" i="3" l="1"/>
  <c r="BY4327" i="3"/>
  <c r="BX4327" i="3" l="1"/>
  <c r="BY4328" i="3"/>
  <c r="BY4329" i="3" l="1"/>
  <c r="BX4328" i="3"/>
  <c r="BX4329" i="3" l="1"/>
  <c r="BY4330" i="3"/>
  <c r="BX4330" i="3" l="1"/>
  <c r="BY4331" i="3"/>
  <c r="BY4332" i="3" l="1"/>
  <c r="BX4331" i="3"/>
  <c r="BX4332" i="3" l="1"/>
  <c r="BY4333" i="3"/>
  <c r="BX4333" i="3" l="1"/>
  <c r="BY4334" i="3"/>
  <c r="BX4334" i="3" l="1"/>
  <c r="BY4335" i="3"/>
  <c r="BX4335" i="3" l="1"/>
  <c r="BY4336" i="3"/>
  <c r="BY4337" i="3" l="1"/>
  <c r="BX4336" i="3"/>
  <c r="BY4338" i="3" l="1"/>
  <c r="BX4337" i="3"/>
  <c r="BX4338" i="3" l="1"/>
  <c r="BY4339" i="3"/>
  <c r="BY4340" i="3" l="1"/>
  <c r="BX4339" i="3"/>
  <c r="BY4341" i="3" l="1"/>
  <c r="BX4340" i="3"/>
  <c r="BX4341" i="3" l="1"/>
  <c r="BY4342" i="3"/>
  <c r="BY4343" i="3" l="1"/>
  <c r="BX4342" i="3"/>
  <c r="BY4344" i="3" l="1"/>
  <c r="BX4343" i="3"/>
  <c r="BX4344" i="3" l="1"/>
  <c r="BY4345" i="3"/>
  <c r="BY4346" i="3" l="1"/>
  <c r="BX4345" i="3"/>
  <c r="BY4347" i="3" l="1"/>
  <c r="BX4346" i="3"/>
  <c r="BX4347" i="3" l="1"/>
  <c r="BY4348" i="3"/>
  <c r="BY4349" i="3" l="1"/>
  <c r="BX4348" i="3"/>
  <c r="BY4350" i="3" l="1"/>
  <c r="BX4349" i="3"/>
  <c r="BX4350" i="3" l="1"/>
  <c r="BY4351" i="3"/>
  <c r="BY4352" i="3" l="1"/>
  <c r="BX4351" i="3"/>
  <c r="BY4353" i="3" l="1"/>
  <c r="BX4352" i="3"/>
  <c r="BX4353" i="3" l="1"/>
  <c r="BY4354" i="3"/>
  <c r="BX4354" i="3" l="1"/>
  <c r="BY4355" i="3"/>
  <c r="BY4356" i="3" l="1"/>
  <c r="BX4355" i="3"/>
  <c r="BX4356" i="3" l="1"/>
  <c r="BY4357" i="3"/>
  <c r="BY4358" i="3" l="1"/>
  <c r="BX4357" i="3"/>
  <c r="BX4358" i="3" l="1"/>
  <c r="BY4359" i="3"/>
  <c r="BX4359" i="3" l="1"/>
  <c r="BY4360" i="3"/>
  <c r="BX4360" i="3" l="1"/>
  <c r="BY4361" i="3"/>
  <c r="BX4361" i="3" l="1"/>
  <c r="BY4362" i="3"/>
  <c r="BX4362" i="3" l="1"/>
  <c r="BY4363" i="3"/>
  <c r="BY4364" i="3" l="1"/>
  <c r="BX4363" i="3"/>
  <c r="BY4365" i="3" l="1"/>
  <c r="BX4364" i="3"/>
  <c r="BX4365" i="3" l="1"/>
  <c r="BY4366" i="3"/>
  <c r="BX4366" i="3" l="1"/>
  <c r="BY4367" i="3"/>
  <c r="BY4368" i="3" l="1"/>
  <c r="BX4367" i="3"/>
  <c r="BX4368" i="3" l="1"/>
  <c r="BY4369" i="3"/>
  <c r="BX4369" i="3" l="1"/>
  <c r="BY4370" i="3"/>
  <c r="BX4370" i="3" l="1"/>
  <c r="BY4371" i="3"/>
  <c r="BX4371" i="3" l="1"/>
  <c r="BY4372" i="3"/>
  <c r="BX4372" i="3" l="1"/>
  <c r="BY4373" i="3"/>
  <c r="BY4374" i="3" l="1"/>
  <c r="BX4373" i="3"/>
  <c r="BX4374" i="3" l="1"/>
  <c r="BY4375" i="3"/>
  <c r="BY4376" i="3" l="1"/>
  <c r="BX4375" i="3"/>
  <c r="BY4377" i="3" l="1"/>
  <c r="BX4376" i="3"/>
  <c r="BX4377" i="3" l="1"/>
  <c r="BY4378" i="3"/>
  <c r="BY4379" i="3" l="1"/>
  <c r="BX4378" i="3"/>
  <c r="BY4380" i="3" l="1"/>
  <c r="BX4379" i="3"/>
  <c r="BX4380" i="3" l="1"/>
  <c r="BY4381" i="3"/>
  <c r="BY4382" i="3" l="1"/>
  <c r="BX4381" i="3"/>
  <c r="BY4383" i="3" l="1"/>
  <c r="BX4382" i="3"/>
  <c r="BX4383" i="3" l="1"/>
  <c r="BY4384" i="3"/>
  <c r="BY4385" i="3" l="1"/>
  <c r="BX4384" i="3"/>
  <c r="BY4386" i="3" l="1"/>
  <c r="BX4385" i="3"/>
  <c r="BX4386" i="3" l="1"/>
  <c r="BY4387" i="3"/>
  <c r="BY4388" i="3" l="1"/>
  <c r="BX4387" i="3"/>
  <c r="BY4389" i="3" l="1"/>
  <c r="BX4388" i="3"/>
  <c r="BX4389" i="3" l="1"/>
  <c r="BY4390" i="3"/>
  <c r="BX4390" i="3" l="1"/>
  <c r="BY4391" i="3"/>
  <c r="BY4392" i="3" l="1"/>
  <c r="BX4391" i="3"/>
  <c r="BX4392" i="3" l="1"/>
  <c r="BY4393" i="3"/>
  <c r="BY4394" i="3" l="1"/>
  <c r="BX4393" i="3"/>
  <c r="BX4394" i="3" l="1"/>
  <c r="BY4395" i="3"/>
  <c r="BX4395" i="3" l="1"/>
  <c r="BY4396" i="3"/>
  <c r="BX4396" i="3" l="1"/>
  <c r="BY4397" i="3"/>
  <c r="BX4397" i="3" l="1"/>
  <c r="BY4398" i="3"/>
  <c r="BX4398" i="3" l="1"/>
  <c r="BY4399" i="3"/>
  <c r="BY4400" i="3" l="1"/>
  <c r="BX4399" i="3"/>
  <c r="BY4401" i="3" l="1"/>
  <c r="BX4400" i="3"/>
  <c r="BX4401" i="3" l="1"/>
  <c r="BY4402" i="3"/>
  <c r="BX4402" i="3" l="1"/>
  <c r="BY4403" i="3"/>
  <c r="BY4404" i="3" l="1"/>
  <c r="BX4403" i="3"/>
  <c r="BX4404" i="3" l="1"/>
  <c r="BY4405" i="3"/>
  <c r="BY4406" i="3" l="1"/>
  <c r="BX4405" i="3"/>
  <c r="BX4406" i="3" l="1"/>
  <c r="BY4407" i="3"/>
  <c r="BX4407" i="3" l="1"/>
  <c r="BY4408" i="3"/>
  <c r="BX4408" i="3" l="1"/>
  <c r="BY4409" i="3"/>
  <c r="BY4410" i="3" l="1"/>
  <c r="BX4409" i="3"/>
  <c r="BX4410" i="3" l="1"/>
  <c r="BY4411" i="3"/>
  <c r="BY4412" i="3" l="1"/>
  <c r="BX4411" i="3"/>
  <c r="BY4413" i="3" l="1"/>
  <c r="BX4412" i="3"/>
  <c r="BX4413" i="3" l="1"/>
  <c r="BY4414" i="3"/>
  <c r="BY4415" i="3" l="1"/>
  <c r="BX4414" i="3"/>
  <c r="BY4416" i="3" l="1"/>
  <c r="BX4415" i="3"/>
  <c r="BX4416" i="3" l="1"/>
  <c r="BY4417" i="3"/>
  <c r="BY4418" i="3" l="1"/>
  <c r="BX4417" i="3"/>
  <c r="BY4419" i="3" l="1"/>
  <c r="BX4418" i="3"/>
  <c r="BX4419" i="3" l="1"/>
  <c r="BY4420" i="3"/>
  <c r="BY4421" i="3" l="1"/>
  <c r="BX4420" i="3"/>
  <c r="BY4422" i="3" l="1"/>
  <c r="BX4421" i="3"/>
  <c r="BX4422" i="3" l="1"/>
  <c r="BY4423" i="3"/>
  <c r="BY4424" i="3" l="1"/>
  <c r="BX4423" i="3"/>
  <c r="BY4425" i="3" l="1"/>
  <c r="BX4424" i="3"/>
  <c r="BX4425" i="3" l="1"/>
  <c r="BY4426" i="3"/>
  <c r="BX4426" i="3" l="1"/>
  <c r="BY4427" i="3"/>
  <c r="BY4428" i="3" l="1"/>
  <c r="BX4427" i="3"/>
  <c r="BX4428" i="3" l="1"/>
  <c r="BY4429" i="3"/>
  <c r="BY4430" i="3" l="1"/>
  <c r="BX4429" i="3"/>
  <c r="BX4430" i="3" l="1"/>
  <c r="BY4431" i="3"/>
  <c r="BX4431" i="3" l="1"/>
  <c r="BY4432" i="3"/>
  <c r="BX4432" i="3" l="1"/>
  <c r="BY4433" i="3"/>
  <c r="BX4433" i="3" l="1"/>
  <c r="BY4434" i="3"/>
  <c r="BX4434" i="3" l="1"/>
  <c r="BY4435" i="3"/>
  <c r="BY4436" i="3" l="1"/>
  <c r="BX4435" i="3"/>
  <c r="BY4437" i="3" l="1"/>
  <c r="BX4436" i="3"/>
  <c r="BX4437" i="3" l="1"/>
  <c r="BY4438" i="3"/>
  <c r="BX4438" i="3" l="1"/>
  <c r="BY4439" i="3"/>
  <c r="BY4440" i="3" l="1"/>
  <c r="BX4439" i="3"/>
  <c r="BX4440" i="3" l="1"/>
  <c r="BY4441" i="3"/>
  <c r="BY4442" i="3" l="1"/>
  <c r="BX4441" i="3"/>
  <c r="BX4442" i="3" l="1"/>
  <c r="BY4443" i="3"/>
  <c r="BX4443" i="3" l="1"/>
  <c r="BY4444" i="3"/>
  <c r="BX4444" i="3" l="1"/>
  <c r="BY4445" i="3"/>
  <c r="BY4446" i="3" l="1"/>
  <c r="BX4445" i="3"/>
  <c r="BX4446" i="3" l="1"/>
  <c r="BY4447" i="3"/>
  <c r="BY4448" i="3" l="1"/>
  <c r="BX4447" i="3"/>
  <c r="BY4449" i="3" l="1"/>
  <c r="BX4448" i="3"/>
  <c r="BX4449" i="3" l="1"/>
  <c r="BY4450" i="3"/>
  <c r="BY4451" i="3" l="1"/>
  <c r="BX4450" i="3"/>
  <c r="BY4452" i="3" l="1"/>
  <c r="BX4451" i="3"/>
  <c r="BX4452" i="3" l="1"/>
  <c r="BY4453" i="3"/>
  <c r="BY4454" i="3" l="1"/>
  <c r="BX4453" i="3"/>
  <c r="BY4455" i="3" l="1"/>
  <c r="BX4454" i="3"/>
  <c r="BX4455" i="3" l="1"/>
  <c r="BY4456" i="3"/>
  <c r="BY4457" i="3" l="1"/>
  <c r="BX4456" i="3"/>
  <c r="BY4458" i="3" l="1"/>
  <c r="BX4457" i="3"/>
  <c r="BX4458" i="3" l="1"/>
  <c r="BY4459" i="3"/>
  <c r="BY4460" i="3" l="1"/>
  <c r="BX4459" i="3"/>
  <c r="BY4461" i="3" l="1"/>
  <c r="BX4460" i="3"/>
  <c r="BX4461" i="3" l="1"/>
  <c r="BY4462" i="3"/>
  <c r="BX4462" i="3" l="1"/>
  <c r="BY4463" i="3"/>
  <c r="BY4464" i="3" l="1"/>
  <c r="BX4463" i="3"/>
  <c r="BX4464" i="3" l="1"/>
  <c r="BY4465" i="3"/>
  <c r="BY4466" i="3" l="1"/>
  <c r="BX4465" i="3"/>
  <c r="BX4466" i="3" l="1"/>
  <c r="BY4467" i="3"/>
  <c r="BX4467" i="3" l="1"/>
  <c r="BY4468" i="3"/>
  <c r="BX4468" i="3" l="1"/>
  <c r="BY4469" i="3"/>
  <c r="BX4469" i="3" l="1"/>
  <c r="BY4470" i="3"/>
  <c r="BX4470" i="3" l="1"/>
  <c r="BY4471" i="3"/>
  <c r="BY4472" i="3" l="1"/>
  <c r="BX4471" i="3"/>
  <c r="BY4473" i="3" l="1"/>
  <c r="BX4472" i="3"/>
  <c r="BX4473" i="3" l="1"/>
  <c r="BY4474" i="3"/>
  <c r="BX4474" i="3" l="1"/>
  <c r="BY4475" i="3"/>
  <c r="BY4476" i="3" l="1"/>
  <c r="BX4475" i="3"/>
  <c r="BX4476" i="3" l="1"/>
  <c r="BY4477" i="3"/>
  <c r="BY4478" i="3" l="1"/>
  <c r="BX4477" i="3"/>
  <c r="BX4478" i="3" l="1"/>
  <c r="BY4479" i="3"/>
  <c r="BX4479" i="3" l="1"/>
  <c r="BY4480" i="3"/>
  <c r="BX4480" i="3" l="1"/>
  <c r="BY4481" i="3"/>
  <c r="BY4482" i="3" l="1"/>
  <c r="BX4481" i="3"/>
  <c r="BX4482" i="3" l="1"/>
  <c r="BY4483" i="3"/>
  <c r="BY4484" i="3" l="1"/>
  <c r="BX4483" i="3"/>
  <c r="BY4485" i="3" l="1"/>
  <c r="BX4484" i="3"/>
  <c r="BX4485" i="3" l="1"/>
  <c r="BY4486" i="3"/>
  <c r="BY4487" i="3" l="1"/>
  <c r="BX4486" i="3"/>
  <c r="BY4488" i="3" l="1"/>
  <c r="BX4487" i="3"/>
  <c r="BX4488" i="3" l="1"/>
  <c r="BY4489" i="3"/>
  <c r="BY4490" i="3" l="1"/>
  <c r="BX4489" i="3"/>
  <c r="BY4491" i="3" l="1"/>
  <c r="BX4490" i="3"/>
  <c r="BX4491" i="3" l="1"/>
  <c r="BY4492" i="3"/>
  <c r="BY4493" i="3" l="1"/>
  <c r="BX4492" i="3"/>
  <c r="BY4494" i="3" l="1"/>
  <c r="BX4493" i="3"/>
  <c r="BX4494" i="3" l="1"/>
  <c r="BY4495" i="3"/>
  <c r="BY4496" i="3" l="1"/>
  <c r="BX4495" i="3"/>
  <c r="BY4497" i="3" l="1"/>
  <c r="BX4496" i="3"/>
  <c r="BX4497" i="3" l="1"/>
  <c r="BY4498" i="3"/>
  <c r="BX4498" i="3" l="1"/>
  <c r="BY4499" i="3"/>
  <c r="BY4500" i="3" l="1"/>
  <c r="BX4499" i="3"/>
  <c r="BX4500" i="3" l="1"/>
  <c r="BY4501" i="3"/>
  <c r="BY4502" i="3" l="1"/>
  <c r="BX4501" i="3"/>
  <c r="BX4502" i="3" l="1"/>
  <c r="BY4503" i="3"/>
  <c r="BX4503" i="3" l="1"/>
  <c r="BY4504" i="3"/>
  <c r="BX4504" i="3" l="1"/>
  <c r="BY4505" i="3"/>
  <c r="BX4505" i="3" l="1"/>
  <c r="BY4506" i="3"/>
  <c r="BX4506" i="3" l="1"/>
  <c r="BY4507" i="3"/>
  <c r="BY4508" i="3" l="1"/>
  <c r="BX4507" i="3"/>
  <c r="BY4509" i="3" l="1"/>
  <c r="BX4508" i="3"/>
  <c r="BX4509" i="3" l="1"/>
  <c r="BY4510" i="3"/>
  <c r="BX4510" i="3" l="1"/>
  <c r="BY4511" i="3"/>
  <c r="BY4512" i="3" l="1"/>
  <c r="BX4511" i="3"/>
  <c r="BX4512" i="3" l="1"/>
  <c r="BY4513" i="3"/>
  <c r="BY4514" i="3" l="1"/>
  <c r="BX4513" i="3"/>
  <c r="BX4514" i="3" l="1"/>
  <c r="BY4515" i="3"/>
  <c r="BX4515" i="3" l="1"/>
  <c r="BY4516" i="3"/>
  <c r="BX4516" i="3" l="1"/>
  <c r="BY4517" i="3"/>
  <c r="BY4518" i="3" l="1"/>
  <c r="BX4517" i="3"/>
  <c r="BX4518" i="3" l="1"/>
  <c r="BY4519" i="3"/>
  <c r="BY4520" i="3" l="1"/>
  <c r="BX4519" i="3"/>
  <c r="BY4521" i="3" l="1"/>
  <c r="BX4520" i="3"/>
  <c r="BX4521" i="3" l="1"/>
  <c r="BY4522" i="3"/>
  <c r="BY4523" i="3" l="1"/>
  <c r="BX4522" i="3"/>
  <c r="BY4524" i="3" l="1"/>
  <c r="BX4523" i="3"/>
  <c r="BX4524" i="3" l="1"/>
  <c r="BY4525" i="3"/>
  <c r="BY4526" i="3" l="1"/>
  <c r="BX4525" i="3"/>
  <c r="BY4527" i="3" l="1"/>
  <c r="BX4526" i="3"/>
  <c r="BX4527" i="3" l="1"/>
  <c r="BY4528" i="3"/>
  <c r="BY4529" i="3" l="1"/>
  <c r="BX4528" i="3"/>
  <c r="BY4530" i="3" l="1"/>
  <c r="BX4529" i="3"/>
  <c r="BX4530" i="3" l="1"/>
  <c r="BY4531" i="3"/>
  <c r="BY4532" i="3" l="1"/>
  <c r="BX4531" i="3"/>
  <c r="BY4533" i="3" l="1"/>
  <c r="BX4532" i="3"/>
  <c r="BX4533" i="3" l="1"/>
  <c r="BY4534" i="3"/>
  <c r="BX4534" i="3" l="1"/>
  <c r="BY4535" i="3"/>
  <c r="BY4536" i="3" l="1"/>
  <c r="BX4535" i="3"/>
  <c r="BX4536" i="3" l="1"/>
  <c r="BY4537" i="3"/>
  <c r="BY4538" i="3" l="1"/>
  <c r="BX4537" i="3"/>
  <c r="BX4538" i="3" l="1"/>
  <c r="BY4539" i="3"/>
  <c r="BX4539" i="3" l="1"/>
  <c r="BY4540" i="3"/>
  <c r="BX4540" i="3" l="1"/>
  <c r="BY4541" i="3"/>
  <c r="BX4541" i="3" l="1"/>
  <c r="BY4542" i="3"/>
  <c r="BX4542" i="3" l="1"/>
  <c r="BY4543" i="3"/>
  <c r="BY4544" i="3" l="1"/>
  <c r="BX4543" i="3"/>
  <c r="BY4545" i="3" l="1"/>
  <c r="BX4544" i="3"/>
  <c r="BX4545" i="3" l="1"/>
  <c r="BY4546" i="3"/>
  <c r="BX4546" i="3" l="1"/>
  <c r="BY4547" i="3"/>
  <c r="BY4548" i="3" l="1"/>
  <c r="BX4547" i="3"/>
  <c r="BX4548" i="3" l="1"/>
  <c r="BY4549" i="3"/>
  <c r="BY4550" i="3" l="1"/>
  <c r="BX4549" i="3"/>
  <c r="BX4550" i="3" l="1"/>
  <c r="BY4551" i="3"/>
  <c r="BX4551" i="3" l="1"/>
  <c r="BY4552" i="3"/>
  <c r="BX4552" i="3" l="1"/>
  <c r="BY4553" i="3"/>
  <c r="BY4554" i="3" l="1"/>
  <c r="BX4553" i="3"/>
  <c r="BX4554" i="3" l="1"/>
  <c r="BY4555" i="3"/>
  <c r="BY4556" i="3" l="1"/>
  <c r="BX4555" i="3"/>
  <c r="BY4557" i="3" l="1"/>
  <c r="BX4556" i="3"/>
  <c r="BX4557" i="3" l="1"/>
  <c r="BY4558" i="3"/>
  <c r="BY4559" i="3" l="1"/>
  <c r="BX4558" i="3"/>
  <c r="BY4560" i="3" l="1"/>
  <c r="BX4559" i="3"/>
  <c r="BX4560" i="3" l="1"/>
  <c r="BY4561" i="3"/>
  <c r="BY4562" i="3" l="1"/>
  <c r="BX4561" i="3"/>
  <c r="BY4563" i="3" l="1"/>
  <c r="BX4562" i="3"/>
  <c r="BX4563" i="3" l="1"/>
  <c r="BY4564" i="3"/>
  <c r="BY4565" i="3" l="1"/>
  <c r="BX4564" i="3"/>
  <c r="BY4566" i="3" l="1"/>
  <c r="BX4565" i="3"/>
  <c r="BX4566" i="3" l="1"/>
  <c r="BY4567" i="3"/>
  <c r="BY4568" i="3" l="1"/>
  <c r="BX4567" i="3"/>
  <c r="BY4569" i="3" l="1"/>
  <c r="BX4568" i="3"/>
  <c r="BX4569" i="3" l="1"/>
  <c r="BY4570" i="3"/>
  <c r="BX4570" i="3" l="1"/>
  <c r="BY4571" i="3"/>
  <c r="BY4572" i="3" l="1"/>
  <c r="BX4571" i="3"/>
  <c r="BX4572" i="3" l="1"/>
  <c r="BY4573" i="3"/>
  <c r="BY4574" i="3" l="1"/>
  <c r="BX4573" i="3"/>
  <c r="BX4574" i="3" l="1"/>
  <c r="BY4575" i="3"/>
  <c r="BX4575" i="3" l="1"/>
  <c r="BY4576" i="3"/>
  <c r="BX4576" i="3" l="1"/>
  <c r="BY4577" i="3"/>
  <c r="BX4577" i="3" l="1"/>
  <c r="BY4578" i="3"/>
  <c r="BX4578" i="3" l="1"/>
  <c r="BY4579" i="3"/>
  <c r="BY4580" i="3" l="1"/>
  <c r="BX4579" i="3"/>
  <c r="BY4581" i="3" l="1"/>
  <c r="BX4580" i="3"/>
  <c r="BX4581" i="3" l="1"/>
  <c r="BY4582" i="3"/>
  <c r="BX4582" i="3" l="1"/>
  <c r="BY4583" i="3"/>
  <c r="BY4584" i="3" l="1"/>
  <c r="BX4583" i="3"/>
  <c r="BX4584" i="3" l="1"/>
  <c r="BY4585" i="3"/>
  <c r="BY4586" i="3" l="1"/>
  <c r="BX4585" i="3"/>
  <c r="BX4586" i="3" l="1"/>
  <c r="BY4587" i="3"/>
  <c r="BX4587" i="3" l="1"/>
  <c r="BY4588" i="3"/>
  <c r="BX4588" i="3" l="1"/>
  <c r="BY4589" i="3"/>
  <c r="BY4590" i="3" l="1"/>
  <c r="BX4589" i="3"/>
  <c r="BX4590" i="3" l="1"/>
  <c r="BY4591" i="3"/>
  <c r="BY4592" i="3" l="1"/>
  <c r="BX4591" i="3"/>
  <c r="BY4593" i="3" l="1"/>
  <c r="BX4592" i="3"/>
  <c r="BX4593" i="3" l="1"/>
  <c r="BY4594" i="3"/>
  <c r="BY4595" i="3" l="1"/>
  <c r="BX4594" i="3"/>
  <c r="BY4596" i="3" l="1"/>
  <c r="BX4595" i="3"/>
  <c r="BX4596" i="3" l="1"/>
  <c r="BY4597" i="3"/>
  <c r="BY4598" i="3" l="1"/>
  <c r="BX4597" i="3"/>
  <c r="BY4599" i="3" l="1"/>
  <c r="BX4598" i="3"/>
  <c r="BX4599" i="3" l="1"/>
  <c r="BY4600" i="3"/>
  <c r="BY4601" i="3" l="1"/>
  <c r="BX4600" i="3"/>
  <c r="BY4602" i="3" l="1"/>
  <c r="BX4601" i="3"/>
  <c r="BX4602" i="3" l="1"/>
  <c r="BY4603" i="3"/>
  <c r="BY4604" i="3" l="1"/>
  <c r="BX4603" i="3"/>
  <c r="BY4605" i="3" l="1"/>
  <c r="BX4604" i="3"/>
  <c r="BX4605" i="3" l="1"/>
  <c r="BY4606" i="3"/>
  <c r="BX4606" i="3" l="1"/>
  <c r="BY4607" i="3"/>
  <c r="BY4608" i="3" l="1"/>
  <c r="BX4607" i="3"/>
  <c r="BX4608" i="3" l="1"/>
  <c r="BY4609" i="3"/>
  <c r="BY4610" i="3" l="1"/>
  <c r="BX4609" i="3"/>
  <c r="BX4610" i="3" l="1"/>
  <c r="BY4611" i="3"/>
  <c r="BX4611" i="3" l="1"/>
  <c r="BY4612" i="3"/>
  <c r="BX4612" i="3" l="1"/>
  <c r="BY4613" i="3"/>
  <c r="BX4613" i="3" l="1"/>
  <c r="BY4614" i="3"/>
  <c r="BX4614" i="3" l="1"/>
  <c r="BY4615" i="3"/>
  <c r="BY4616" i="3" l="1"/>
  <c r="BX4615" i="3"/>
  <c r="BY4617" i="3" l="1"/>
  <c r="BX4616" i="3"/>
  <c r="BX4617" i="3" l="1"/>
  <c r="BY4618" i="3"/>
  <c r="BX4618" i="3" l="1"/>
  <c r="BY4619" i="3"/>
  <c r="BY4620" i="3" l="1"/>
  <c r="BX4619" i="3"/>
  <c r="BX4620" i="3" l="1"/>
  <c r="BY4621" i="3"/>
  <c r="BY4622" i="3" l="1"/>
  <c r="BX4621" i="3"/>
  <c r="BX4622" i="3" l="1"/>
  <c r="BY4623" i="3"/>
  <c r="BX4623" i="3" l="1"/>
  <c r="BY4624" i="3"/>
  <c r="BX4624" i="3" l="1"/>
  <c r="BY4625" i="3"/>
  <c r="BY4626" i="3" l="1"/>
  <c r="BX4625" i="3"/>
  <c r="BX4626" i="3" l="1"/>
  <c r="BY4627" i="3"/>
  <c r="BY4628" i="3" l="1"/>
  <c r="BX4627" i="3"/>
  <c r="BY4629" i="3" l="1"/>
  <c r="BX4628" i="3"/>
  <c r="BX4629" i="3" l="1"/>
  <c r="BY4630" i="3"/>
  <c r="BY4631" i="3" l="1"/>
  <c r="BX4630" i="3"/>
  <c r="BY4632" i="3" l="1"/>
  <c r="BX4631" i="3"/>
  <c r="BX4632" i="3" l="1"/>
  <c r="BY4633" i="3"/>
  <c r="BY4634" i="3" l="1"/>
  <c r="BX4633" i="3"/>
  <c r="BY4635" i="3" l="1"/>
  <c r="BX4634" i="3"/>
  <c r="BX4635" i="3" l="1"/>
  <c r="BY4636" i="3"/>
  <c r="BY4637" i="3" l="1"/>
  <c r="BX4636" i="3"/>
  <c r="BY4638" i="3" l="1"/>
  <c r="BX4637" i="3"/>
  <c r="BX4638" i="3" l="1"/>
  <c r="BY4639" i="3"/>
  <c r="BY4640" i="3" l="1"/>
  <c r="BX4639" i="3"/>
  <c r="BY4641" i="3" l="1"/>
  <c r="BX4640" i="3"/>
  <c r="BX4641" i="3" l="1"/>
  <c r="BY4642" i="3"/>
  <c r="BX4642" i="3" l="1"/>
  <c r="BY4643" i="3"/>
  <c r="BY4644" i="3" l="1"/>
  <c r="BX4643" i="3"/>
  <c r="BX4644" i="3" l="1"/>
  <c r="BY4645" i="3"/>
  <c r="BY4646" i="3" l="1"/>
  <c r="BX4645" i="3"/>
  <c r="BX4646" i="3" l="1"/>
  <c r="BY4647" i="3"/>
  <c r="BX4647" i="3" l="1"/>
  <c r="BY4648" i="3"/>
  <c r="BX4648" i="3" l="1"/>
  <c r="BY4649" i="3"/>
  <c r="BX4649" i="3" l="1"/>
  <c r="BY4650" i="3"/>
  <c r="BX4650" i="3" l="1"/>
  <c r="BY4651" i="3"/>
  <c r="BY4652" i="3" l="1"/>
  <c r="BX4651" i="3"/>
  <c r="BY4653" i="3" l="1"/>
  <c r="BX4652" i="3"/>
  <c r="BX4653" i="3" l="1"/>
  <c r="BY4654" i="3"/>
  <c r="BX4654" i="3" l="1"/>
  <c r="BY4655" i="3"/>
  <c r="BY4656" i="3" l="1"/>
  <c r="BX4655" i="3"/>
  <c r="BX4656" i="3" l="1"/>
  <c r="BY4657" i="3"/>
  <c r="BY4658" i="3" l="1"/>
  <c r="BX4657" i="3"/>
  <c r="BX4658" i="3" l="1"/>
  <c r="BY4659" i="3"/>
  <c r="BX4659" i="3" l="1"/>
  <c r="BY4660" i="3"/>
  <c r="BX4660" i="3" l="1"/>
  <c r="BY4661" i="3"/>
  <c r="BY4662" i="3" l="1"/>
  <c r="BX4661" i="3"/>
  <c r="BX4662" i="3" l="1"/>
  <c r="BY4663" i="3"/>
  <c r="BY4664" i="3" l="1"/>
  <c r="BX4663" i="3"/>
  <c r="BY4665" i="3" l="1"/>
  <c r="BX4664" i="3"/>
  <c r="BX4665" i="3" l="1"/>
  <c r="BY4666" i="3"/>
  <c r="BY4667" i="3" l="1"/>
  <c r="BX4666" i="3"/>
  <c r="BY4668" i="3" l="1"/>
  <c r="BX4667" i="3"/>
  <c r="BX4668" i="3" l="1"/>
  <c r="BY4669" i="3"/>
  <c r="BY4670" i="3" l="1"/>
  <c r="BX4669" i="3"/>
  <c r="BY4671" i="3" l="1"/>
  <c r="BX4670" i="3"/>
  <c r="BX4671" i="3" l="1"/>
  <c r="BY4672" i="3"/>
  <c r="BY4673" i="3" l="1"/>
  <c r="BX4672" i="3"/>
  <c r="BY4674" i="3" l="1"/>
  <c r="BX4673" i="3"/>
  <c r="BX4674" i="3" l="1"/>
  <c r="BY4675" i="3"/>
  <c r="BY4676" i="3" l="1"/>
  <c r="BX4675" i="3"/>
  <c r="BY4677" i="3" l="1"/>
  <c r="BX4676" i="3"/>
  <c r="BX4677" i="3" l="1"/>
  <c r="BY4678" i="3"/>
  <c r="BX4678" i="3" l="1"/>
  <c r="BY4679" i="3"/>
  <c r="BY4680" i="3" l="1"/>
  <c r="BX4679" i="3"/>
  <c r="BX4680" i="3" l="1"/>
  <c r="BY4681" i="3"/>
  <c r="BY4682" i="3" l="1"/>
  <c r="BX4681" i="3"/>
  <c r="BX4682" i="3" l="1"/>
  <c r="BY4683" i="3"/>
  <c r="BX4683" i="3" l="1"/>
  <c r="BY4684" i="3"/>
  <c r="BX4684" i="3" l="1"/>
  <c r="BY4685" i="3"/>
  <c r="BX4685" i="3" l="1"/>
  <c r="BY4686" i="3"/>
  <c r="BX4686" i="3" l="1"/>
  <c r="BY4687" i="3"/>
  <c r="BY4688" i="3" l="1"/>
  <c r="BX4687" i="3"/>
  <c r="BY4689" i="3" l="1"/>
  <c r="BX4688" i="3"/>
  <c r="BX4689" i="3" l="1"/>
  <c r="BY4690" i="3"/>
  <c r="BY4691" i="3" l="1"/>
  <c r="BX4690" i="3"/>
  <c r="BY4692" i="3" l="1"/>
  <c r="BX4691" i="3"/>
  <c r="BX4692" i="3" l="1"/>
  <c r="BY4693" i="3"/>
  <c r="BY4694" i="3" l="1"/>
  <c r="BX4693" i="3"/>
  <c r="BX4694" i="3" l="1"/>
  <c r="BY4695" i="3"/>
  <c r="BX4695" i="3" l="1"/>
  <c r="BY4696" i="3"/>
  <c r="BX4696" i="3" l="1"/>
  <c r="BY4697" i="3"/>
  <c r="BY4698" i="3" l="1"/>
  <c r="BX4697" i="3"/>
  <c r="BX4698" i="3" l="1"/>
  <c r="BY4699" i="3"/>
  <c r="BX4699" i="3" l="1"/>
  <c r="BY4700" i="3"/>
  <c r="BY4701" i="3" l="1"/>
  <c r="BX4700" i="3"/>
  <c r="BX4701" i="3" l="1"/>
  <c r="BY4702" i="3"/>
  <c r="BY4703" i="3" l="1"/>
  <c r="BX4702" i="3"/>
  <c r="BY4704" i="3" l="1"/>
  <c r="BX4703" i="3"/>
  <c r="BX4704" i="3" l="1"/>
  <c r="BY4705" i="3"/>
  <c r="BY4706" i="3" l="1"/>
  <c r="BX4705" i="3"/>
  <c r="BX4706" i="3" l="1"/>
  <c r="BY4707" i="3"/>
  <c r="BX4707" i="3" l="1"/>
  <c r="BY4708" i="3"/>
  <c r="BY4709" i="3" l="1"/>
  <c r="BX4708" i="3"/>
  <c r="BY4710" i="3" l="1"/>
  <c r="BX4709" i="3"/>
  <c r="BX4710" i="3" l="1"/>
  <c r="BY4711" i="3"/>
  <c r="BY4712" i="3" l="1"/>
  <c r="BX4711" i="3"/>
  <c r="BY4713" i="3" l="1"/>
  <c r="BX4712" i="3"/>
  <c r="BX4713" i="3" l="1"/>
  <c r="BY4714" i="3"/>
  <c r="BX4714" i="3" l="1"/>
  <c r="BY4715" i="3"/>
  <c r="BY4716" i="3" l="1"/>
  <c r="BX4715" i="3"/>
  <c r="BX4716" i="3" l="1"/>
  <c r="BY4717" i="3"/>
  <c r="BY4718" i="3" l="1"/>
  <c r="BX4717" i="3"/>
  <c r="BY4719" i="3" l="1"/>
  <c r="BX4718" i="3"/>
  <c r="BX4719" i="3" l="1"/>
  <c r="BY4720" i="3"/>
  <c r="BX4720" i="3" l="1"/>
  <c r="BY4721" i="3"/>
  <c r="BX4721" i="3" l="1"/>
  <c r="BY4722" i="3"/>
  <c r="BX4722" i="3" l="1"/>
  <c r="BY4723" i="3"/>
  <c r="BY4724" i="3" l="1"/>
  <c r="BX4723" i="3"/>
  <c r="BY4725" i="3" l="1"/>
  <c r="BX4724" i="3"/>
  <c r="BX4725" i="3" l="1"/>
  <c r="BY4726" i="3"/>
  <c r="BY4727" i="3" l="1"/>
  <c r="BX4726" i="3"/>
  <c r="BY4728" i="3" l="1"/>
  <c r="BX4727" i="3"/>
  <c r="BX4728" i="3" l="1"/>
  <c r="BY4729" i="3"/>
  <c r="BY4730" i="3" l="1"/>
  <c r="BX4729" i="3"/>
  <c r="BY4731" i="3" l="1"/>
  <c r="BX4730" i="3"/>
  <c r="BX4731" i="3" l="1"/>
  <c r="BY4732" i="3"/>
  <c r="BY4733" i="3" l="1"/>
  <c r="BX4732" i="3"/>
  <c r="BY4734" i="3" l="1"/>
  <c r="BX4733" i="3"/>
  <c r="BX4734" i="3" l="1"/>
  <c r="BY4735" i="3"/>
  <c r="BX4735" i="3" l="1"/>
  <c r="BY4736" i="3"/>
  <c r="BY4737" i="3" l="1"/>
  <c r="BX4736" i="3"/>
  <c r="BX4737" i="3" l="1"/>
  <c r="BY4738" i="3"/>
  <c r="BY4739" i="3" l="1"/>
  <c r="BX4738" i="3"/>
  <c r="BY4740" i="3" l="1"/>
  <c r="BX4739" i="3"/>
  <c r="BX4740" i="3" l="1"/>
  <c r="BY4741" i="3"/>
  <c r="BY4742" i="3" l="1"/>
  <c r="BX4741" i="3"/>
  <c r="BX4742" i="3" l="1"/>
  <c r="BY4743" i="3"/>
  <c r="BX4743" i="3" l="1"/>
  <c r="BY4744" i="3"/>
  <c r="BY4745" i="3" l="1"/>
  <c r="BX4744" i="3"/>
  <c r="BY4746" i="3" l="1"/>
  <c r="BX4745" i="3"/>
  <c r="BX4746" i="3" l="1"/>
  <c r="BY4747" i="3"/>
  <c r="BY4748" i="3" l="1"/>
  <c r="BX4747" i="3"/>
  <c r="BY4749" i="3" l="1"/>
  <c r="BX4748" i="3"/>
  <c r="BX4749" i="3" l="1"/>
  <c r="BY4750" i="3"/>
  <c r="BX4750" i="3" l="1"/>
  <c r="BY4751" i="3"/>
  <c r="BY4752" i="3" l="1"/>
  <c r="BX4751" i="3"/>
  <c r="BX4752" i="3" l="1"/>
  <c r="BY4753" i="3"/>
  <c r="BY4754" i="3" l="1"/>
  <c r="BX4753" i="3"/>
  <c r="BY4755" i="3" l="1"/>
  <c r="BX4754" i="3"/>
  <c r="BX4755" i="3" l="1"/>
  <c r="BY4756" i="3"/>
  <c r="BX4756" i="3" l="1"/>
  <c r="BY4757" i="3"/>
  <c r="BX4757" i="3" l="1"/>
  <c r="BY4758" i="3"/>
  <c r="BX4758" i="3" l="1"/>
  <c r="BY4759" i="3"/>
  <c r="BY4760" i="3" l="1"/>
  <c r="BX4759" i="3"/>
  <c r="BY4761" i="3" l="1"/>
  <c r="BX4760" i="3"/>
  <c r="BX4761" i="3" l="1"/>
  <c r="BY4762" i="3"/>
  <c r="BY4763" i="3" l="1"/>
  <c r="BX4762" i="3"/>
  <c r="BY4764" i="3" l="1"/>
  <c r="BX4763" i="3"/>
  <c r="BX4764" i="3" l="1"/>
  <c r="BY4765" i="3"/>
  <c r="BY4766" i="3" l="1"/>
  <c r="BX4765" i="3"/>
  <c r="BY4767" i="3" l="1"/>
  <c r="BX4766" i="3"/>
  <c r="BX4767" i="3" l="1"/>
  <c r="BY4768" i="3"/>
  <c r="BY4769" i="3" l="1"/>
  <c r="BX4768" i="3"/>
  <c r="BY4770" i="3" l="1"/>
  <c r="BX4769" i="3"/>
  <c r="BX4770" i="3" l="1"/>
  <c r="BY4771" i="3"/>
  <c r="BX4771" i="3" l="1"/>
  <c r="BY4772" i="3"/>
  <c r="BY4773" i="3" l="1"/>
  <c r="BX4772" i="3"/>
  <c r="BX4773" i="3" l="1"/>
  <c r="BY4774" i="3"/>
  <c r="BY4775" i="3" l="1"/>
  <c r="BX4774" i="3"/>
  <c r="BY4776" i="3" l="1"/>
  <c r="BX4775" i="3"/>
  <c r="BX4776" i="3" l="1"/>
  <c r="BY4777" i="3"/>
  <c r="BY4778" i="3" l="1"/>
  <c r="BX4777" i="3"/>
  <c r="BX4778" i="3" l="1"/>
  <c r="BY4779" i="3"/>
  <c r="BX4779" i="3" l="1"/>
  <c r="BY4780" i="3"/>
  <c r="BY4781" i="3" l="1"/>
  <c r="BX4780" i="3"/>
  <c r="BY4782" i="3" l="1"/>
  <c r="BX4781" i="3"/>
  <c r="BX4782" i="3" l="1"/>
  <c r="BY4783" i="3"/>
  <c r="BY4784" i="3" l="1"/>
  <c r="BX4783" i="3"/>
  <c r="BY4785" i="3" l="1"/>
  <c r="BX4784" i="3"/>
  <c r="BX4785" i="3" l="1"/>
  <c r="BY4786" i="3"/>
  <c r="BX4786" i="3" l="1"/>
  <c r="BY4787" i="3"/>
  <c r="BY4788" i="3" l="1"/>
  <c r="BX4787" i="3"/>
  <c r="BX4788" i="3" l="1"/>
  <c r="BY4789" i="3"/>
  <c r="BY4790" i="3" l="1"/>
  <c r="BX4789" i="3"/>
  <c r="BY4791" i="3" l="1"/>
  <c r="BX4790" i="3"/>
  <c r="BX4791" i="3" l="1"/>
  <c r="BY4792" i="3"/>
  <c r="BX4792" i="3" l="1"/>
  <c r="BY4793" i="3"/>
  <c r="BX4793" i="3" l="1"/>
  <c r="BY4794" i="3"/>
  <c r="BX4794" i="3" l="1"/>
  <c r="BY4795" i="3"/>
  <c r="BY4796" i="3" l="1"/>
  <c r="BX4795" i="3"/>
  <c r="BY4797" i="3" l="1"/>
  <c r="BX4796" i="3"/>
  <c r="BX4797" i="3" l="1"/>
  <c r="BY4798" i="3"/>
  <c r="BY4799" i="3" l="1"/>
  <c r="BX4798" i="3"/>
  <c r="BY4800" i="3" l="1"/>
  <c r="BX4799" i="3"/>
  <c r="BX4800" i="3" l="1"/>
  <c r="BY4801" i="3"/>
  <c r="BY4802" i="3" l="1"/>
  <c r="BX4801" i="3"/>
  <c r="BY4803" i="3" l="1"/>
  <c r="BX4802" i="3"/>
  <c r="BX4803" i="3" l="1"/>
  <c r="BY4804" i="3"/>
  <c r="BY4805" i="3" l="1"/>
  <c r="BX4804" i="3"/>
  <c r="BY4806" i="3" l="1"/>
  <c r="BX4805" i="3"/>
  <c r="BX4806" i="3" l="1"/>
  <c r="BY4807" i="3"/>
  <c r="BX4807" i="3" l="1"/>
  <c r="BY4808" i="3"/>
  <c r="BY4809" i="3" l="1"/>
  <c r="BX4808" i="3"/>
  <c r="BX4809" i="3" l="1"/>
  <c r="BY4810" i="3"/>
  <c r="BY4811" i="3" l="1"/>
  <c r="BX4810" i="3"/>
  <c r="BY4812" i="3" l="1"/>
  <c r="BX4811" i="3"/>
  <c r="BX4812" i="3" l="1"/>
  <c r="BY4813" i="3"/>
  <c r="BY4814" i="3" l="1"/>
  <c r="BX4813" i="3"/>
  <c r="BX4814" i="3" l="1"/>
  <c r="BY4815" i="3"/>
  <c r="BX4815" i="3" l="1"/>
  <c r="BY4816" i="3"/>
  <c r="BY4817" i="3" l="1"/>
  <c r="BX4816" i="3"/>
  <c r="BY4818" i="3" l="1"/>
  <c r="BX4817" i="3"/>
  <c r="BX4818" i="3" l="1"/>
  <c r="BY4819" i="3"/>
  <c r="BY4820" i="3" l="1"/>
  <c r="BX4819" i="3"/>
  <c r="BY4821" i="3" l="1"/>
  <c r="BX4820" i="3"/>
  <c r="BX4821" i="3" l="1"/>
  <c r="BY4822" i="3"/>
  <c r="BX4822" i="3" l="1"/>
  <c r="BY4823" i="3"/>
  <c r="BY4824" i="3" l="1"/>
  <c r="BX4823" i="3"/>
  <c r="BX4824" i="3" l="1"/>
  <c r="BY4825" i="3"/>
  <c r="BY4826" i="3" l="1"/>
  <c r="BX4825" i="3"/>
  <c r="BY4827" i="3" l="1"/>
  <c r="BX4826" i="3"/>
  <c r="BX4827" i="3" l="1"/>
  <c r="BY4828" i="3"/>
  <c r="BY4829" i="3" l="1"/>
  <c r="BX4828" i="3"/>
  <c r="BY4830" i="3" l="1"/>
  <c r="BX4829" i="3"/>
  <c r="BX4830" i="3" l="1"/>
  <c r="BY4831" i="3"/>
  <c r="BY4832" i="3" l="1"/>
  <c r="BX4831" i="3"/>
  <c r="BY4833" i="3" l="1"/>
  <c r="BX4832" i="3"/>
  <c r="BX4833" i="3" l="1"/>
  <c r="BY4834" i="3"/>
  <c r="BY4835" i="3" l="1"/>
  <c r="BX4834" i="3"/>
  <c r="BY4836" i="3" l="1"/>
  <c r="BX4835" i="3"/>
  <c r="BX4836" i="3" l="1"/>
  <c r="BY4837" i="3"/>
  <c r="BY4838" i="3" l="1"/>
  <c r="BX4837" i="3"/>
  <c r="BY4839" i="3" l="1"/>
  <c r="BX4838" i="3"/>
  <c r="BX4839" i="3" l="1"/>
  <c r="BY4840" i="3"/>
  <c r="BY4841" i="3" l="1"/>
  <c r="BX4840" i="3"/>
  <c r="BY4842" i="3" l="1"/>
  <c r="BX4841" i="3"/>
  <c r="BX4842" i="3" l="1"/>
  <c r="BY4843" i="3"/>
  <c r="BY4844" i="3" l="1"/>
  <c r="BX4843" i="3"/>
  <c r="BY4845" i="3" l="1"/>
  <c r="BX4844" i="3"/>
  <c r="BX4845" i="3" l="1"/>
  <c r="BY4846" i="3"/>
  <c r="BY4847" i="3" l="1"/>
  <c r="BX4846" i="3"/>
  <c r="BY4848" i="3" l="1"/>
  <c r="BX4847" i="3"/>
  <c r="BX4848" i="3" l="1"/>
  <c r="BY4849" i="3"/>
  <c r="BY4850" i="3" l="1"/>
  <c r="BX4849" i="3"/>
  <c r="BY4851" i="3" l="1"/>
  <c r="BX4850" i="3"/>
  <c r="BX4851" i="3" l="1"/>
  <c r="BY4852" i="3"/>
  <c r="BY4853" i="3" l="1"/>
  <c r="BX4852" i="3"/>
  <c r="BY4854" i="3" l="1"/>
  <c r="BX4853" i="3"/>
  <c r="BX4854" i="3" l="1"/>
  <c r="BY4855" i="3"/>
  <c r="BY4856" i="3" l="1"/>
  <c r="BX4855" i="3"/>
  <c r="BY4857" i="3" l="1"/>
  <c r="BX4856" i="3"/>
  <c r="BX4857" i="3" l="1"/>
  <c r="BY4858" i="3"/>
  <c r="BY4859" i="3" l="1"/>
  <c r="BX4858" i="3"/>
  <c r="BY4860" i="3" l="1"/>
  <c r="BX4859" i="3"/>
  <c r="BX4860" i="3" l="1"/>
  <c r="BY4861" i="3"/>
  <c r="BY4862" i="3" l="1"/>
  <c r="BX4861" i="3"/>
  <c r="BY4863" i="3" l="1"/>
  <c r="BX4862" i="3"/>
  <c r="BX4863" i="3" l="1"/>
  <c r="BY4864" i="3"/>
  <c r="BY4865" i="3" l="1"/>
  <c r="BX4864" i="3"/>
  <c r="BY4866" i="3" l="1"/>
  <c r="BX4865" i="3"/>
  <c r="BX4866" i="3" l="1"/>
  <c r="BY4867" i="3"/>
  <c r="BY4868" i="3" l="1"/>
  <c r="BX4867" i="3"/>
  <c r="BY4869" i="3" l="1"/>
  <c r="BX4868" i="3"/>
  <c r="BX4869" i="3" l="1"/>
  <c r="BY4870" i="3"/>
  <c r="BY4871" i="3" l="1"/>
  <c r="BX4870" i="3"/>
  <c r="BY4872" i="3" l="1"/>
  <c r="BX4871" i="3"/>
  <c r="BX4872" i="3" l="1"/>
  <c r="BY4873" i="3"/>
  <c r="BY4874" i="3" l="1"/>
  <c r="BX4873" i="3"/>
  <c r="BY4875" i="3" l="1"/>
  <c r="BX4874" i="3"/>
  <c r="BX4875" i="3" l="1"/>
  <c r="BY4876" i="3"/>
  <c r="BY4877" i="3" l="1"/>
  <c r="BX4876" i="3"/>
  <c r="BY4878" i="3" l="1"/>
  <c r="BX4877" i="3"/>
  <c r="BX4878" i="3" l="1"/>
  <c r="BY4879" i="3"/>
  <c r="BY4880" i="3" l="1"/>
  <c r="BX4879" i="3"/>
  <c r="BY4881" i="3" l="1"/>
  <c r="BX4880" i="3"/>
  <c r="BX4881" i="3" l="1"/>
  <c r="BY4882" i="3"/>
  <c r="BY4883" i="3" l="1"/>
  <c r="BX4882" i="3"/>
  <c r="BY4884" i="3" l="1"/>
  <c r="BX4883" i="3"/>
  <c r="BX4884" i="3" l="1"/>
  <c r="BY4885" i="3"/>
  <c r="BY4886" i="3" l="1"/>
  <c r="BX4885" i="3"/>
  <c r="BY4887" i="3" l="1"/>
  <c r="BX4886" i="3"/>
  <c r="BX4887" i="3" l="1"/>
  <c r="BY4888" i="3"/>
  <c r="BY4889" i="3" l="1"/>
  <c r="BX4888" i="3"/>
  <c r="BY4890" i="3" l="1"/>
  <c r="BX4889" i="3"/>
  <c r="BX4890" i="3" l="1"/>
  <c r="BY4891" i="3"/>
  <c r="BY4892" i="3" l="1"/>
  <c r="BX4891" i="3"/>
  <c r="BY4893" i="3" l="1"/>
  <c r="BX4892" i="3"/>
  <c r="BX4893" i="3" l="1"/>
  <c r="BY4894" i="3"/>
  <c r="BY4895" i="3" l="1"/>
  <c r="BX4894" i="3"/>
  <c r="BY4896" i="3" l="1"/>
  <c r="BX4895" i="3"/>
  <c r="BX4896" i="3" l="1"/>
  <c r="BY4897" i="3"/>
  <c r="BY4898" i="3" l="1"/>
  <c r="BX4897" i="3"/>
  <c r="BY4899" i="3" l="1"/>
  <c r="BX4898" i="3"/>
  <c r="BX4899" i="3" l="1"/>
  <c r="BY4900" i="3"/>
  <c r="BY4901" i="3" l="1"/>
  <c r="BX4900" i="3"/>
  <c r="BY4902" i="3" l="1"/>
  <c r="BX4901" i="3"/>
  <c r="BX4902" i="3" l="1"/>
  <c r="BY4903" i="3"/>
  <c r="BY4904" i="3" l="1"/>
  <c r="BX4903" i="3"/>
  <c r="BY4905" i="3" l="1"/>
  <c r="BX4904" i="3"/>
  <c r="BX4905" i="3" l="1"/>
  <c r="BY4906" i="3"/>
  <c r="BY4907" i="3" l="1"/>
  <c r="BX4906" i="3"/>
  <c r="BY4908" i="3" l="1"/>
  <c r="BX4907" i="3"/>
  <c r="BX4908" i="3" l="1"/>
  <c r="BY4909" i="3"/>
  <c r="BY4910" i="3" l="1"/>
  <c r="BX4909" i="3"/>
  <c r="BY4911" i="3" l="1"/>
  <c r="BX4910" i="3"/>
  <c r="BX4911" i="3" l="1"/>
  <c r="BY4912" i="3"/>
  <c r="BY4913" i="3" l="1"/>
  <c r="BX4912" i="3"/>
  <c r="BY4914" i="3" l="1"/>
  <c r="BX4913" i="3"/>
  <c r="BX4914" i="3" l="1"/>
  <c r="BY4915" i="3"/>
  <c r="BY4916" i="3" l="1"/>
  <c r="BX4915" i="3"/>
  <c r="BY4917" i="3" l="1"/>
  <c r="BX4916" i="3"/>
  <c r="BX4917" i="3" l="1"/>
  <c r="BY4918" i="3"/>
  <c r="BY4919" i="3" l="1"/>
  <c r="BX4918" i="3"/>
  <c r="BY4920" i="3" l="1"/>
  <c r="BX4919" i="3"/>
  <c r="BX4920" i="3" l="1"/>
  <c r="BY4921" i="3"/>
  <c r="BY4922" i="3" l="1"/>
  <c r="BX4921" i="3"/>
  <c r="BY4923" i="3" l="1"/>
  <c r="BX4922" i="3"/>
  <c r="BX4923" i="3" l="1"/>
  <c r="BY4924" i="3"/>
  <c r="BY4925" i="3" l="1"/>
  <c r="BX4924" i="3"/>
  <c r="BY4926" i="3" l="1"/>
  <c r="BX4925" i="3"/>
  <c r="BX4926" i="3" l="1"/>
  <c r="BY4927" i="3"/>
  <c r="BY4928" i="3" l="1"/>
  <c r="BX4927" i="3"/>
  <c r="BY4929" i="3" l="1"/>
  <c r="BX4928" i="3"/>
  <c r="BX4929" i="3" l="1"/>
  <c r="BY4930" i="3"/>
  <c r="BY4931" i="3" l="1"/>
  <c r="BX4930" i="3"/>
  <c r="BY4932" i="3" l="1"/>
  <c r="BX4931" i="3"/>
  <c r="BX4932" i="3" l="1"/>
  <c r="BY4933" i="3"/>
  <c r="BY4934" i="3" l="1"/>
  <c r="BX4933" i="3"/>
  <c r="BY4935" i="3" l="1"/>
  <c r="BX4934" i="3"/>
  <c r="BX4935" i="3" l="1"/>
  <c r="BY4936" i="3"/>
  <c r="BY4937" i="3" l="1"/>
  <c r="BX4936" i="3"/>
  <c r="BY4938" i="3" l="1"/>
  <c r="BX4937" i="3"/>
  <c r="BX4938" i="3" l="1"/>
  <c r="BY4939" i="3"/>
  <c r="BY4940" i="3" l="1"/>
  <c r="BX4939" i="3"/>
  <c r="BY4941" i="3" l="1"/>
  <c r="BX4940" i="3"/>
  <c r="BX4941" i="3" l="1"/>
  <c r="BY4942" i="3"/>
  <c r="BY4943" i="3" l="1"/>
  <c r="BX4942" i="3"/>
  <c r="BY4944" i="3" l="1"/>
  <c r="BX4943" i="3"/>
  <c r="BX4944" i="3" l="1"/>
  <c r="BY4945" i="3"/>
  <c r="BY4946" i="3" l="1"/>
  <c r="BX4945" i="3"/>
  <c r="BY4947" i="3" l="1"/>
  <c r="BX4946" i="3"/>
  <c r="BX4947" i="3" l="1"/>
  <c r="BY4948" i="3"/>
  <c r="BY4949" i="3" l="1"/>
  <c r="BX4948" i="3"/>
  <c r="BY4950" i="3" l="1"/>
  <c r="BX4949" i="3"/>
  <c r="BX4950" i="3" l="1"/>
  <c r="BY4951" i="3"/>
  <c r="BY4952" i="3" l="1"/>
  <c r="BX4951" i="3"/>
  <c r="BY4953" i="3" l="1"/>
  <c r="BX4952" i="3"/>
  <c r="BX4953" i="3" l="1"/>
  <c r="BY4954" i="3"/>
  <c r="BY4955" i="3" l="1"/>
  <c r="BX4954" i="3"/>
  <c r="BY4956" i="3" l="1"/>
  <c r="BX4955" i="3"/>
  <c r="BX4956" i="3" l="1"/>
  <c r="BY4957" i="3"/>
  <c r="BY4958" i="3" l="1"/>
  <c r="BX4957" i="3"/>
  <c r="BY4959" i="3" l="1"/>
  <c r="BX4958" i="3"/>
  <c r="BX4959" i="3" l="1"/>
  <c r="BY4960" i="3"/>
  <c r="BY4961" i="3" l="1"/>
  <c r="BX4960" i="3"/>
  <c r="BY4962" i="3" l="1"/>
  <c r="BX4961" i="3"/>
  <c r="BX4962" i="3" l="1"/>
  <c r="BY4963" i="3"/>
  <c r="BY4964" i="3" l="1"/>
  <c r="BX4963" i="3"/>
  <c r="BY4965" i="3" l="1"/>
  <c r="BX4964" i="3"/>
  <c r="BX4965" i="3" l="1"/>
  <c r="BY4966" i="3"/>
  <c r="BY4967" i="3" l="1"/>
  <c r="BX4966" i="3"/>
  <c r="BY4968" i="3" l="1"/>
  <c r="BX4967" i="3"/>
  <c r="BX4968" i="3" l="1"/>
  <c r="BY4969" i="3"/>
  <c r="BY4970" i="3" l="1"/>
  <c r="BX4969" i="3"/>
  <c r="BY4971" i="3" l="1"/>
  <c r="BX4970" i="3"/>
  <c r="BX4971" i="3" l="1"/>
  <c r="BY4972" i="3"/>
  <c r="BY4973" i="3" l="1"/>
  <c r="BX4972" i="3"/>
  <c r="BY4974" i="3" l="1"/>
  <c r="BX4973" i="3"/>
  <c r="BX4974" i="3" l="1"/>
  <c r="BY4975" i="3"/>
  <c r="BY4976" i="3" l="1"/>
  <c r="BX4975" i="3"/>
  <c r="BY4977" i="3" l="1"/>
  <c r="BX4976" i="3"/>
  <c r="BX4977" i="3" l="1"/>
  <c r="BY4978" i="3"/>
  <c r="BY4979" i="3" l="1"/>
  <c r="BX4978" i="3"/>
  <c r="BY4980" i="3" l="1"/>
  <c r="BX4979" i="3"/>
  <c r="BX4980" i="3" l="1"/>
  <c r="BY4981" i="3"/>
  <c r="BY4982" i="3" l="1"/>
  <c r="BX4981" i="3"/>
  <c r="BY4983" i="3" l="1"/>
  <c r="BX4982" i="3"/>
  <c r="BX4983" i="3" l="1"/>
  <c r="BY4984" i="3"/>
  <c r="BY4985" i="3" l="1"/>
  <c r="BX4984" i="3"/>
  <c r="BY4986" i="3" l="1"/>
  <c r="BX4985" i="3"/>
  <c r="BX4986" i="3" l="1"/>
  <c r="BY4987" i="3"/>
  <c r="BY4988" i="3" l="1"/>
  <c r="BX4987" i="3"/>
  <c r="BY4989" i="3" l="1"/>
  <c r="BX4988" i="3"/>
  <c r="BX4989" i="3" l="1"/>
  <c r="BY4990" i="3"/>
  <c r="BY4991" i="3" l="1"/>
  <c r="BX4990" i="3"/>
  <c r="BY4992" i="3" l="1"/>
  <c r="BX4991" i="3"/>
  <c r="BX4992" i="3" l="1"/>
  <c r="BY4993" i="3"/>
  <c r="BY4994" i="3" l="1"/>
  <c r="BX4993" i="3"/>
  <c r="BY4995" i="3" l="1"/>
  <c r="BX4994" i="3"/>
  <c r="BX4995" i="3" l="1"/>
  <c r="BY4996" i="3"/>
  <c r="BY4997" i="3" l="1"/>
  <c r="BX4996" i="3"/>
  <c r="BY4998" i="3" l="1"/>
  <c r="BX4997" i="3"/>
  <c r="BX4998" i="3" l="1"/>
  <c r="BY4999" i="3"/>
  <c r="BY5000" i="3" l="1"/>
  <c r="BX4999" i="3"/>
  <c r="BY5001" i="3" l="1"/>
  <c r="BX5000" i="3"/>
  <c r="BX5001" i="3" l="1"/>
  <c r="BY5002" i="3"/>
  <c r="BY5003" i="3" l="1"/>
  <c r="BX5002" i="3"/>
  <c r="BY5004" i="3" l="1"/>
  <c r="BX5003" i="3"/>
  <c r="BX5004" i="3" l="1"/>
  <c r="BY5005" i="3"/>
  <c r="BY5006" i="3" l="1"/>
  <c r="BX5005" i="3"/>
  <c r="BY5007" i="3" l="1"/>
  <c r="BX5006" i="3"/>
  <c r="BX5007" i="3" l="1"/>
  <c r="BY5008" i="3"/>
  <c r="BY5009" i="3" l="1"/>
  <c r="BX5008" i="3"/>
  <c r="BY5010" i="3" l="1"/>
  <c r="BX5009" i="3"/>
  <c r="BX5010" i="3" l="1"/>
  <c r="BY5011" i="3"/>
  <c r="BY5012" i="3" l="1"/>
  <c r="BX5011" i="3"/>
  <c r="BY5013" i="3" l="1"/>
  <c r="BX5012" i="3"/>
  <c r="BX5013" i="3" l="1"/>
  <c r="BY5014" i="3"/>
  <c r="BY5015" i="3" l="1"/>
  <c r="BX5014" i="3"/>
  <c r="BY5016" i="3" l="1"/>
  <c r="BX5015" i="3"/>
  <c r="BX5016" i="3" l="1"/>
  <c r="BY5017" i="3"/>
  <c r="BY5018" i="3" l="1"/>
  <c r="BX5017" i="3"/>
  <c r="BY5019" i="3" l="1"/>
  <c r="BX5018" i="3"/>
  <c r="BX5019" i="3" l="1"/>
  <c r="BY5020" i="3"/>
  <c r="BY5021" i="3" l="1"/>
  <c r="BX5020" i="3"/>
  <c r="BY5022" i="3" l="1"/>
  <c r="BX5021" i="3"/>
  <c r="BX5022" i="3" l="1"/>
  <c r="BY5023" i="3"/>
  <c r="BY5024" i="3" l="1"/>
  <c r="BX5023" i="3"/>
  <c r="BY5025" i="3" l="1"/>
  <c r="BX5024" i="3"/>
  <c r="BX5025" i="3" l="1"/>
  <c r="BY5026" i="3"/>
  <c r="BY5027" i="3" l="1"/>
  <c r="BX5026" i="3"/>
  <c r="BY5028" i="3" l="1"/>
  <c r="BX5027" i="3"/>
  <c r="BX5028" i="3" l="1"/>
  <c r="BY5029" i="3"/>
  <c r="BY5030" i="3" l="1"/>
  <c r="BX5029" i="3"/>
  <c r="BY5031" i="3" l="1"/>
  <c r="BX5030" i="3"/>
  <c r="BX5031" i="3" l="1"/>
  <c r="BY5032" i="3"/>
  <c r="BY5033" i="3" l="1"/>
  <c r="BX5032" i="3"/>
  <c r="BY5034" i="3" l="1"/>
  <c r="BX5033" i="3"/>
  <c r="BX5034" i="3" l="1"/>
  <c r="BY5035" i="3"/>
  <c r="BY5036" i="3" l="1"/>
  <c r="BX5035" i="3"/>
  <c r="BY5037" i="3" l="1"/>
  <c r="BX5036" i="3"/>
  <c r="BX5037" i="3" l="1"/>
  <c r="BY5038" i="3"/>
  <c r="BY5039" i="3" l="1"/>
  <c r="BX5038" i="3"/>
  <c r="BY5040" i="3" l="1"/>
  <c r="BX5039" i="3"/>
  <c r="BX5040" i="3" l="1"/>
  <c r="BY5041" i="3"/>
  <c r="BY5042" i="3" l="1"/>
  <c r="BX5041" i="3"/>
  <c r="BY5043" i="3" l="1"/>
  <c r="BX5042" i="3"/>
  <c r="BX5043" i="3" l="1"/>
  <c r="BY5044" i="3"/>
  <c r="BY5045" i="3" l="1"/>
  <c r="BX5044" i="3"/>
  <c r="BY5046" i="3" l="1"/>
  <c r="BX5045" i="3"/>
  <c r="BX5046" i="3" l="1"/>
  <c r="BY5047" i="3"/>
  <c r="BY5048" i="3" l="1"/>
  <c r="BX5047" i="3"/>
  <c r="BY5049" i="3" l="1"/>
  <c r="BX5048" i="3"/>
  <c r="BX5049" i="3" l="1"/>
  <c r="BY5050" i="3"/>
  <c r="BY5051" i="3" l="1"/>
  <c r="BX5050" i="3"/>
  <c r="BY5052" i="3" l="1"/>
  <c r="BX5051" i="3"/>
  <c r="BX5052" i="3" l="1"/>
  <c r="BY5053" i="3"/>
  <c r="BY5054" i="3" l="1"/>
  <c r="BX5053" i="3"/>
  <c r="BY5055" i="3" l="1"/>
  <c r="BX5054" i="3"/>
  <c r="BX5055" i="3" l="1"/>
  <c r="BY5056" i="3"/>
  <c r="BY5057" i="3" l="1"/>
  <c r="BX5056" i="3"/>
  <c r="BY5058" i="3" l="1"/>
  <c r="BX5057" i="3"/>
  <c r="BX5058" i="3" l="1"/>
  <c r="BY5059" i="3"/>
  <c r="BY5060" i="3" l="1"/>
  <c r="BX5059" i="3"/>
  <c r="BY5061" i="3" l="1"/>
  <c r="BX5060" i="3"/>
  <c r="BX5061" i="3" l="1"/>
  <c r="BY5062" i="3"/>
  <c r="BY5063" i="3" l="1"/>
  <c r="BX5062" i="3"/>
  <c r="BY5064" i="3" l="1"/>
  <c r="BX5063" i="3"/>
  <c r="BX5064" i="3" l="1"/>
  <c r="BY5065" i="3"/>
  <c r="BY5066" i="3" l="1"/>
  <c r="BX5065" i="3"/>
  <c r="BY5067" i="3" l="1"/>
  <c r="BX5066" i="3"/>
  <c r="BX5067" i="3" l="1"/>
  <c r="BY5068" i="3"/>
  <c r="BY5069" i="3" l="1"/>
  <c r="BX5068" i="3"/>
  <c r="BY5070" i="3" l="1"/>
  <c r="BX5069" i="3"/>
  <c r="BX5070" i="3" l="1"/>
  <c r="BY5071" i="3"/>
  <c r="BY5072" i="3" l="1"/>
  <c r="BX5071" i="3"/>
  <c r="BY5073" i="3" l="1"/>
  <c r="BX5072" i="3"/>
  <c r="BX5073" i="3" l="1"/>
  <c r="BY5074" i="3"/>
  <c r="BY5075" i="3" l="1"/>
  <c r="BX5074" i="3"/>
  <c r="BX5075" i="3" l="1"/>
  <c r="BY5076" i="3"/>
  <c r="BX5076" i="3" l="1"/>
  <c r="BY5077" i="3"/>
  <c r="BY5078" i="3" l="1"/>
  <c r="BX5077" i="3"/>
  <c r="BY5079" i="3" l="1"/>
  <c r="BX5078" i="3"/>
  <c r="BX5079" i="3" l="1"/>
  <c r="BY5080" i="3"/>
  <c r="BY5081" i="3" l="1"/>
  <c r="BX5080" i="3"/>
  <c r="BY5082" i="3" l="1"/>
  <c r="BX5081" i="3"/>
  <c r="BX5082" i="3" l="1"/>
  <c r="BY5083" i="3"/>
  <c r="BY5084" i="3" l="1"/>
  <c r="BX5083" i="3"/>
  <c r="BY5085" i="3" l="1"/>
  <c r="BX5084" i="3"/>
  <c r="BX5085" i="3" l="1"/>
  <c r="BY5086" i="3"/>
  <c r="BY5087" i="3" l="1"/>
  <c r="BX5086" i="3"/>
  <c r="BY5088" i="3" l="1"/>
  <c r="BX5087" i="3"/>
  <c r="BX5088" i="3" l="1"/>
  <c r="BY5089" i="3"/>
  <c r="BY5090" i="3" l="1"/>
  <c r="BX5089" i="3"/>
  <c r="BY5091" i="3" l="1"/>
  <c r="BX5090" i="3"/>
  <c r="BX5091" i="3" l="1"/>
  <c r="BY5092" i="3"/>
  <c r="BY5093" i="3" l="1"/>
  <c r="BX5092" i="3"/>
  <c r="BY5094" i="3" l="1"/>
  <c r="BX5093" i="3"/>
  <c r="BX5094" i="3" l="1"/>
  <c r="BY5095" i="3"/>
  <c r="BY5096" i="3" l="1"/>
  <c r="BX5095" i="3"/>
  <c r="BY5097" i="3" l="1"/>
  <c r="BX5096" i="3"/>
  <c r="BY5098" i="3" l="1"/>
  <c r="BX5097" i="3"/>
  <c r="BY5099" i="3" l="1"/>
  <c r="BX5098" i="3"/>
  <c r="BY5100" i="3" l="1"/>
  <c r="BX5099" i="3"/>
  <c r="BX5100" i="3" l="1"/>
  <c r="BY5101" i="3"/>
  <c r="BY5102" i="3" l="1"/>
  <c r="BX5101" i="3"/>
  <c r="BY5103" i="3" l="1"/>
  <c r="BX5102" i="3"/>
  <c r="BY5104" i="3" l="1"/>
  <c r="BX5103" i="3"/>
  <c r="BY5105" i="3" l="1"/>
  <c r="BX5104" i="3"/>
  <c r="BY5106" i="3" l="1"/>
  <c r="BX5105" i="3"/>
  <c r="BX5106" i="3" l="1"/>
  <c r="BY5107" i="3"/>
  <c r="BY5108" i="3" l="1"/>
  <c r="BX5107" i="3"/>
  <c r="BY5109" i="3" l="1"/>
  <c r="BX5108" i="3"/>
  <c r="BY5110" i="3" l="1"/>
  <c r="BX5109" i="3"/>
  <c r="BY5111" i="3" l="1"/>
  <c r="BX5110" i="3"/>
  <c r="BY5112" i="3" l="1"/>
  <c r="BX5111" i="3"/>
  <c r="BX5112" i="3" l="1"/>
  <c r="BY5113" i="3"/>
  <c r="BY5114" i="3" l="1"/>
  <c r="BX5113" i="3"/>
  <c r="BY5115" i="3" l="1"/>
  <c r="BX5114" i="3"/>
  <c r="BY5116" i="3" l="1"/>
  <c r="BX5115" i="3"/>
  <c r="BY5117" i="3" l="1"/>
  <c r="BX5116" i="3"/>
  <c r="BY5118" i="3" l="1"/>
  <c r="BX5117" i="3"/>
  <c r="BX5118" i="3" l="1"/>
  <c r="BY5119" i="3"/>
  <c r="BY5120" i="3" l="1"/>
  <c r="BX5119" i="3"/>
  <c r="BY5121" i="3" l="1"/>
  <c r="BX5120" i="3"/>
  <c r="BY5122" i="3" l="1"/>
  <c r="BX5121" i="3"/>
  <c r="BY5123" i="3" l="1"/>
  <c r="BX5122" i="3"/>
  <c r="BY5124" i="3" l="1"/>
  <c r="BX5123" i="3"/>
  <c r="BX5124" i="3" l="1"/>
  <c r="BY5125" i="3"/>
  <c r="BY5126" i="3" l="1"/>
  <c r="BX5125" i="3"/>
  <c r="BY5127" i="3" l="1"/>
  <c r="BX5126" i="3"/>
  <c r="BY5128" i="3" l="1"/>
  <c r="BX5127" i="3"/>
  <c r="BY5129" i="3" l="1"/>
  <c r="BX5128" i="3"/>
  <c r="BY5130" i="3" l="1"/>
  <c r="BX5129" i="3"/>
  <c r="BX5130" i="3" l="1"/>
  <c r="BY5131" i="3"/>
  <c r="BY5132" i="3" l="1"/>
  <c r="BX5131" i="3"/>
  <c r="BY5133" i="3" l="1"/>
  <c r="BX5132" i="3"/>
  <c r="BY5134" i="3" l="1"/>
  <c r="BX5133" i="3"/>
  <c r="BY5135" i="3" l="1"/>
  <c r="BX5134" i="3"/>
  <c r="BY5136" i="3" l="1"/>
  <c r="BX5135" i="3"/>
  <c r="BX5136" i="3" l="1"/>
  <c r="BY5137" i="3"/>
  <c r="BY5138" i="3" l="1"/>
  <c r="BX5137" i="3"/>
  <c r="BY5139" i="3" l="1"/>
  <c r="BX5138" i="3"/>
  <c r="BY5140" i="3" l="1"/>
  <c r="BX5139" i="3"/>
  <c r="BY5141" i="3" l="1"/>
  <c r="BX5140" i="3"/>
  <c r="BY5142" i="3" l="1"/>
  <c r="BX5141" i="3"/>
  <c r="BX5142" i="3" l="1"/>
  <c r="BY5143" i="3"/>
  <c r="BY5144" i="3" l="1"/>
  <c r="BX5143" i="3"/>
  <c r="BY5145" i="3" l="1"/>
  <c r="BX5144" i="3"/>
  <c r="BY5146" i="3" l="1"/>
  <c r="BX5145" i="3"/>
  <c r="BY5147" i="3" l="1"/>
  <c r="BX5146" i="3"/>
  <c r="BY5148" i="3" l="1"/>
  <c r="BX5147" i="3"/>
  <c r="BX5148" i="3" l="1"/>
  <c r="BY5149" i="3"/>
  <c r="BY5150" i="3" l="1"/>
  <c r="BX5149" i="3"/>
  <c r="BY5151" i="3" l="1"/>
  <c r="BX5150" i="3"/>
  <c r="BY5152" i="3" l="1"/>
  <c r="BX5151" i="3"/>
  <c r="BY5153" i="3" l="1"/>
  <c r="BX5152" i="3"/>
  <c r="BY5154" i="3" l="1"/>
  <c r="BX5153" i="3"/>
  <c r="BX5154" i="3" l="1"/>
  <c r="BY5155" i="3"/>
  <c r="BY5156" i="3" l="1"/>
  <c r="BX5155" i="3"/>
  <c r="BY5157" i="3" l="1"/>
  <c r="BX5156" i="3"/>
  <c r="BY5158" i="3" l="1"/>
  <c r="BX5157" i="3"/>
  <c r="BY5159" i="3" l="1"/>
  <c r="BX5158" i="3"/>
  <c r="BX5159" i="3" l="1"/>
  <c r="BY5160" i="3"/>
  <c r="BX5160" i="3" l="1"/>
  <c r="BY5161" i="3"/>
  <c r="BY5162" i="3" l="1"/>
  <c r="BX5161" i="3"/>
  <c r="BY5163" i="3" l="1"/>
  <c r="BX5162" i="3"/>
  <c r="BY5164" i="3" l="1"/>
  <c r="BX5163" i="3"/>
  <c r="BY5165" i="3" l="1"/>
  <c r="BX5164" i="3"/>
  <c r="BX5165" i="3" l="1"/>
  <c r="BY5166" i="3"/>
  <c r="BX5166" i="3" l="1"/>
  <c r="BY5167" i="3"/>
  <c r="BY5168" i="3" l="1"/>
  <c r="BX5167" i="3"/>
  <c r="BY5169" i="3" l="1"/>
  <c r="BX5168" i="3"/>
  <c r="BY5170" i="3" l="1"/>
  <c r="BX5169" i="3"/>
  <c r="BY5171" i="3" l="1"/>
  <c r="BX5170" i="3"/>
  <c r="BX5171" i="3" l="1"/>
  <c r="BY5172" i="3"/>
  <c r="BX5172" i="3" l="1"/>
  <c r="BY5173" i="3"/>
  <c r="BY5174" i="3" l="1"/>
  <c r="BX5173" i="3"/>
  <c r="BY5175" i="3" l="1"/>
  <c r="BX5174" i="3"/>
  <c r="BY5176" i="3" l="1"/>
  <c r="BX5175" i="3"/>
  <c r="BY5177" i="3" l="1"/>
  <c r="BX5176" i="3"/>
  <c r="BX5177" i="3" l="1"/>
  <c r="BY5178" i="3"/>
  <c r="BX5178" i="3" l="1"/>
  <c r="BY5179" i="3"/>
  <c r="BY5180" i="3" l="1"/>
  <c r="BX5179" i="3"/>
  <c r="BY5181" i="3" l="1"/>
  <c r="BX5180" i="3"/>
  <c r="BY5182" i="3" l="1"/>
  <c r="BX5181" i="3"/>
  <c r="BY5183" i="3" l="1"/>
  <c r="BX5182" i="3"/>
  <c r="BX5183" i="3" l="1"/>
  <c r="BY5184" i="3"/>
  <c r="BX5184" i="3" l="1"/>
  <c r="BY5185" i="3"/>
  <c r="BY5186" i="3" l="1"/>
  <c r="BX5185" i="3"/>
  <c r="BY5187" i="3" l="1"/>
  <c r="BX5186" i="3"/>
  <c r="BY5188" i="3" l="1"/>
  <c r="BX5187" i="3"/>
  <c r="BY5189" i="3" l="1"/>
  <c r="BX5188" i="3"/>
  <c r="BX5189" i="3" l="1"/>
  <c r="BY5190" i="3"/>
  <c r="BX5190" i="3" l="1"/>
  <c r="BY5191" i="3"/>
  <c r="BY5192" i="3" l="1"/>
  <c r="BX5191" i="3"/>
  <c r="BY5193" i="3" l="1"/>
  <c r="BX5192" i="3"/>
  <c r="BY5194" i="3" l="1"/>
  <c r="BX5193" i="3"/>
  <c r="BY5195" i="3" l="1"/>
  <c r="BX5194" i="3"/>
  <c r="BX5195" i="3" l="1"/>
  <c r="BY5196" i="3"/>
  <c r="BY5197" i="3" l="1"/>
  <c r="BX5196" i="3"/>
  <c r="BY5198" i="3" l="1"/>
  <c r="BX5197" i="3"/>
  <c r="BY5199" i="3" l="1"/>
  <c r="BX5198" i="3"/>
  <c r="BY5200" i="3" l="1"/>
  <c r="BX5199" i="3"/>
  <c r="BY5201" i="3" l="1"/>
  <c r="BX5200" i="3"/>
  <c r="BX5201" i="3" l="1"/>
  <c r="BY5202" i="3"/>
  <c r="BY5203" i="3" l="1"/>
  <c r="BX5202" i="3"/>
  <c r="BY5204" i="3" l="1"/>
  <c r="BX5203" i="3"/>
  <c r="BY5205" i="3" l="1"/>
  <c r="BX5204" i="3"/>
  <c r="BY5206" i="3" l="1"/>
  <c r="BX5205" i="3"/>
  <c r="BY5207" i="3" l="1"/>
  <c r="BX5206" i="3"/>
  <c r="BX5207" i="3" l="1"/>
  <c r="BY5208" i="3"/>
  <c r="BY5209" i="3" l="1"/>
  <c r="BX5208" i="3"/>
  <c r="BY5210" i="3" l="1"/>
  <c r="BX5209" i="3"/>
  <c r="BY5211" i="3" l="1"/>
  <c r="BX5210" i="3"/>
  <c r="BY5212" i="3" l="1"/>
  <c r="BX5211" i="3"/>
  <c r="BY5213" i="3" l="1"/>
  <c r="BX5212" i="3"/>
  <c r="BX5213" i="3" l="1"/>
  <c r="BY5214" i="3"/>
  <c r="BY5215" i="3" l="1"/>
  <c r="BX5214" i="3"/>
  <c r="BY5216" i="3" l="1"/>
  <c r="BX5215" i="3"/>
  <c r="BY5217" i="3" l="1"/>
  <c r="BX5216" i="3"/>
  <c r="BY5218" i="3" l="1"/>
  <c r="BX5217" i="3"/>
  <c r="BY5219" i="3" l="1"/>
  <c r="BX5218" i="3"/>
  <c r="BX5219" i="3" l="1"/>
  <c r="BY5220" i="3"/>
  <c r="BY5221" i="3" l="1"/>
  <c r="BX5220" i="3"/>
  <c r="BY5222" i="3" l="1"/>
  <c r="BX5221" i="3"/>
  <c r="BY5223" i="3" l="1"/>
  <c r="BX5222" i="3"/>
  <c r="BY5224" i="3" l="1"/>
  <c r="BX5223" i="3"/>
  <c r="BY5225" i="3" l="1"/>
  <c r="BX5224" i="3"/>
  <c r="BX5225" i="3" l="1"/>
  <c r="BY5226" i="3"/>
  <c r="BY5227" i="3" l="1"/>
  <c r="BX5226" i="3"/>
  <c r="BY5228" i="3" l="1"/>
  <c r="BX5227" i="3"/>
  <c r="BY5229" i="3" l="1"/>
  <c r="BX5228" i="3"/>
  <c r="BY5230" i="3" l="1"/>
  <c r="BX5229" i="3"/>
  <c r="BY5231" i="3" l="1"/>
  <c r="BX5230" i="3"/>
  <c r="BX5231" i="3" l="1"/>
  <c r="BY5232" i="3"/>
  <c r="BY5233" i="3" l="1"/>
  <c r="BX5232" i="3"/>
  <c r="BY5234" i="3" l="1"/>
  <c r="BX5233" i="3"/>
  <c r="BY5235" i="3" l="1"/>
  <c r="BX5234" i="3"/>
  <c r="BY5236" i="3" l="1"/>
  <c r="BX5235" i="3"/>
  <c r="BY5237" i="3" l="1"/>
  <c r="BX5236" i="3"/>
  <c r="BX5237" i="3" l="1"/>
  <c r="BY5238" i="3"/>
  <c r="BY5239" i="3" l="1"/>
  <c r="BX5238" i="3"/>
  <c r="BY5240" i="3" l="1"/>
  <c r="BX5239" i="3"/>
  <c r="BY5241" i="3" l="1"/>
  <c r="BX5240" i="3"/>
  <c r="BY5242" i="3" l="1"/>
  <c r="BX5241" i="3"/>
  <c r="BY5243" i="3" l="1"/>
  <c r="BX5242" i="3"/>
  <c r="BX5243" i="3" l="1"/>
  <c r="BY5244" i="3"/>
  <c r="BY5245" i="3" l="1"/>
  <c r="BX5244" i="3"/>
  <c r="BY5246" i="3" l="1"/>
  <c r="BX5245" i="3"/>
  <c r="BY5247" i="3" l="1"/>
  <c r="BX5246" i="3"/>
  <c r="BY5248" i="3" l="1"/>
  <c r="BX5247" i="3"/>
  <c r="BY5249" i="3" l="1"/>
  <c r="BX5248" i="3"/>
  <c r="BX5249" i="3" l="1"/>
  <c r="BY5250" i="3"/>
  <c r="BY5251" i="3" l="1"/>
  <c r="BX5250" i="3"/>
  <c r="BY5252" i="3" l="1"/>
  <c r="BX5251" i="3"/>
  <c r="BY5253" i="3" l="1"/>
  <c r="BX5252" i="3"/>
  <c r="BY5254" i="3" l="1"/>
  <c r="BX5253" i="3"/>
  <c r="BY5255" i="3" l="1"/>
  <c r="BX5254" i="3"/>
  <c r="BX5255" i="3" l="1"/>
  <c r="BY5256" i="3"/>
  <c r="BY5257" i="3" l="1"/>
  <c r="BX5256" i="3"/>
  <c r="BY5258" i="3" l="1"/>
  <c r="BX5257" i="3"/>
  <c r="BY5259" i="3" l="1"/>
  <c r="BX5258" i="3"/>
  <c r="BY5260" i="3" l="1"/>
  <c r="BX5259" i="3"/>
  <c r="BY5261" i="3" l="1"/>
  <c r="BX5260" i="3"/>
  <c r="BX5261" i="3" l="1"/>
  <c r="BY5262" i="3"/>
  <c r="BY5263" i="3" l="1"/>
  <c r="BX5262" i="3"/>
  <c r="BY5264" i="3" l="1"/>
  <c r="BX5263" i="3"/>
  <c r="BY5265" i="3" l="1"/>
  <c r="BX5264" i="3"/>
  <c r="BY5266" i="3" l="1"/>
  <c r="BX5265" i="3"/>
  <c r="BY5267" i="3" l="1"/>
  <c r="BX5266" i="3"/>
  <c r="BX5267" i="3" l="1"/>
  <c r="BY5268" i="3"/>
  <c r="BY5269" i="3" l="1"/>
  <c r="BX5268" i="3"/>
  <c r="BY5270" i="3" l="1"/>
  <c r="BX5269" i="3"/>
  <c r="BY5271" i="3" l="1"/>
  <c r="BX5270" i="3"/>
  <c r="BY5272" i="3" l="1"/>
  <c r="BX5271" i="3"/>
  <c r="BY5273" i="3" l="1"/>
  <c r="BX5272" i="3"/>
  <c r="BX5273" i="3" l="1"/>
  <c r="BY5274" i="3"/>
  <c r="BY5275" i="3" l="1"/>
  <c r="BX5274" i="3"/>
  <c r="BY5276" i="3" l="1"/>
  <c r="BX5275" i="3"/>
  <c r="BY5277" i="3" l="1"/>
  <c r="BX5276" i="3"/>
  <c r="BY5278" i="3" l="1"/>
  <c r="BX5277" i="3"/>
  <c r="BY5279" i="3" l="1"/>
  <c r="BX5278" i="3"/>
  <c r="BX5279" i="3" l="1"/>
  <c r="BY5280" i="3"/>
  <c r="BY5281" i="3" l="1"/>
  <c r="BX5280" i="3"/>
  <c r="BY5282" i="3" l="1"/>
  <c r="BX5281" i="3"/>
  <c r="BY5283" i="3" l="1"/>
  <c r="BX5282" i="3"/>
  <c r="BY5284" i="3" l="1"/>
  <c r="BX5283" i="3"/>
  <c r="BY5285" i="3" l="1"/>
  <c r="BX5284" i="3"/>
  <c r="BX5285" i="3" l="1"/>
  <c r="BY5286" i="3"/>
  <c r="BY5287" i="3" l="1"/>
  <c r="BX5286" i="3"/>
  <c r="BY5288" i="3" l="1"/>
  <c r="BX5287" i="3"/>
  <c r="BY5289" i="3" l="1"/>
  <c r="BX5288" i="3"/>
  <c r="BY5290" i="3" l="1"/>
  <c r="BX5289" i="3"/>
  <c r="BY5291" i="3" l="1"/>
  <c r="BX5290" i="3"/>
  <c r="BX5291" i="3" l="1"/>
  <c r="BY5292" i="3"/>
  <c r="BY5293" i="3" l="1"/>
  <c r="BX5292" i="3"/>
  <c r="BY5294" i="3" l="1"/>
  <c r="BX5293" i="3"/>
  <c r="BY5295" i="3" l="1"/>
  <c r="BX5294" i="3"/>
  <c r="BY5296" i="3" l="1"/>
  <c r="BX5295" i="3"/>
  <c r="BY5297" i="3" l="1"/>
  <c r="BX5296" i="3"/>
  <c r="BX5297" i="3" l="1"/>
  <c r="BY5298" i="3"/>
  <c r="BY5299" i="3" l="1"/>
  <c r="BX5298" i="3"/>
  <c r="BY5300" i="3" l="1"/>
  <c r="BX5299" i="3"/>
  <c r="BY5301" i="3" l="1"/>
  <c r="BX5300" i="3"/>
  <c r="BY5302" i="3" l="1"/>
  <c r="BX5301" i="3"/>
  <c r="BY5303" i="3" l="1"/>
  <c r="BX5302" i="3"/>
  <c r="BX5303" i="3" l="1"/>
  <c r="BY5304" i="3"/>
  <c r="BY5305" i="3" l="1"/>
  <c r="BX5304" i="3"/>
  <c r="BY5306" i="3" l="1"/>
  <c r="BX5305" i="3"/>
  <c r="BY5307" i="3" l="1"/>
  <c r="BX5306" i="3"/>
  <c r="BY5308" i="3" l="1"/>
  <c r="BX5307" i="3"/>
  <c r="BY5309" i="3" l="1"/>
  <c r="BX5308" i="3"/>
  <c r="BX5309" i="3" l="1"/>
  <c r="BY5310" i="3"/>
  <c r="BY5311" i="3" l="1"/>
  <c r="BX5310" i="3"/>
  <c r="BY5312" i="3" l="1"/>
  <c r="BX5311" i="3"/>
  <c r="BY5313" i="3" l="1"/>
  <c r="BX5312" i="3"/>
  <c r="BY5314" i="3" l="1"/>
  <c r="BX5313" i="3"/>
  <c r="BY5315" i="3" l="1"/>
  <c r="BX5314" i="3"/>
  <c r="BX5315" i="3" l="1"/>
  <c r="BY5316" i="3"/>
  <c r="BY5317" i="3" l="1"/>
  <c r="BX5316" i="3"/>
  <c r="BY5318" i="3" l="1"/>
  <c r="BX5317" i="3"/>
  <c r="BY5319" i="3" l="1"/>
  <c r="BX5318" i="3"/>
  <c r="BY5320" i="3" l="1"/>
  <c r="BX5319" i="3"/>
  <c r="BY5321" i="3" l="1"/>
  <c r="BX5320" i="3"/>
  <c r="BX5321" i="3" l="1"/>
  <c r="BY5322" i="3"/>
  <c r="BY5323" i="3" l="1"/>
  <c r="BX5322" i="3"/>
  <c r="BY5324" i="3" l="1"/>
  <c r="BX5323" i="3"/>
  <c r="BY5325" i="3" l="1"/>
  <c r="BX5324" i="3"/>
  <c r="BY5326" i="3" l="1"/>
  <c r="BX5325" i="3"/>
  <c r="BY5327" i="3" l="1"/>
  <c r="BX5326" i="3"/>
  <c r="BX5327" i="3" l="1"/>
  <c r="BY5328" i="3"/>
  <c r="BY5329" i="3" l="1"/>
  <c r="BX5328" i="3"/>
  <c r="BY5330" i="3" l="1"/>
  <c r="BX5329" i="3"/>
  <c r="BY5331" i="3" l="1"/>
  <c r="BX5330" i="3"/>
  <c r="BY5332" i="3" l="1"/>
  <c r="BX5331" i="3"/>
  <c r="BY5333" i="3" l="1"/>
  <c r="BX5332" i="3"/>
  <c r="BX5333" i="3" l="1"/>
  <c r="BY5334" i="3"/>
  <c r="BY5335" i="3" l="1"/>
  <c r="BX5334" i="3"/>
  <c r="BY5336" i="3" l="1"/>
  <c r="BX5335" i="3"/>
  <c r="BY5337" i="3" l="1"/>
  <c r="BX5336" i="3"/>
  <c r="BY5338" i="3" l="1"/>
  <c r="BX5337" i="3"/>
  <c r="BY5339" i="3" l="1"/>
  <c r="BX5338" i="3"/>
  <c r="BX5339" i="3" l="1"/>
  <c r="BY5340" i="3"/>
  <c r="BY5341" i="3" l="1"/>
  <c r="BX5340" i="3"/>
  <c r="BY5342" i="3" l="1"/>
  <c r="BX5341" i="3"/>
  <c r="BY5343" i="3" l="1"/>
  <c r="BX5342" i="3"/>
  <c r="BY5344" i="3" l="1"/>
  <c r="BX5343" i="3"/>
  <c r="BY5345" i="3" l="1"/>
  <c r="BX5344" i="3"/>
  <c r="BX5345" i="3" l="1"/>
  <c r="BY5346" i="3"/>
  <c r="BY5347" i="3" l="1"/>
  <c r="BX5346" i="3"/>
  <c r="BY5348" i="3" l="1"/>
  <c r="BX5347" i="3"/>
  <c r="BY5349" i="3" l="1"/>
  <c r="BX5348" i="3"/>
  <c r="BY5350" i="3" l="1"/>
  <c r="BX5349" i="3"/>
  <c r="BY5351" i="3" l="1"/>
  <c r="BX5350" i="3"/>
  <c r="BX5351" i="3" l="1"/>
  <c r="BY5352" i="3"/>
  <c r="BY5353" i="3" l="1"/>
  <c r="BX5352" i="3"/>
  <c r="BY5354" i="3" l="1"/>
  <c r="BX5353" i="3"/>
  <c r="BY5355" i="3" l="1"/>
  <c r="BX5354" i="3"/>
  <c r="BY5356" i="3" l="1"/>
  <c r="BX5355" i="3"/>
  <c r="BY5357" i="3" l="1"/>
  <c r="BX5356" i="3"/>
  <c r="BX5357" i="3" l="1"/>
  <c r="BY5358" i="3"/>
  <c r="BY5359" i="3" l="1"/>
  <c r="BX5358" i="3"/>
  <c r="BY5360" i="3" l="1"/>
  <c r="BX5359" i="3"/>
  <c r="BY5361" i="3" l="1"/>
  <c r="BX5360" i="3"/>
  <c r="BY5362" i="3" l="1"/>
  <c r="BX5361" i="3"/>
  <c r="BY5363" i="3" l="1"/>
  <c r="BX5362" i="3"/>
  <c r="BX5363" i="3" l="1"/>
  <c r="BY5364" i="3"/>
  <c r="BY5365" i="3" l="1"/>
  <c r="BX5364" i="3"/>
  <c r="BY5366" i="3" l="1"/>
  <c r="BX5365" i="3"/>
  <c r="BY5367" i="3" l="1"/>
  <c r="BX5366" i="3"/>
  <c r="BY5368" i="3" l="1"/>
  <c r="BX5367" i="3"/>
  <c r="BY5369" i="3" l="1"/>
  <c r="BX5368" i="3"/>
  <c r="BX5369" i="3" l="1"/>
  <c r="BY5370" i="3"/>
  <c r="BY5371" i="3" l="1"/>
  <c r="BX5370" i="3"/>
  <c r="BY5372" i="3" l="1"/>
  <c r="BX5371" i="3"/>
  <c r="BY5373" i="3" l="1"/>
  <c r="BX5372" i="3"/>
  <c r="BY5374" i="3" l="1"/>
  <c r="BX5373" i="3"/>
  <c r="BY5375" i="3" l="1"/>
  <c r="BX5374" i="3"/>
  <c r="BX5375" i="3" l="1"/>
  <c r="BY5376" i="3"/>
  <c r="BY5377" i="3" l="1"/>
  <c r="BX5376" i="3"/>
  <c r="BY5378" i="3" l="1"/>
  <c r="BX5377" i="3"/>
  <c r="BY5379" i="3" l="1"/>
  <c r="BX5378" i="3"/>
  <c r="BY5380" i="3" l="1"/>
  <c r="BX5379" i="3"/>
  <c r="BY5381" i="3" l="1"/>
  <c r="BX5380" i="3"/>
  <c r="BX5381" i="3" l="1"/>
  <c r="BY5382" i="3"/>
  <c r="BY5383" i="3" l="1"/>
  <c r="BX5382" i="3"/>
  <c r="BY5384" i="3" l="1"/>
  <c r="BX5383" i="3"/>
  <c r="BY5385" i="3" l="1"/>
  <c r="BX5384" i="3"/>
  <c r="BY5386" i="3" l="1"/>
  <c r="BX5385" i="3"/>
  <c r="BY5387" i="3" l="1"/>
  <c r="BX5386" i="3"/>
  <c r="BX5387" i="3" l="1"/>
  <c r="BY5388" i="3"/>
  <c r="BY5389" i="3" l="1"/>
  <c r="BX5388" i="3"/>
  <c r="BY5390" i="3" l="1"/>
  <c r="BX5389" i="3"/>
  <c r="BY5391" i="3" l="1"/>
  <c r="BX5390" i="3"/>
  <c r="BX5391" i="3" l="1"/>
  <c r="BY5392" i="3"/>
  <c r="BY5393" i="3" l="1"/>
  <c r="BX5392" i="3"/>
  <c r="BY5394" i="3" l="1"/>
  <c r="BX5393" i="3"/>
  <c r="BX5394" i="3" l="1"/>
  <c r="BY5395" i="3"/>
  <c r="BY5396" i="3" l="1"/>
  <c r="BX5395" i="3"/>
  <c r="BY5397" i="3" l="1"/>
  <c r="BX5396" i="3"/>
  <c r="BX5397" i="3" l="1"/>
  <c r="BY5398" i="3"/>
  <c r="BY5399" i="3" l="1"/>
  <c r="BX5398" i="3"/>
  <c r="BY5400" i="3" l="1"/>
  <c r="BX5399" i="3"/>
  <c r="BX5400" i="3" l="1"/>
  <c r="BY5401" i="3"/>
  <c r="BX5401" i="3" l="1"/>
  <c r="BY5402" i="3"/>
  <c r="BY5403" i="3" l="1"/>
  <c r="BX5402" i="3"/>
  <c r="BX5403" i="3" l="1"/>
  <c r="BY5404" i="3"/>
  <c r="BY5405" i="3" l="1"/>
  <c r="BX5404" i="3"/>
  <c r="BY5406" i="3" l="1"/>
  <c r="BX5405" i="3"/>
  <c r="BX5406" i="3" l="1"/>
  <c r="BY5407" i="3"/>
  <c r="BY5408" i="3" l="1"/>
  <c r="BX5407" i="3"/>
  <c r="BX5408" i="3" l="1"/>
  <c r="BY5409" i="3"/>
  <c r="BX5409" i="3" l="1"/>
  <c r="BY5410" i="3"/>
  <c r="BY5411" i="3" l="1"/>
  <c r="BX5410" i="3"/>
  <c r="BY5412" i="3" l="1"/>
  <c r="BX5411" i="3"/>
  <c r="BX5412" i="3" l="1"/>
  <c r="BY5413" i="3"/>
  <c r="BY5414" i="3" l="1"/>
  <c r="BX5413" i="3"/>
  <c r="BY5415" i="3" l="1"/>
  <c r="BX5414" i="3"/>
  <c r="BX5415" i="3" l="1"/>
  <c r="BY5416" i="3"/>
  <c r="BX5416" i="3" l="1"/>
  <c r="BY5417" i="3"/>
  <c r="BY5418" i="3" l="1"/>
  <c r="BX5417" i="3"/>
  <c r="BX5418" i="3" l="1"/>
  <c r="BY5419" i="3"/>
  <c r="BY5420" i="3" l="1"/>
  <c r="BX5419" i="3"/>
  <c r="BY5421" i="3" l="1"/>
  <c r="BX5420" i="3"/>
  <c r="BX5421" i="3" l="1"/>
  <c r="BY5422" i="3"/>
  <c r="BX5422" i="3" l="1"/>
  <c r="BY5423" i="3"/>
  <c r="BX5423" i="3" l="1"/>
  <c r="BY5424" i="3"/>
  <c r="BX5424" i="3" l="1"/>
  <c r="BY5425" i="3"/>
  <c r="BY5426" i="3" l="1"/>
  <c r="BX5425" i="3"/>
  <c r="BY5427" i="3" l="1"/>
  <c r="BX5426" i="3"/>
  <c r="BX5427" i="3" l="1"/>
  <c r="BY5428" i="3"/>
  <c r="BY5429" i="3" l="1"/>
  <c r="BX5428" i="3"/>
  <c r="BY5430" i="3" l="1"/>
  <c r="BX5429" i="3"/>
  <c r="BX5430" i="3" l="1"/>
  <c r="BY5431" i="3"/>
  <c r="BY5432" i="3" l="1"/>
  <c r="BX5431" i="3"/>
  <c r="BY5433" i="3" l="1"/>
  <c r="BX5432" i="3"/>
  <c r="BX5433" i="3" l="1"/>
  <c r="BY5434" i="3"/>
  <c r="BY5435" i="3" l="1"/>
  <c r="BX5434" i="3"/>
  <c r="BY5436" i="3" l="1"/>
  <c r="BX5435" i="3"/>
  <c r="BX5436" i="3" l="1"/>
  <c r="BY5437" i="3"/>
  <c r="BX5437" i="3" l="1"/>
  <c r="BY5438" i="3"/>
  <c r="BY5439" i="3" l="1"/>
  <c r="BX5438" i="3"/>
  <c r="BX5439" i="3" l="1"/>
  <c r="BY5440" i="3"/>
  <c r="BY5441" i="3" l="1"/>
  <c r="BX5440" i="3"/>
  <c r="BY5442" i="3" l="1"/>
  <c r="BX5441" i="3"/>
  <c r="BX5442" i="3" l="1"/>
  <c r="BY5443" i="3"/>
  <c r="BY5444" i="3" l="1"/>
  <c r="BX5443" i="3"/>
  <c r="BX5444" i="3" l="1"/>
  <c r="BY5445" i="3"/>
  <c r="BX5445" i="3" l="1"/>
  <c r="BY5446" i="3"/>
  <c r="BY5447" i="3" l="1"/>
  <c r="BX5446" i="3"/>
  <c r="BY5448" i="3" l="1"/>
  <c r="BX5447" i="3"/>
  <c r="BX5448" i="3" l="1"/>
  <c r="BY5449" i="3"/>
  <c r="BY5450" i="3" l="1"/>
  <c r="BX5449" i="3"/>
  <c r="BY5451" i="3" l="1"/>
  <c r="BX5450" i="3"/>
  <c r="BX5451" i="3" l="1"/>
  <c r="BY5452" i="3"/>
  <c r="BX5452" i="3" l="1"/>
  <c r="BY5453" i="3"/>
  <c r="BY5454" i="3" l="1"/>
  <c r="BX5453" i="3"/>
  <c r="BX5454" i="3" l="1"/>
  <c r="BY5455" i="3"/>
  <c r="BY5456" i="3" l="1"/>
  <c r="BX5455" i="3"/>
  <c r="BY5457" i="3" l="1"/>
  <c r="BX5456" i="3"/>
  <c r="BX5457" i="3" l="1"/>
  <c r="BY5458" i="3"/>
  <c r="BX5458" i="3" l="1"/>
  <c r="BY5459" i="3"/>
  <c r="BX5459" i="3" l="1"/>
  <c r="BY5460" i="3"/>
  <c r="BX5460" i="3" l="1"/>
  <c r="BY5461" i="3"/>
  <c r="BY5462" i="3" l="1"/>
  <c r="BX5461" i="3"/>
  <c r="BY5463" i="3" l="1"/>
  <c r="BX5462" i="3"/>
  <c r="BX5463" i="3" l="1"/>
  <c r="BY5464" i="3"/>
  <c r="BY5465" i="3" l="1"/>
  <c r="BX5464" i="3"/>
  <c r="BY5466" i="3" l="1"/>
  <c r="BX5465" i="3"/>
  <c r="BX5466" i="3" l="1"/>
  <c r="BY5467" i="3"/>
  <c r="BY5468" i="3" l="1"/>
  <c r="BX5467" i="3"/>
  <c r="BY5469" i="3" l="1"/>
  <c r="BX5468" i="3"/>
  <c r="BX5469" i="3" l="1"/>
  <c r="BY5470" i="3"/>
  <c r="BY5471" i="3" l="1"/>
  <c r="BX5470" i="3"/>
  <c r="BY5472" i="3" l="1"/>
  <c r="BX5471" i="3"/>
  <c r="BX5472" i="3" l="1"/>
  <c r="BY5473" i="3"/>
  <c r="BX5473" i="3" l="1"/>
  <c r="BY5474" i="3"/>
  <c r="BY5475" i="3" l="1"/>
  <c r="BX5474" i="3"/>
  <c r="BX5475" i="3" l="1"/>
  <c r="BY5476" i="3"/>
  <c r="BY5477" i="3" l="1"/>
  <c r="BX5476" i="3"/>
  <c r="BY5478" i="3" l="1"/>
  <c r="BX5477" i="3"/>
  <c r="BX5478" i="3" l="1"/>
  <c r="BY5479" i="3"/>
  <c r="BY5480" i="3" l="1"/>
  <c r="BX5479" i="3"/>
  <c r="BX5480" i="3" l="1"/>
  <c r="BY5481" i="3"/>
  <c r="BX5481" i="3" l="1"/>
  <c r="BY5482" i="3"/>
  <c r="BY5483" i="3" l="1"/>
  <c r="BX5482" i="3"/>
  <c r="BY5484" i="3" l="1"/>
  <c r="BX5483" i="3"/>
  <c r="BX5484" i="3" l="1"/>
  <c r="BY5485" i="3"/>
  <c r="BY5486" i="3" l="1"/>
  <c r="BX5485" i="3"/>
  <c r="BY5487" i="3" l="1"/>
  <c r="BX5486" i="3"/>
  <c r="BX5487" i="3" l="1"/>
  <c r="BY5488" i="3"/>
  <c r="BX5488" i="3" l="1"/>
  <c r="BY5489" i="3"/>
  <c r="BY5490" i="3" l="1"/>
  <c r="BX5489" i="3"/>
  <c r="BX5490" i="3" l="1"/>
  <c r="BY5491" i="3"/>
  <c r="BY5492" i="3" l="1"/>
  <c r="BX5491" i="3"/>
  <c r="BY5493" i="3" l="1"/>
  <c r="BX5492" i="3"/>
  <c r="BX5493" i="3" l="1"/>
  <c r="BY5494" i="3"/>
  <c r="BX5494" i="3" l="1"/>
  <c r="BY5495" i="3"/>
  <c r="BX5495" i="3" l="1"/>
  <c r="BY5496" i="3"/>
  <c r="BX5496" i="3" l="1"/>
  <c r="BY5497" i="3"/>
  <c r="BY5498" i="3" l="1"/>
  <c r="BX5497" i="3"/>
  <c r="BY5499" i="3" l="1"/>
  <c r="BX5498" i="3"/>
  <c r="BX5499" i="3" l="1"/>
  <c r="BY5500" i="3"/>
  <c r="BY5501" i="3" l="1"/>
  <c r="BX5500" i="3"/>
  <c r="BY5502" i="3" l="1"/>
  <c r="BX5501" i="3"/>
  <c r="BX5502" i="3" l="1"/>
  <c r="BY5503" i="3"/>
  <c r="BY5504" i="3" l="1"/>
  <c r="BX5503" i="3"/>
  <c r="BY5505" i="3" l="1"/>
  <c r="BX5504" i="3"/>
  <c r="BX5505" i="3" l="1"/>
  <c r="BY5506" i="3"/>
  <c r="BY5507" i="3" l="1"/>
  <c r="BX5506" i="3"/>
  <c r="BY5508" i="3" l="1"/>
  <c r="BX5507" i="3"/>
  <c r="BX5508" i="3" l="1"/>
  <c r="BY5509" i="3"/>
  <c r="BX5509" i="3" l="1"/>
  <c r="BY5510" i="3"/>
  <c r="BY5511" i="3" l="1"/>
  <c r="BX5510" i="3"/>
  <c r="BX5511" i="3" l="1"/>
  <c r="BY5512" i="3"/>
  <c r="BY5513" i="3" l="1"/>
  <c r="BX5512" i="3"/>
  <c r="BY5514" i="3" l="1"/>
  <c r="BX5513" i="3"/>
  <c r="BX5514" i="3" l="1"/>
  <c r="BY5515" i="3"/>
  <c r="BY5516" i="3" l="1"/>
  <c r="BX5515" i="3"/>
  <c r="BX5516" i="3" l="1"/>
  <c r="BY5517" i="3"/>
  <c r="BX5517" i="3" l="1"/>
  <c r="BY5518" i="3"/>
  <c r="BY5519" i="3" l="1"/>
  <c r="BX5518" i="3"/>
  <c r="BY5520" i="3" l="1"/>
  <c r="BX5519" i="3"/>
  <c r="BX5520" i="3" l="1"/>
  <c r="BY5521" i="3"/>
  <c r="BY5522" i="3" l="1"/>
  <c r="BX5521" i="3"/>
  <c r="BY5523" i="3" l="1"/>
  <c r="BX5522" i="3"/>
  <c r="BX5523" i="3" l="1"/>
  <c r="BY5524" i="3"/>
  <c r="BX5524" i="3" l="1"/>
  <c r="BY5525" i="3"/>
  <c r="BY5526" i="3" l="1"/>
  <c r="BX5525" i="3"/>
  <c r="BX5526" i="3" l="1"/>
  <c r="BY5527" i="3"/>
  <c r="BY5528" i="3" l="1"/>
  <c r="BX5527" i="3"/>
  <c r="BY5529" i="3" l="1"/>
  <c r="BX5528" i="3"/>
  <c r="BX5529" i="3" l="1"/>
  <c r="BY5530" i="3"/>
  <c r="BX5530" i="3" l="1"/>
  <c r="BY5531" i="3"/>
  <c r="BX5531" i="3" l="1"/>
  <c r="BY5532" i="3"/>
  <c r="BX5532" i="3" l="1"/>
  <c r="BY5533" i="3"/>
  <c r="BY5534" i="3" l="1"/>
  <c r="BX5533" i="3"/>
  <c r="BY5535" i="3" l="1"/>
  <c r="BX5534" i="3"/>
  <c r="BX5535" i="3" l="1"/>
  <c r="BY5536" i="3"/>
  <c r="BY5537" i="3" l="1"/>
  <c r="BX5536" i="3"/>
  <c r="BY5538" i="3" l="1"/>
  <c r="BX5537" i="3"/>
  <c r="BX5538" i="3" l="1"/>
  <c r="BY5539" i="3"/>
  <c r="BY5540" i="3" l="1"/>
  <c r="BX5539" i="3"/>
  <c r="BY5541" i="3" l="1"/>
  <c r="BX5540" i="3"/>
  <c r="BX5541" i="3" l="1"/>
  <c r="BY5542" i="3"/>
  <c r="BY5543" i="3" l="1"/>
  <c r="BX5542" i="3"/>
  <c r="BY5544" i="3" l="1"/>
  <c r="BX5543" i="3"/>
  <c r="BX5544" i="3" l="1"/>
  <c r="BY5545" i="3"/>
  <c r="BX5545" i="3" l="1"/>
  <c r="BY5546" i="3"/>
  <c r="BY5547" i="3" l="1"/>
  <c r="BX5546" i="3"/>
  <c r="BX5547" i="3" l="1"/>
  <c r="BY5548" i="3"/>
  <c r="BY5549" i="3" l="1"/>
  <c r="BX5548" i="3"/>
  <c r="BY5550" i="3" l="1"/>
  <c r="BX5549" i="3"/>
  <c r="BX5550" i="3" l="1"/>
  <c r="BY5551" i="3"/>
  <c r="BY5552" i="3" l="1"/>
  <c r="BX5551" i="3"/>
  <c r="BX5552" i="3" l="1"/>
  <c r="BY5553" i="3"/>
  <c r="BX5553" i="3" l="1"/>
  <c r="BY5554" i="3"/>
  <c r="BY5555" i="3" l="1"/>
  <c r="BX5554" i="3"/>
  <c r="BY5556" i="3" l="1"/>
  <c r="BX5555" i="3"/>
  <c r="BX5556" i="3" l="1"/>
  <c r="BY5557" i="3"/>
  <c r="BY5558" i="3" l="1"/>
  <c r="BX5557" i="3"/>
  <c r="BY5559" i="3" l="1"/>
  <c r="BX5558" i="3"/>
  <c r="BX5559" i="3" l="1"/>
  <c r="BY5560" i="3"/>
  <c r="BX5560" i="3" l="1"/>
  <c r="BY5561" i="3"/>
  <c r="BY5562" i="3" l="1"/>
  <c r="BX5561" i="3"/>
  <c r="BX5562" i="3" l="1"/>
  <c r="BY5563" i="3"/>
  <c r="BY5564" i="3" l="1"/>
  <c r="BX5563" i="3"/>
  <c r="BY5565" i="3" l="1"/>
  <c r="BX5564" i="3"/>
  <c r="BX5565" i="3" l="1"/>
  <c r="BY5566" i="3"/>
  <c r="BX5566" i="3" l="1"/>
  <c r="BY5567" i="3"/>
  <c r="BX5567" i="3" l="1"/>
  <c r="BY5568" i="3"/>
  <c r="BX5568" i="3" l="1"/>
  <c r="BY5569" i="3"/>
  <c r="BY5570" i="3" l="1"/>
  <c r="BX5569" i="3"/>
  <c r="BY5571" i="3" l="1"/>
  <c r="BX5570" i="3"/>
  <c r="BX5571" i="3" l="1"/>
  <c r="BY5572" i="3"/>
  <c r="BY5573" i="3" l="1"/>
  <c r="BX5572" i="3"/>
  <c r="BY5574" i="3" l="1"/>
  <c r="BX5573" i="3"/>
  <c r="BX5574" i="3" l="1"/>
  <c r="BY5575" i="3"/>
  <c r="BY5576" i="3" l="1"/>
  <c r="BX5575" i="3"/>
  <c r="BY5577" i="3" l="1"/>
  <c r="BX5576" i="3"/>
  <c r="BX5577" i="3" l="1"/>
  <c r="BY5578" i="3"/>
  <c r="BY5579" i="3" l="1"/>
  <c r="BX5578" i="3"/>
  <c r="BY5580" i="3" l="1"/>
  <c r="BX5579" i="3"/>
  <c r="BX5580" i="3" l="1"/>
  <c r="BY5581" i="3"/>
  <c r="BX5581" i="3" l="1"/>
  <c r="BY5582" i="3"/>
  <c r="BY5583" i="3" l="1"/>
  <c r="BX5582" i="3"/>
  <c r="BX5583" i="3" l="1"/>
  <c r="BY5584" i="3"/>
  <c r="BY5585" i="3" l="1"/>
  <c r="BX5584" i="3"/>
  <c r="BY5586" i="3" l="1"/>
  <c r="BX5585" i="3"/>
  <c r="BX5586" i="3" l="1"/>
  <c r="BY5587" i="3"/>
  <c r="BY5588" i="3" l="1"/>
  <c r="BX5587" i="3"/>
  <c r="BX5588" i="3" l="1"/>
  <c r="BY5589" i="3"/>
  <c r="BX5589" i="3" l="1"/>
  <c r="BY5590" i="3"/>
  <c r="BY5591" i="3" l="1"/>
  <c r="BX5590" i="3"/>
  <c r="BY5592" i="3" l="1"/>
  <c r="BX5591" i="3"/>
  <c r="BX5592" i="3" l="1"/>
  <c r="BY5593" i="3"/>
  <c r="BY5594" i="3" l="1"/>
  <c r="BX5593" i="3"/>
  <c r="BY5595" i="3" l="1"/>
  <c r="BX5594" i="3"/>
  <c r="BX5595" i="3" l="1"/>
  <c r="BY5596" i="3"/>
  <c r="BX5596" i="3" l="1"/>
  <c r="BY5597" i="3"/>
  <c r="BY5598" i="3" l="1"/>
  <c r="BX5597" i="3"/>
  <c r="BX5598" i="3" l="1"/>
  <c r="BY5599" i="3"/>
  <c r="BY5600" i="3" l="1"/>
  <c r="BX5599" i="3"/>
  <c r="BY5601" i="3" l="1"/>
  <c r="BX5600" i="3"/>
  <c r="BX5601" i="3" l="1"/>
  <c r="BY5602" i="3"/>
  <c r="BX5602" i="3" l="1"/>
  <c r="BY5603" i="3"/>
  <c r="BX5603" i="3" l="1"/>
  <c r="BY5604" i="3"/>
  <c r="BX5604" i="3" l="1"/>
  <c r="BY5605" i="3"/>
  <c r="BY5606" i="3" l="1"/>
  <c r="BX5605" i="3"/>
  <c r="BY5607" i="3" l="1"/>
  <c r="BX5606" i="3"/>
  <c r="BX5607" i="3" l="1"/>
  <c r="BY5608" i="3"/>
  <c r="BY5609" i="3" l="1"/>
  <c r="BX5608" i="3"/>
  <c r="BY5610" i="3" l="1"/>
  <c r="BX5609" i="3"/>
  <c r="BX5610" i="3" l="1"/>
  <c r="BY5611" i="3"/>
  <c r="BY5612" i="3" l="1"/>
  <c r="BX5611" i="3"/>
  <c r="BY5613" i="3" l="1"/>
  <c r="BX5612" i="3"/>
  <c r="BX5613" i="3" l="1"/>
  <c r="BY5614" i="3"/>
  <c r="BY5615" i="3" l="1"/>
  <c r="BX5614" i="3"/>
  <c r="BY5616" i="3" l="1"/>
  <c r="BX5615" i="3"/>
  <c r="BX5616" i="3" l="1"/>
  <c r="BY5617" i="3"/>
  <c r="BX5617" i="3" l="1"/>
  <c r="BY5618" i="3"/>
  <c r="BY5619" i="3" l="1"/>
  <c r="BX5618" i="3"/>
  <c r="BX5619" i="3" l="1"/>
  <c r="BY5620" i="3"/>
  <c r="BY5621" i="3" l="1"/>
  <c r="BX5620" i="3"/>
  <c r="BY5622" i="3" l="1"/>
  <c r="BX5621" i="3"/>
  <c r="BX5622" i="3" l="1"/>
  <c r="BY5623" i="3"/>
  <c r="BY5624" i="3" l="1"/>
  <c r="BX5623" i="3"/>
  <c r="BX5624" i="3" l="1"/>
  <c r="BY5625" i="3"/>
  <c r="BX5625" i="3" l="1"/>
  <c r="BY5626" i="3"/>
  <c r="BY5627" i="3" l="1"/>
  <c r="BX5626" i="3"/>
  <c r="BY5628" i="3" l="1"/>
  <c r="BX5627" i="3"/>
  <c r="BX5628" i="3" l="1"/>
  <c r="BY5629" i="3"/>
  <c r="BY5630" i="3" l="1"/>
  <c r="BX5629" i="3"/>
  <c r="BY5631" i="3" l="1"/>
  <c r="BX5630" i="3"/>
  <c r="BX5631" i="3" l="1"/>
  <c r="BY5632" i="3"/>
  <c r="BX5632" i="3" l="1"/>
  <c r="BY5633" i="3"/>
  <c r="BY5634" i="3" l="1"/>
  <c r="BX5633" i="3"/>
  <c r="BX5634" i="3" l="1"/>
  <c r="BY5635" i="3"/>
  <c r="BY5636" i="3" l="1"/>
  <c r="BX5635" i="3"/>
  <c r="BY5637" i="3" l="1"/>
  <c r="BX5636" i="3"/>
  <c r="BX5637" i="3" l="1"/>
  <c r="BY5638" i="3"/>
  <c r="BX5638" i="3" l="1"/>
  <c r="BY5639" i="3"/>
  <c r="BX5639" i="3" l="1"/>
  <c r="BY5640" i="3"/>
  <c r="BX5640" i="3" l="1"/>
  <c r="BY5641" i="3"/>
  <c r="BY5642" i="3" l="1"/>
  <c r="BX5641" i="3"/>
  <c r="BY5643" i="3" l="1"/>
  <c r="BX5642" i="3"/>
  <c r="BX5643" i="3" l="1"/>
  <c r="BY5644" i="3"/>
  <c r="BY5645" i="3" l="1"/>
  <c r="BX5644" i="3"/>
  <c r="BY5646" i="3" l="1"/>
  <c r="BX5645" i="3"/>
  <c r="BX5646" i="3" l="1"/>
  <c r="BY5647" i="3"/>
  <c r="BY5648" i="3" l="1"/>
  <c r="BX5647" i="3"/>
  <c r="BY5649" i="3" l="1"/>
  <c r="BX5648" i="3"/>
  <c r="BX5649" i="3" l="1"/>
  <c r="BY5650" i="3"/>
  <c r="BY5651" i="3" l="1"/>
  <c r="BX5650" i="3"/>
  <c r="BY5652" i="3" l="1"/>
  <c r="BX5651" i="3"/>
  <c r="BX5652" i="3" l="1"/>
  <c r="BY5653" i="3"/>
  <c r="BX5653" i="3" l="1"/>
  <c r="BY5654" i="3"/>
  <c r="BY5655" i="3" l="1"/>
  <c r="BX5654" i="3"/>
  <c r="BX5655" i="3" l="1"/>
  <c r="BY5656" i="3"/>
  <c r="BY5657" i="3" l="1"/>
  <c r="BX5656" i="3"/>
  <c r="BY5658" i="3" l="1"/>
  <c r="BX5657" i="3"/>
  <c r="BX5658" i="3" l="1"/>
  <c r="BY5659" i="3"/>
  <c r="BY5660" i="3" l="1"/>
  <c r="BX5659" i="3"/>
  <c r="BX5660" i="3" l="1"/>
  <c r="BY5661" i="3"/>
  <c r="BX5661" i="3" l="1"/>
  <c r="BY5662" i="3"/>
  <c r="BY5663" i="3" l="1"/>
  <c r="BX5662" i="3"/>
  <c r="BY5664" i="3" l="1"/>
  <c r="BX5663" i="3"/>
  <c r="BX5664" i="3" l="1"/>
  <c r="BY5665" i="3"/>
  <c r="BY5666" i="3" l="1"/>
  <c r="BX5665" i="3"/>
  <c r="BY5667" i="3" l="1"/>
  <c r="BX5666" i="3"/>
  <c r="BX5667" i="3" l="1"/>
  <c r="BY5668" i="3"/>
  <c r="BX5668" i="3" l="1"/>
  <c r="BY5669" i="3"/>
  <c r="BY5670" i="3" l="1"/>
  <c r="BX5669" i="3"/>
  <c r="BX5670" i="3" l="1"/>
  <c r="BY5671" i="3"/>
  <c r="BY5672" i="3" l="1"/>
  <c r="BX5671" i="3"/>
  <c r="BY5673" i="3" l="1"/>
  <c r="BX5672" i="3"/>
  <c r="BX5673" i="3" l="1"/>
  <c r="BY5674" i="3"/>
  <c r="BX5674" i="3" l="1"/>
  <c r="BY5675" i="3"/>
  <c r="BX5675" i="3" l="1"/>
  <c r="BY5676" i="3"/>
  <c r="BX5676" i="3" l="1"/>
  <c r="BY5677" i="3"/>
  <c r="BY5678" i="3" l="1"/>
  <c r="BX5677" i="3"/>
  <c r="BY5679" i="3" l="1"/>
  <c r="BX5678" i="3"/>
  <c r="BX5679" i="3" l="1"/>
  <c r="BY5680" i="3"/>
  <c r="BY5681" i="3" l="1"/>
  <c r="BX5680" i="3"/>
  <c r="BY5682" i="3" l="1"/>
  <c r="BX5681" i="3"/>
  <c r="BX5682" i="3" l="1"/>
  <c r="BY5683" i="3"/>
  <c r="BY5684" i="3" l="1"/>
  <c r="BX5683" i="3"/>
  <c r="BY5685" i="3" l="1"/>
  <c r="BX5684" i="3"/>
  <c r="BX5685" i="3" l="1"/>
  <c r="BY5686" i="3"/>
  <c r="BY5687" i="3" l="1"/>
  <c r="BX5686" i="3"/>
  <c r="BY5688" i="3" l="1"/>
  <c r="BX5687" i="3"/>
  <c r="BX5688" i="3" l="1"/>
  <c r="BY5689" i="3"/>
  <c r="BX5689" i="3" l="1"/>
  <c r="BY5690" i="3"/>
  <c r="BY5691" i="3" l="1"/>
  <c r="BX5690" i="3"/>
  <c r="BX5691" i="3" l="1"/>
  <c r="BY5692" i="3"/>
  <c r="BY5693" i="3" l="1"/>
  <c r="BX5692" i="3"/>
  <c r="BY5694" i="3" l="1"/>
  <c r="BX5693" i="3"/>
  <c r="BX5694" i="3" l="1"/>
  <c r="BY5695" i="3"/>
  <c r="BY5696" i="3" l="1"/>
  <c r="BX5695" i="3"/>
  <c r="BX5696" i="3" l="1"/>
  <c r="BY5697" i="3"/>
  <c r="BX5697" i="3" l="1"/>
  <c r="BY5698" i="3"/>
  <c r="BY5699" i="3" l="1"/>
  <c r="BX5698" i="3"/>
  <c r="BY5700" i="3" l="1"/>
  <c r="BX5699" i="3"/>
  <c r="BX5700" i="3" l="1"/>
  <c r="BY5701" i="3"/>
  <c r="BY5702" i="3" l="1"/>
  <c r="BX5701" i="3"/>
  <c r="BY5703" i="3" l="1"/>
  <c r="BX5702" i="3"/>
  <c r="BX5703" i="3" l="1"/>
  <c r="BY5704" i="3"/>
  <c r="BX5704" i="3" l="1"/>
  <c r="BY5705" i="3"/>
  <c r="BY5706" i="3" l="1"/>
  <c r="BX5705" i="3"/>
  <c r="BX5706" i="3" l="1"/>
  <c r="BY5707" i="3"/>
  <c r="BY5708" i="3" l="1"/>
  <c r="BX5707" i="3"/>
  <c r="BY5709" i="3" l="1"/>
  <c r="BX5708" i="3"/>
  <c r="BX5709" i="3" l="1"/>
  <c r="BY5710" i="3"/>
  <c r="BX5710" i="3" l="1"/>
  <c r="BY5711" i="3"/>
  <c r="BX5711" i="3" l="1"/>
  <c r="BY5712" i="3"/>
  <c r="BX5712" i="3" l="1"/>
  <c r="BY5713" i="3"/>
  <c r="BY5714" i="3" l="1"/>
  <c r="BX5713" i="3"/>
  <c r="BY5715" i="3" l="1"/>
  <c r="BX5714" i="3"/>
  <c r="BX5715" i="3" l="1"/>
  <c r="BY5716" i="3"/>
  <c r="BY5717" i="3" l="1"/>
  <c r="BX5716" i="3"/>
  <c r="BY5718" i="3" l="1"/>
  <c r="BX5717" i="3"/>
  <c r="BX5718" i="3" l="1"/>
  <c r="BY5719" i="3"/>
  <c r="BY5720" i="3" l="1"/>
  <c r="BX5719" i="3"/>
  <c r="BY5721" i="3" l="1"/>
  <c r="BX5720" i="3"/>
  <c r="BX5721" i="3" l="1"/>
  <c r="BY5722" i="3"/>
  <c r="BY5723" i="3" l="1"/>
  <c r="BX5722" i="3"/>
  <c r="BY5724" i="3" l="1"/>
  <c r="BX5723" i="3"/>
  <c r="BX5724" i="3" l="1"/>
  <c r="BY5725" i="3"/>
  <c r="BY5726" i="3" l="1"/>
  <c r="BX5725" i="3"/>
  <c r="BY5727" i="3" l="1"/>
  <c r="BX5726" i="3"/>
  <c r="BX5727" i="3" l="1"/>
  <c r="BY5728" i="3"/>
  <c r="BY5729" i="3" l="1"/>
  <c r="BX5728" i="3"/>
  <c r="BY5730" i="3" l="1"/>
  <c r="BX5729" i="3"/>
  <c r="BX5730" i="3" l="1"/>
  <c r="BY5731" i="3"/>
  <c r="BY5732" i="3" l="1"/>
  <c r="BX5731" i="3"/>
  <c r="BY5733" i="3" l="1"/>
  <c r="BX5732" i="3"/>
  <c r="BX5733" i="3" l="1"/>
  <c r="BY5734" i="3"/>
  <c r="BY5735" i="3" l="1"/>
  <c r="BX5734" i="3"/>
  <c r="BY5736" i="3" l="1"/>
  <c r="BX5735" i="3"/>
  <c r="BX5736" i="3" l="1"/>
  <c r="BY5737" i="3"/>
  <c r="BY5738" i="3" l="1"/>
  <c r="BX5737" i="3"/>
  <c r="BY5739" i="3" l="1"/>
  <c r="BX5738" i="3"/>
  <c r="BX5739" i="3" l="1"/>
  <c r="BY5740" i="3"/>
  <c r="BY5741" i="3" l="1"/>
  <c r="BX5740" i="3"/>
  <c r="BY5742" i="3" l="1"/>
  <c r="BX5741" i="3"/>
  <c r="BX5742" i="3" l="1"/>
  <c r="BY5743" i="3"/>
  <c r="BY5744" i="3" l="1"/>
  <c r="BX5743" i="3"/>
  <c r="BY5745" i="3" l="1"/>
  <c r="BX5744" i="3"/>
  <c r="BX5745" i="3" l="1"/>
  <c r="BY5746" i="3"/>
  <c r="BY5747" i="3" l="1"/>
  <c r="BX5746" i="3"/>
  <c r="BY5748" i="3" l="1"/>
  <c r="BX5747" i="3"/>
  <c r="BX5748" i="3" l="1"/>
  <c r="BY5749" i="3"/>
  <c r="BY5750" i="3" l="1"/>
  <c r="BX5749" i="3"/>
  <c r="BY5751" i="3" l="1"/>
  <c r="BX5750" i="3"/>
  <c r="BX5751" i="3" l="1"/>
  <c r="BY5752" i="3"/>
  <c r="BY5753" i="3" l="1"/>
  <c r="BX5752" i="3"/>
  <c r="BY5754" i="3" l="1"/>
  <c r="BX5753" i="3"/>
  <c r="BX5754" i="3" l="1"/>
  <c r="BY5755" i="3"/>
  <c r="BY5756" i="3" l="1"/>
  <c r="BX5755" i="3"/>
  <c r="BY5757" i="3" l="1"/>
  <c r="BX5756" i="3"/>
  <c r="BX5757" i="3" l="1"/>
  <c r="BY5758" i="3"/>
  <c r="BY5759" i="3" l="1"/>
  <c r="BX5758" i="3"/>
  <c r="BY5760" i="3" l="1"/>
  <c r="BX5759" i="3"/>
  <c r="BX5760" i="3" l="1"/>
  <c r="BY5761" i="3"/>
  <c r="BY5762" i="3" l="1"/>
  <c r="BX5761" i="3"/>
  <c r="BY5763" i="3" l="1"/>
  <c r="BX5762" i="3"/>
  <c r="BX5763" i="3" l="1"/>
  <c r="BY5764" i="3"/>
  <c r="BY5765" i="3" l="1"/>
  <c r="BX5764" i="3"/>
  <c r="BY5766" i="3" l="1"/>
  <c r="BX5765" i="3"/>
  <c r="BX5766" i="3" l="1"/>
  <c r="BY5767" i="3"/>
  <c r="BY5768" i="3" l="1"/>
  <c r="BX5767" i="3"/>
  <c r="BY5769" i="3" l="1"/>
  <c r="BX5768" i="3"/>
  <c r="BX5769" i="3" l="1"/>
  <c r="BY5770" i="3"/>
  <c r="BY5771" i="3" l="1"/>
  <c r="BX5770" i="3"/>
  <c r="BY5772" i="3" l="1"/>
  <c r="BX5771" i="3"/>
  <c r="BX5772" i="3" l="1"/>
  <c r="BY5773" i="3"/>
  <c r="BY5774" i="3" l="1"/>
  <c r="BX5773" i="3"/>
  <c r="BY5775" i="3" l="1"/>
  <c r="BX5774" i="3"/>
  <c r="BX5775" i="3" l="1"/>
  <c r="BY5776" i="3"/>
  <c r="BY5777" i="3" l="1"/>
  <c r="BX5776" i="3"/>
  <c r="BY5778" i="3" l="1"/>
  <c r="BX5777" i="3"/>
  <c r="BX5778" i="3" l="1"/>
  <c r="BY5779" i="3"/>
  <c r="BY5780" i="3" l="1"/>
  <c r="BX5779" i="3"/>
  <c r="BY5781" i="3" l="1"/>
  <c r="BX5780" i="3"/>
  <c r="BX5781" i="3" l="1"/>
  <c r="BY5782" i="3"/>
  <c r="BY5783" i="3" l="1"/>
  <c r="BX5782" i="3"/>
  <c r="BY5784" i="3" l="1"/>
  <c r="BX5783" i="3"/>
  <c r="BX5784" i="3" l="1"/>
  <c r="BY5785" i="3"/>
  <c r="BY5786" i="3" l="1"/>
  <c r="BX5785" i="3"/>
  <c r="BY5787" i="3" l="1"/>
  <c r="BX5786" i="3"/>
  <c r="BX5787" i="3" l="1"/>
  <c r="BY5788" i="3"/>
  <c r="BY5789" i="3" l="1"/>
  <c r="BX5788" i="3"/>
  <c r="BY5790" i="3" l="1"/>
  <c r="BX5789" i="3"/>
  <c r="BX5790" i="3" l="1"/>
  <c r="BY5791" i="3"/>
  <c r="BY5792" i="3" l="1"/>
  <c r="BX5791" i="3"/>
  <c r="BY5793" i="3" l="1"/>
  <c r="BX5792" i="3"/>
  <c r="BX5793" i="3" l="1"/>
  <c r="BY5794" i="3"/>
  <c r="BY5795" i="3" l="1"/>
  <c r="BX5794" i="3"/>
  <c r="BY5796" i="3" l="1"/>
  <c r="BX5795" i="3"/>
  <c r="BX5796" i="3" l="1"/>
  <c r="BY5797" i="3"/>
  <c r="BY5798" i="3" l="1"/>
  <c r="BX5797" i="3"/>
  <c r="BY5799" i="3" l="1"/>
  <c r="BX5798" i="3"/>
  <c r="BX5799" i="3" l="1"/>
  <c r="BY5800" i="3"/>
  <c r="BY5801" i="3" l="1"/>
  <c r="BX5800" i="3"/>
  <c r="BY5802" i="3" l="1"/>
  <c r="BX5801" i="3"/>
  <c r="BX5802" i="3" l="1"/>
  <c r="BY5803" i="3"/>
  <c r="BY5804" i="3" l="1"/>
  <c r="BX5803" i="3"/>
  <c r="BY5805" i="3" l="1"/>
  <c r="BX5804" i="3"/>
  <c r="BX5805" i="3" l="1"/>
  <c r="BY5806" i="3"/>
  <c r="BY5807" i="3" l="1"/>
  <c r="BX5806" i="3"/>
  <c r="BY5808" i="3" l="1"/>
  <c r="BX5807" i="3"/>
  <c r="BX5808" i="3" l="1"/>
  <c r="BY5809" i="3"/>
  <c r="BY5810" i="3" l="1"/>
  <c r="BX5809" i="3"/>
  <c r="BY5811" i="3" l="1"/>
  <c r="BX5810" i="3"/>
  <c r="BX5811" i="3" l="1"/>
  <c r="BY5812" i="3"/>
  <c r="BY5813" i="3" l="1"/>
  <c r="BX5812" i="3"/>
  <c r="BY5814" i="3" l="1"/>
  <c r="BX5813" i="3"/>
  <c r="BX5814" i="3" l="1"/>
  <c r="BY5815" i="3"/>
  <c r="BY5816" i="3" l="1"/>
  <c r="BX5815" i="3"/>
  <c r="BY5817" i="3" l="1"/>
  <c r="BX5816" i="3"/>
  <c r="BX5817" i="3" l="1"/>
  <c r="BY5818" i="3"/>
  <c r="BY5819" i="3" l="1"/>
  <c r="BX5818" i="3"/>
  <c r="BY5820" i="3" l="1"/>
  <c r="BX5819" i="3"/>
  <c r="BX5820" i="3" l="1"/>
  <c r="BY5821" i="3"/>
  <c r="BY5822" i="3" l="1"/>
  <c r="BX5821" i="3"/>
  <c r="BY5823" i="3" l="1"/>
  <c r="BX5822" i="3"/>
  <c r="BX5823" i="3" l="1"/>
  <c r="BY5824" i="3"/>
  <c r="BY5825" i="3" l="1"/>
  <c r="BX5824" i="3"/>
  <c r="BY5826" i="3" l="1"/>
  <c r="BX5825" i="3"/>
  <c r="BX5826" i="3" l="1"/>
  <c r="BY5827" i="3"/>
  <c r="BY5828" i="3" l="1"/>
  <c r="BX5827" i="3"/>
  <c r="BY5829" i="3" l="1"/>
  <c r="BX5828" i="3"/>
  <c r="BX5829" i="3" l="1"/>
  <c r="BY5830" i="3"/>
  <c r="BY5831" i="3" l="1"/>
  <c r="BX5830" i="3"/>
  <c r="BY5832" i="3" l="1"/>
  <c r="BX5831" i="3"/>
  <c r="BX5832" i="3" l="1"/>
  <c r="BY5833" i="3"/>
  <c r="BY5834" i="3" l="1"/>
  <c r="BX5833" i="3"/>
  <c r="BY5835" i="3" l="1"/>
  <c r="BX5834" i="3"/>
  <c r="BX5835" i="3" l="1"/>
  <c r="BY5836" i="3"/>
  <c r="BY5837" i="3" l="1"/>
  <c r="BX5836" i="3"/>
  <c r="BY5838" i="3" l="1"/>
  <c r="BX5837" i="3"/>
  <c r="BX5838" i="3" l="1"/>
  <c r="BY5839" i="3"/>
  <c r="BY5840" i="3" l="1"/>
  <c r="BX5839" i="3"/>
  <c r="BY5841" i="3" l="1"/>
  <c r="BX5840" i="3"/>
  <c r="BX5841" i="3" l="1"/>
  <c r="BY5842" i="3"/>
  <c r="BY5843" i="3" l="1"/>
  <c r="BX5842" i="3"/>
  <c r="BY5844" i="3" l="1"/>
  <c r="BX5843" i="3"/>
  <c r="BX5844" i="3" l="1"/>
  <c r="BY5845" i="3"/>
  <c r="BY5846" i="3" l="1"/>
  <c r="BX5845" i="3"/>
  <c r="BX5846" i="3" l="1"/>
  <c r="BY5847" i="3"/>
  <c r="BX5847" i="3" l="1"/>
  <c r="BY5848" i="3"/>
  <c r="BY5849" i="3" l="1"/>
  <c r="BX5848" i="3"/>
  <c r="BY5850" i="3" l="1"/>
  <c r="BX5849" i="3"/>
  <c r="BX5850" i="3" l="1"/>
  <c r="BY5851" i="3"/>
  <c r="BY5852" i="3" l="1"/>
  <c r="BX5851" i="3"/>
  <c r="BY5853" i="3" l="1"/>
  <c r="BX5852" i="3"/>
  <c r="BX5853" i="3" l="1"/>
  <c r="BY5854" i="3"/>
  <c r="BY5855" i="3" l="1"/>
  <c r="BX5854" i="3"/>
  <c r="BY5856" i="3" l="1"/>
  <c r="BX5855" i="3"/>
  <c r="BX5856" i="3" l="1"/>
  <c r="BY5857" i="3"/>
  <c r="BY5858" i="3" l="1"/>
  <c r="BX5857" i="3"/>
  <c r="BY5859" i="3" l="1"/>
  <c r="BX5858" i="3"/>
  <c r="BX5859" i="3" l="1"/>
  <c r="BY5860" i="3"/>
  <c r="BY5861" i="3" l="1"/>
  <c r="BX5860" i="3"/>
  <c r="BY5862" i="3" l="1"/>
  <c r="BX5861" i="3"/>
  <c r="BX5862" i="3" l="1"/>
  <c r="BY5863" i="3"/>
  <c r="BY5864" i="3" l="1"/>
  <c r="BX5863" i="3"/>
  <c r="BY5865" i="3" l="1"/>
  <c r="BX5864" i="3"/>
  <c r="BX5865" i="3" l="1"/>
  <c r="BY5866" i="3"/>
  <c r="BY5867" i="3" l="1"/>
  <c r="BX5866" i="3"/>
  <c r="BY5868" i="3" l="1"/>
  <c r="BX5867" i="3"/>
  <c r="BX5868" i="3" l="1"/>
  <c r="BY5869" i="3"/>
  <c r="BY5870" i="3" l="1"/>
  <c r="BX5869" i="3"/>
  <c r="BY5871" i="3" l="1"/>
  <c r="BX5870" i="3"/>
  <c r="BX5871" i="3" l="1"/>
  <c r="BY5872" i="3"/>
  <c r="BY5873" i="3" l="1"/>
  <c r="BX5872" i="3"/>
  <c r="BY5874" i="3" l="1"/>
  <c r="BX5873" i="3"/>
  <c r="BX5874" i="3" l="1"/>
  <c r="BY5875" i="3"/>
  <c r="BY5876" i="3" l="1"/>
  <c r="BX5875" i="3"/>
  <c r="BY5877" i="3" l="1"/>
  <c r="BX5876" i="3"/>
  <c r="BX5877" i="3" l="1"/>
  <c r="BY5878" i="3"/>
  <c r="BY5879" i="3" l="1"/>
  <c r="BX5878" i="3"/>
  <c r="BY5880" i="3" l="1"/>
  <c r="BX5879" i="3"/>
  <c r="BX5880" i="3" l="1"/>
  <c r="BY5881" i="3"/>
  <c r="BY5882" i="3" l="1"/>
  <c r="BX5881" i="3"/>
  <c r="BY5883" i="3" l="1"/>
  <c r="BX5882" i="3"/>
  <c r="BX5883" i="3" l="1"/>
  <c r="BY5884" i="3"/>
  <c r="BY5885" i="3" l="1"/>
  <c r="BX5884" i="3"/>
  <c r="BY5886" i="3" l="1"/>
  <c r="BX5885" i="3"/>
  <c r="BX5886" i="3" l="1"/>
  <c r="BY5887" i="3"/>
  <c r="BY5888" i="3" l="1"/>
  <c r="BX5887" i="3"/>
  <c r="BY5889" i="3" l="1"/>
  <c r="BX5888" i="3"/>
  <c r="BX5889" i="3" l="1"/>
  <c r="BY5890" i="3"/>
  <c r="BY5891" i="3" l="1"/>
  <c r="BX5890" i="3"/>
  <c r="BY5892" i="3" l="1"/>
  <c r="BX5891" i="3"/>
  <c r="BX5892" i="3" l="1"/>
  <c r="BY5893" i="3"/>
  <c r="BY5894" i="3" l="1"/>
  <c r="BX5893" i="3"/>
  <c r="BY5895" i="3" l="1"/>
  <c r="BX5894" i="3"/>
  <c r="BX5895" i="3" l="1"/>
  <c r="BY5896" i="3"/>
  <c r="BY5897" i="3" l="1"/>
  <c r="BX5896" i="3"/>
  <c r="BY5898" i="3" l="1"/>
  <c r="BX5897" i="3"/>
  <c r="BX5898" i="3" l="1"/>
  <c r="BY5899" i="3"/>
  <c r="BY5900" i="3" l="1"/>
  <c r="BX5899" i="3"/>
  <c r="BY5901" i="3" l="1"/>
  <c r="BX5900" i="3"/>
  <c r="BX5901" i="3" l="1"/>
  <c r="BY5902" i="3"/>
  <c r="BY5903" i="3" l="1"/>
  <c r="BX5902" i="3"/>
  <c r="BY5904" i="3" l="1"/>
  <c r="BX5903" i="3"/>
  <c r="BX5904" i="3" l="1"/>
  <c r="BY5905" i="3"/>
  <c r="BY5906" i="3" l="1"/>
  <c r="BX5905" i="3"/>
  <c r="BY5907" i="3" l="1"/>
  <c r="BX5906" i="3"/>
  <c r="BX5907" i="3" l="1"/>
  <c r="BY5908" i="3"/>
  <c r="BY5909" i="3" l="1"/>
  <c r="BX5908" i="3"/>
  <c r="BY5910" i="3" l="1"/>
  <c r="BX5909" i="3"/>
  <c r="BX5910" i="3" l="1"/>
  <c r="BY5911" i="3"/>
  <c r="BY5912" i="3" l="1"/>
  <c r="BX5911" i="3"/>
  <c r="BY5913" i="3" l="1"/>
  <c r="BX5912" i="3"/>
  <c r="BX5913" i="3" l="1"/>
  <c r="BY5914" i="3"/>
  <c r="BY5915" i="3" l="1"/>
  <c r="BX5914" i="3"/>
  <c r="BY5916" i="3" l="1"/>
  <c r="BX5915" i="3"/>
  <c r="BX5916" i="3" l="1"/>
  <c r="BY5917" i="3"/>
  <c r="BY5918" i="3" l="1"/>
  <c r="BX5917" i="3"/>
  <c r="BY5919" i="3" l="1"/>
  <c r="BX5918" i="3"/>
  <c r="BX5919" i="3" l="1"/>
  <c r="BY5920" i="3"/>
  <c r="BY5921" i="3" l="1"/>
  <c r="BX5920" i="3"/>
  <c r="BY5922" i="3" l="1"/>
  <c r="BX5921" i="3"/>
  <c r="BX5922" i="3" l="1"/>
  <c r="BY5923" i="3"/>
  <c r="BY5924" i="3" l="1"/>
  <c r="BX5923" i="3"/>
  <c r="BY5925" i="3" l="1"/>
  <c r="BX5924" i="3"/>
  <c r="BX5925" i="3" l="1"/>
  <c r="BY5926" i="3"/>
  <c r="BY5927" i="3" l="1"/>
  <c r="BX5926" i="3"/>
  <c r="BY5928" i="3" l="1"/>
  <c r="BX5927" i="3"/>
  <c r="BX5928" i="3" l="1"/>
  <c r="BY5929" i="3"/>
  <c r="BY5930" i="3" l="1"/>
  <c r="BX5929" i="3"/>
  <c r="BY5931" i="3" l="1"/>
  <c r="BX5930" i="3"/>
  <c r="BX5931" i="3" l="1"/>
  <c r="BY5932" i="3"/>
  <c r="BY5933" i="3" l="1"/>
  <c r="BX5932" i="3"/>
  <c r="BY5934" i="3" l="1"/>
  <c r="BX5933" i="3"/>
  <c r="BY5935" i="3" l="1"/>
  <c r="BX5934" i="3"/>
  <c r="BY5936" i="3" l="1"/>
  <c r="BX5935" i="3"/>
  <c r="BY5937" i="3" l="1"/>
  <c r="BX5936" i="3"/>
  <c r="BX5937" i="3" l="1"/>
  <c r="BY5938" i="3"/>
  <c r="BY5939" i="3" l="1"/>
  <c r="BX5938" i="3"/>
  <c r="BY5940" i="3" l="1"/>
  <c r="BX5939" i="3"/>
  <c r="BY5941" i="3" l="1"/>
  <c r="BX5940" i="3"/>
  <c r="BY5942" i="3" l="1"/>
  <c r="BX5941" i="3"/>
  <c r="BY5943" i="3" l="1"/>
  <c r="BX5942" i="3"/>
  <c r="BX5943" i="3" l="1"/>
  <c r="BY5944" i="3"/>
  <c r="BY5945" i="3" l="1"/>
  <c r="BX5944" i="3"/>
  <c r="BY5946" i="3" l="1"/>
  <c r="BX5945" i="3"/>
  <c r="BY5947" i="3" l="1"/>
  <c r="BX5946" i="3"/>
  <c r="BY5948" i="3" l="1"/>
  <c r="BX5947" i="3"/>
  <c r="BY5949" i="3" l="1"/>
  <c r="BX5948" i="3"/>
  <c r="BX5949" i="3" l="1"/>
  <c r="BY5950" i="3"/>
  <c r="BY5951" i="3" l="1"/>
  <c r="BX5950" i="3"/>
  <c r="BY5952" i="3" l="1"/>
  <c r="BX5951" i="3"/>
  <c r="BY5953" i="3" l="1"/>
  <c r="BX5952" i="3"/>
  <c r="BY5954" i="3" l="1"/>
  <c r="BX5953" i="3"/>
  <c r="BY5955" i="3" l="1"/>
  <c r="BX5954" i="3"/>
  <c r="BX5955" i="3" l="1"/>
  <c r="BY5956" i="3"/>
  <c r="BY5957" i="3" l="1"/>
  <c r="BX5956" i="3"/>
  <c r="BY5958" i="3" l="1"/>
  <c r="BX5957" i="3"/>
  <c r="BY5959" i="3" l="1"/>
  <c r="BX5958" i="3"/>
  <c r="BY5960" i="3" l="1"/>
  <c r="BX5959" i="3"/>
  <c r="BY5961" i="3" l="1"/>
  <c r="BX5960" i="3"/>
  <c r="BX5961" i="3" l="1"/>
  <c r="BY5962" i="3"/>
  <c r="BY5963" i="3" l="1"/>
  <c r="BX5962" i="3"/>
  <c r="BY5964" i="3" l="1"/>
  <c r="BX5963" i="3"/>
  <c r="BY5965" i="3" l="1"/>
  <c r="BX5964" i="3"/>
  <c r="BY5966" i="3" l="1"/>
  <c r="BX5965" i="3"/>
  <c r="BY5967" i="3" l="1"/>
  <c r="BX5966" i="3"/>
  <c r="BX5967" i="3" l="1"/>
  <c r="BY5968" i="3"/>
  <c r="BY5969" i="3" l="1"/>
  <c r="BX5968" i="3"/>
  <c r="BY5970" i="3" l="1"/>
  <c r="BX5969" i="3"/>
  <c r="BY5971" i="3" l="1"/>
  <c r="BX5970" i="3"/>
  <c r="BY5972" i="3" l="1"/>
  <c r="BX5971" i="3"/>
  <c r="BY5973" i="3" l="1"/>
  <c r="BX5972" i="3"/>
  <c r="BX5973" i="3" l="1"/>
  <c r="BY5974" i="3"/>
  <c r="BY5975" i="3" l="1"/>
  <c r="BX5974" i="3"/>
  <c r="BY5976" i="3" l="1"/>
  <c r="BX5975" i="3"/>
  <c r="BY5977" i="3" l="1"/>
  <c r="BX5976" i="3"/>
  <c r="BY5978" i="3" l="1"/>
  <c r="BX5977" i="3"/>
  <c r="BY5979" i="3" l="1"/>
  <c r="BX5978" i="3"/>
  <c r="BX5979" i="3" l="1"/>
  <c r="BY5980" i="3"/>
  <c r="BY5981" i="3" l="1"/>
  <c r="BX5980" i="3"/>
  <c r="BY5982" i="3" l="1"/>
  <c r="BX5981" i="3"/>
  <c r="BY5983" i="3" l="1"/>
  <c r="BX5982" i="3"/>
  <c r="BY5984" i="3" l="1"/>
  <c r="BX5983" i="3"/>
  <c r="BY5985" i="3" l="1"/>
  <c r="BX5984" i="3"/>
  <c r="BY5986" i="3" l="1"/>
  <c r="BX5985" i="3"/>
  <c r="BY5987" i="3" l="1"/>
  <c r="BX5986" i="3"/>
  <c r="BY5988" i="3" l="1"/>
  <c r="BX5987" i="3"/>
  <c r="BY5989" i="3" l="1"/>
  <c r="BX5988" i="3"/>
  <c r="BY5990" i="3" l="1"/>
  <c r="BX5989" i="3"/>
  <c r="BY5991" i="3" l="1"/>
  <c r="BX5990" i="3"/>
  <c r="BY5992" i="3" l="1"/>
  <c r="BX5991" i="3"/>
  <c r="BY5993" i="3" l="1"/>
  <c r="BX5992" i="3"/>
  <c r="BY5994" i="3" l="1"/>
  <c r="BX5993" i="3"/>
  <c r="BY5995" i="3" l="1"/>
  <c r="BX5994" i="3"/>
  <c r="BY5996" i="3" l="1"/>
  <c r="BX5995" i="3"/>
  <c r="BY5997" i="3" l="1"/>
  <c r="BX5996" i="3"/>
  <c r="BY5998" i="3" l="1"/>
  <c r="BX5997" i="3"/>
  <c r="BY5999" i="3" l="1"/>
  <c r="BX5998" i="3"/>
  <c r="BY6000" i="3" l="1"/>
  <c r="BX5999" i="3"/>
  <c r="BY6001" i="3" l="1"/>
  <c r="BX6000" i="3"/>
  <c r="BY6002" i="3" l="1"/>
  <c r="BX6001" i="3"/>
  <c r="BY6003" i="3" l="1"/>
  <c r="BX6002" i="3"/>
  <c r="BY6004" i="3" l="1"/>
  <c r="BX6003" i="3"/>
  <c r="BY6005" i="3" l="1"/>
  <c r="BX6004" i="3"/>
  <c r="BY6006" i="3" l="1"/>
  <c r="BX6005" i="3"/>
  <c r="BY6007" i="3" l="1"/>
  <c r="BX6006" i="3"/>
  <c r="BY6008" i="3" l="1"/>
  <c r="BX6007" i="3"/>
  <c r="BY6009" i="3" l="1"/>
  <c r="BX6008" i="3"/>
  <c r="BY6010" i="3" l="1"/>
  <c r="BX6009" i="3"/>
  <c r="BY6011" i="3" l="1"/>
  <c r="BX6010" i="3"/>
  <c r="BY6012" i="3" l="1"/>
  <c r="BX6011" i="3"/>
  <c r="BY6013" i="3" l="1"/>
  <c r="BX6012" i="3"/>
  <c r="BY6014" i="3" l="1"/>
  <c r="BX6013" i="3"/>
  <c r="BY6015" i="3" l="1"/>
  <c r="BX6014" i="3"/>
  <c r="BY6016" i="3" l="1"/>
  <c r="BX6015" i="3"/>
  <c r="BY6017" i="3" l="1"/>
  <c r="BX6016" i="3"/>
  <c r="BY6018" i="3" l="1"/>
  <c r="BX6017" i="3"/>
  <c r="BY6019" i="3" l="1"/>
  <c r="BX6018" i="3"/>
  <c r="BY6020" i="3" l="1"/>
  <c r="BX6019" i="3"/>
  <c r="BY6021" i="3" l="1"/>
  <c r="BX6020" i="3"/>
  <c r="BY6022" i="3" l="1"/>
  <c r="BX6021" i="3"/>
  <c r="BY6023" i="3" l="1"/>
  <c r="BX6022" i="3"/>
  <c r="BY6024" i="3" l="1"/>
  <c r="BX6023" i="3"/>
  <c r="BY6025" i="3" l="1"/>
  <c r="BX6024" i="3"/>
  <c r="BY6026" i="3" l="1"/>
  <c r="BX6025" i="3"/>
  <c r="BY6027" i="3" l="1"/>
  <c r="BX6026" i="3"/>
  <c r="BY6028" i="3" l="1"/>
  <c r="BX6027" i="3"/>
  <c r="BY6029" i="3" l="1"/>
  <c r="BX6028" i="3"/>
  <c r="BY6030" i="3" l="1"/>
  <c r="BX6029" i="3"/>
  <c r="BY6031" i="3" l="1"/>
  <c r="BX6030" i="3"/>
  <c r="BY6032" i="3" l="1"/>
  <c r="BX6031" i="3"/>
  <c r="BY6033" i="3" l="1"/>
  <c r="BX6032" i="3"/>
  <c r="BY6034" i="3" l="1"/>
  <c r="BX6033" i="3"/>
  <c r="BY6035" i="3" l="1"/>
  <c r="BX6034" i="3"/>
  <c r="BY6036" i="3" l="1"/>
  <c r="BX6035" i="3"/>
  <c r="BY6037" i="3" l="1"/>
  <c r="BX6036" i="3"/>
  <c r="BY6038" i="3" l="1"/>
  <c r="BX6037" i="3"/>
  <c r="BY6039" i="3" l="1"/>
  <c r="BX6038" i="3"/>
  <c r="BY6040" i="3" l="1"/>
  <c r="BX6039" i="3"/>
  <c r="BY6041" i="3" l="1"/>
  <c r="BX6040" i="3"/>
  <c r="BY6042" i="3" l="1"/>
  <c r="BX6041" i="3"/>
  <c r="BY6043" i="3" l="1"/>
  <c r="BX6042" i="3"/>
  <c r="BY6044" i="3" l="1"/>
  <c r="BX6043" i="3"/>
  <c r="BY6045" i="3" l="1"/>
  <c r="BX6044" i="3"/>
  <c r="BY6046" i="3" l="1"/>
  <c r="BX6045" i="3"/>
  <c r="BY6047" i="3" l="1"/>
  <c r="BX6046" i="3"/>
  <c r="BY6048" i="3" l="1"/>
  <c r="BX6047" i="3"/>
  <c r="BY6049" i="3" l="1"/>
  <c r="BX6048" i="3"/>
  <c r="BY6050" i="3" l="1"/>
  <c r="BX6049" i="3"/>
  <c r="BY6051" i="3" l="1"/>
  <c r="BX6050" i="3"/>
  <c r="BY6052" i="3" l="1"/>
  <c r="BX6051" i="3"/>
  <c r="BY6053" i="3" l="1"/>
  <c r="BX6052" i="3"/>
  <c r="BY6054" i="3" l="1"/>
  <c r="BX6053" i="3"/>
  <c r="BY6055" i="3" l="1"/>
  <c r="BX6054" i="3"/>
  <c r="BY6056" i="3" l="1"/>
  <c r="BX6055" i="3"/>
  <c r="BY6057" i="3" l="1"/>
  <c r="BX6056" i="3"/>
  <c r="BY6058" i="3" l="1"/>
  <c r="BX6057" i="3"/>
  <c r="BY6059" i="3" l="1"/>
  <c r="BX6058" i="3"/>
  <c r="BY6060" i="3" l="1"/>
  <c r="BX6059" i="3"/>
  <c r="BY6061" i="3" l="1"/>
  <c r="BX6060" i="3"/>
  <c r="BY6062" i="3" l="1"/>
  <c r="BX6061" i="3"/>
  <c r="BX6062" i="3" l="1"/>
  <c r="BY6063" i="3"/>
  <c r="BY6064" i="3" l="1"/>
  <c r="BX6063" i="3"/>
  <c r="BY6065" i="3" l="1"/>
  <c r="BX6064" i="3"/>
  <c r="BY6066" i="3" l="1"/>
  <c r="BX6065" i="3"/>
  <c r="BY6067" i="3" l="1"/>
  <c r="BX6066" i="3"/>
  <c r="BY6068" i="3" l="1"/>
  <c r="BX6067" i="3"/>
  <c r="BX6068" i="3" l="1"/>
  <c r="BY6069" i="3"/>
  <c r="BY6070" i="3" l="1"/>
  <c r="BX6069" i="3"/>
  <c r="BY6071" i="3" l="1"/>
  <c r="BX6070" i="3"/>
  <c r="BY6072" i="3" l="1"/>
  <c r="BX6071" i="3"/>
  <c r="BY6073" i="3" l="1"/>
  <c r="BX6072" i="3"/>
  <c r="BY6074" i="3" l="1"/>
  <c r="BX6073" i="3"/>
  <c r="BX6074" i="3" l="1"/>
  <c r="BY6075" i="3"/>
  <c r="BY6076" i="3" l="1"/>
  <c r="BX6075" i="3"/>
  <c r="BY6077" i="3" l="1"/>
  <c r="BX6076" i="3"/>
  <c r="BY6078" i="3" l="1"/>
  <c r="BX6077" i="3"/>
  <c r="BY6079" i="3" l="1"/>
  <c r="BX6078" i="3"/>
  <c r="BY6080" i="3" l="1"/>
  <c r="BX6079" i="3"/>
  <c r="BX6080" i="3" l="1"/>
  <c r="BY6081" i="3"/>
  <c r="BY6082" i="3" l="1"/>
  <c r="BX6081" i="3"/>
  <c r="BY6083" i="3" l="1"/>
  <c r="BX6082" i="3"/>
  <c r="BY6084" i="3" l="1"/>
  <c r="BX6083" i="3"/>
  <c r="BY6085" i="3" l="1"/>
  <c r="BX6084" i="3"/>
  <c r="BY6086" i="3" l="1"/>
  <c r="BX6085" i="3"/>
  <c r="BX6086" i="3" l="1"/>
  <c r="BY6087" i="3"/>
  <c r="BY6088" i="3" l="1"/>
  <c r="BX6087" i="3"/>
  <c r="BY6089" i="3" l="1"/>
  <c r="BX6088" i="3"/>
  <c r="BY6090" i="3" l="1"/>
  <c r="BX6089" i="3"/>
  <c r="BY6091" i="3" l="1"/>
  <c r="BX6090" i="3"/>
  <c r="BY6092" i="3" l="1"/>
  <c r="BX6091" i="3"/>
  <c r="BX6092" i="3" l="1"/>
  <c r="BY6093" i="3"/>
  <c r="BY6094" i="3" l="1"/>
  <c r="BX6093" i="3"/>
  <c r="BY6095" i="3" l="1"/>
  <c r="BX6094" i="3"/>
  <c r="BY6096" i="3" l="1"/>
  <c r="BX6095" i="3"/>
  <c r="BY6097" i="3" l="1"/>
  <c r="BX6096" i="3"/>
  <c r="BY6098" i="3" l="1"/>
  <c r="BX6097" i="3"/>
  <c r="BX6098" i="3" l="1"/>
  <c r="BY6099" i="3"/>
  <c r="BY6100" i="3" l="1"/>
  <c r="BX6099" i="3"/>
  <c r="BY6101" i="3" l="1"/>
  <c r="BX6100" i="3"/>
  <c r="BY6102" i="3" l="1"/>
  <c r="BX6101" i="3"/>
  <c r="BY6103" i="3" l="1"/>
  <c r="BX6102" i="3"/>
  <c r="BY6104" i="3" l="1"/>
  <c r="BX6103" i="3"/>
  <c r="BX6104" i="3" l="1"/>
  <c r="BY6105" i="3"/>
  <c r="BY6106" i="3" l="1"/>
  <c r="BX6105" i="3"/>
  <c r="BY6107" i="3" l="1"/>
  <c r="BX6106" i="3"/>
  <c r="BY6108" i="3" l="1"/>
  <c r="BX6107" i="3"/>
  <c r="BY6109" i="3" l="1"/>
  <c r="BX6108" i="3"/>
  <c r="BY6110" i="3" l="1"/>
  <c r="BX6109" i="3"/>
  <c r="BY6111" i="3" l="1"/>
  <c r="BX6110" i="3"/>
  <c r="BX6111" i="3" l="1"/>
  <c r="BY6112" i="3"/>
  <c r="BY6113" i="3" l="1"/>
  <c r="BX6112" i="3"/>
  <c r="BY6114" i="3" l="1"/>
  <c r="BX6113" i="3"/>
  <c r="BY6115" i="3" l="1"/>
  <c r="BX6114" i="3"/>
  <c r="BY6116" i="3" l="1"/>
  <c r="BX6115" i="3"/>
  <c r="BY6117" i="3" l="1"/>
  <c r="BX6116" i="3"/>
  <c r="BY6118" i="3" l="1"/>
  <c r="BX6117" i="3"/>
  <c r="BX6118" i="3" l="1"/>
  <c r="BY6119" i="3"/>
  <c r="BY6120" i="3" l="1"/>
  <c r="BX6119" i="3"/>
  <c r="BY6121" i="3" l="1"/>
  <c r="BX6120" i="3"/>
  <c r="BY6122" i="3" l="1"/>
  <c r="BX6121" i="3"/>
  <c r="BY6123" i="3" l="1"/>
  <c r="BX6122" i="3"/>
  <c r="BY6124" i="3" l="1"/>
  <c r="BX6123" i="3"/>
  <c r="BY6125" i="3" l="1"/>
  <c r="BX6124" i="3"/>
  <c r="BY6126" i="3" l="1"/>
  <c r="BX6125" i="3"/>
  <c r="BY6127" i="3" l="1"/>
  <c r="BX6126" i="3"/>
  <c r="BY6128" i="3" l="1"/>
  <c r="BX6127" i="3"/>
  <c r="BY6129" i="3" l="1"/>
  <c r="BX6128" i="3"/>
  <c r="BY6130" i="3" l="1"/>
  <c r="BX6129" i="3"/>
  <c r="BY6131" i="3" l="1"/>
  <c r="BX6130" i="3"/>
  <c r="BY6132" i="3" l="1"/>
  <c r="BX6131" i="3"/>
  <c r="BX6132" i="3" l="1"/>
  <c r="BY6133" i="3"/>
  <c r="BX6133" i="3" l="1"/>
  <c r="BY6134" i="3"/>
  <c r="BY6135" i="3" l="1"/>
  <c r="BX6134" i="3"/>
  <c r="BY6136" i="3" l="1"/>
  <c r="BX6135" i="3"/>
  <c r="BY6137" i="3" l="1"/>
  <c r="BX6136" i="3"/>
  <c r="BY6138" i="3" l="1"/>
  <c r="BX6137" i="3"/>
  <c r="BY6139" i="3" l="1"/>
  <c r="BX6138" i="3"/>
  <c r="BX6139" i="3" l="1"/>
  <c r="BY6140" i="3"/>
  <c r="BY6141" i="3" l="1"/>
  <c r="BX6140" i="3"/>
  <c r="BY6142" i="3" l="1"/>
  <c r="BX6141" i="3"/>
  <c r="BY6143" i="3" l="1"/>
  <c r="BX6142" i="3"/>
  <c r="BY6144" i="3" l="1"/>
  <c r="BX6143" i="3"/>
  <c r="BY6145" i="3" l="1"/>
  <c r="BX6144" i="3"/>
  <c r="BY6146" i="3" l="1"/>
  <c r="BX6145" i="3"/>
  <c r="BY6147" i="3" l="1"/>
  <c r="BX6146" i="3"/>
  <c r="BX6147" i="3" l="1"/>
  <c r="BY6148" i="3"/>
  <c r="BY6149" i="3" l="1"/>
  <c r="BX6148" i="3"/>
  <c r="BY6150" i="3" l="1"/>
  <c r="BX6149" i="3"/>
  <c r="BY6151" i="3" l="1"/>
  <c r="BX6150" i="3"/>
  <c r="BY6152" i="3" l="1"/>
  <c r="BX6151" i="3"/>
  <c r="BY6153" i="3" l="1"/>
  <c r="BX6152" i="3"/>
  <c r="BY6154" i="3" l="1"/>
  <c r="BX6153" i="3"/>
  <c r="BX6154" i="3" l="1"/>
  <c r="BY6155" i="3"/>
  <c r="BY6156" i="3" l="1"/>
  <c r="BX6155" i="3"/>
  <c r="BY6157" i="3" l="1"/>
  <c r="BX6156" i="3"/>
  <c r="BY6158" i="3" l="1"/>
  <c r="BX6157" i="3"/>
  <c r="BY6159" i="3" l="1"/>
  <c r="BX6158" i="3"/>
  <c r="BY6160" i="3" l="1"/>
  <c r="BX6159" i="3"/>
  <c r="BY6161" i="3" l="1"/>
  <c r="BX6160" i="3"/>
  <c r="BY6162" i="3" l="1"/>
  <c r="BX6161" i="3"/>
  <c r="BY6163" i="3" l="1"/>
  <c r="BX6162" i="3"/>
  <c r="BY6164" i="3" l="1"/>
  <c r="BX6163" i="3"/>
  <c r="BY6165" i="3" l="1"/>
  <c r="BX6164" i="3"/>
  <c r="BY6166" i="3" l="1"/>
  <c r="BX6165" i="3"/>
  <c r="BY6167" i="3" l="1"/>
  <c r="BX6166" i="3"/>
  <c r="BY6168" i="3" l="1"/>
  <c r="BX6167" i="3"/>
  <c r="BX6168" i="3" l="1"/>
  <c r="BY6169" i="3"/>
  <c r="BX6169" i="3" l="1"/>
  <c r="BY6170" i="3"/>
  <c r="BY6171" i="3" l="1"/>
  <c r="BX6170" i="3"/>
  <c r="BY6172" i="3" l="1"/>
  <c r="BX6171" i="3"/>
  <c r="BY6173" i="3" l="1"/>
  <c r="BX6172" i="3"/>
  <c r="BY6174" i="3" l="1"/>
  <c r="BX6173" i="3"/>
  <c r="BY6175" i="3" l="1"/>
  <c r="BX6174" i="3"/>
  <c r="BX6175" i="3" l="1"/>
  <c r="BY6176" i="3"/>
  <c r="BY6177" i="3" l="1"/>
  <c r="BX6176" i="3"/>
  <c r="BY6178" i="3" l="1"/>
  <c r="BX6177" i="3"/>
  <c r="BY6179" i="3" l="1"/>
  <c r="BX6178" i="3"/>
  <c r="BY6180" i="3" l="1"/>
  <c r="BX6179" i="3"/>
  <c r="BY6181" i="3" l="1"/>
  <c r="BX6180" i="3"/>
  <c r="BY6182" i="3" l="1"/>
  <c r="BX6181" i="3"/>
  <c r="BY6183" i="3" l="1"/>
  <c r="BX6182" i="3"/>
  <c r="BX6183" i="3" l="1"/>
  <c r="BY6184" i="3"/>
  <c r="BY6185" i="3" l="1"/>
  <c r="BX6184" i="3"/>
  <c r="BY6186" i="3" l="1"/>
  <c r="BX6185" i="3"/>
  <c r="BY6187" i="3" l="1"/>
  <c r="BX6186" i="3"/>
  <c r="BY6188" i="3" l="1"/>
  <c r="BX6187" i="3"/>
  <c r="BY6189" i="3" l="1"/>
  <c r="BX6188" i="3"/>
  <c r="BY6190" i="3" l="1"/>
  <c r="BX6189" i="3"/>
  <c r="BX6190" i="3" l="1"/>
  <c r="BY6191" i="3"/>
  <c r="BY6192" i="3" l="1"/>
  <c r="BX6191" i="3"/>
  <c r="BY6193" i="3" l="1"/>
  <c r="BX6192" i="3"/>
  <c r="BY6194" i="3" l="1"/>
  <c r="BX6193" i="3"/>
  <c r="BY6195" i="3" l="1"/>
  <c r="BX6194" i="3"/>
  <c r="BY6196" i="3" l="1"/>
  <c r="BX6195" i="3"/>
  <c r="BY6197" i="3" l="1"/>
  <c r="BX6196" i="3"/>
  <c r="BY6198" i="3" l="1"/>
  <c r="BX6197" i="3"/>
  <c r="BY6199" i="3" l="1"/>
  <c r="BX6198" i="3"/>
  <c r="BY6200" i="3" l="1"/>
  <c r="BX6199" i="3"/>
  <c r="BY6201" i="3" l="1"/>
  <c r="BX6200" i="3"/>
  <c r="BY6202" i="3" l="1"/>
  <c r="BX6201" i="3"/>
  <c r="BY6203" i="3" l="1"/>
  <c r="BX6202" i="3"/>
  <c r="BY6204" i="3" l="1"/>
  <c r="BX6203" i="3"/>
  <c r="BX6204" i="3" l="1"/>
  <c r="BY6205" i="3"/>
  <c r="BX6205" i="3" l="1"/>
  <c r="BY6206" i="3"/>
  <c r="BY6207" i="3" l="1"/>
  <c r="BX6206" i="3"/>
  <c r="BY6208" i="3" l="1"/>
  <c r="BX6207" i="3"/>
  <c r="BY6209" i="3" l="1"/>
  <c r="BX6208" i="3"/>
  <c r="BY6210" i="3" l="1"/>
  <c r="BX6209" i="3"/>
  <c r="BY6211" i="3" l="1"/>
  <c r="BX6210" i="3"/>
  <c r="BX6211" i="3" l="1"/>
  <c r="BY6212" i="3"/>
  <c r="BY6213" i="3" l="1"/>
  <c r="BX6212" i="3"/>
  <c r="BY6214" i="3" l="1"/>
  <c r="BX6213" i="3"/>
  <c r="BY6215" i="3" l="1"/>
  <c r="BX6214" i="3"/>
  <c r="BY6216" i="3" l="1"/>
  <c r="BX6215" i="3"/>
  <c r="BY6217" i="3" l="1"/>
  <c r="BX6216" i="3"/>
  <c r="BY6218" i="3" l="1"/>
  <c r="BX6217" i="3"/>
  <c r="BY6219" i="3" l="1"/>
  <c r="BX6218" i="3"/>
  <c r="BX6219" i="3" l="1"/>
  <c r="BY6220" i="3"/>
  <c r="BY6221" i="3" l="1"/>
  <c r="BX6220" i="3"/>
  <c r="BY6222" i="3" l="1"/>
  <c r="BX6221" i="3"/>
  <c r="BY6223" i="3" l="1"/>
  <c r="BX6222" i="3"/>
  <c r="BY6224" i="3" l="1"/>
  <c r="BX6223" i="3"/>
  <c r="BY6225" i="3" l="1"/>
  <c r="BX6224" i="3"/>
  <c r="BY6226" i="3" l="1"/>
  <c r="BX6225" i="3"/>
  <c r="BX6226" i="3" l="1"/>
  <c r="BY6227" i="3"/>
  <c r="BY6228" i="3" l="1"/>
  <c r="BX6227" i="3"/>
  <c r="BY6229" i="3" l="1"/>
  <c r="BX6228" i="3"/>
  <c r="BY6230" i="3" l="1"/>
  <c r="BX6229" i="3"/>
  <c r="BY6231" i="3" l="1"/>
  <c r="BX6230" i="3"/>
  <c r="BY6232" i="3" l="1"/>
  <c r="BX6231" i="3"/>
  <c r="BY6233" i="3" l="1"/>
  <c r="BX6232" i="3"/>
  <c r="BY6234" i="3" l="1"/>
  <c r="BX6233" i="3"/>
  <c r="BY6235" i="3" l="1"/>
  <c r="BX6234" i="3"/>
  <c r="BY6236" i="3" l="1"/>
  <c r="BX6235" i="3"/>
  <c r="BY6237" i="3" l="1"/>
  <c r="BX6236" i="3"/>
  <c r="BY6238" i="3" l="1"/>
  <c r="BX6237" i="3"/>
  <c r="BY6239" i="3" l="1"/>
  <c r="BX6238" i="3"/>
  <c r="BY6240" i="3" l="1"/>
  <c r="BX6239" i="3"/>
  <c r="BX6240" i="3" l="1"/>
  <c r="BY6241" i="3"/>
  <c r="BX6241" i="3" l="1"/>
  <c r="BY6242" i="3"/>
  <c r="BY6243" i="3" l="1"/>
  <c r="BX6242" i="3"/>
  <c r="BY6244" i="3" l="1"/>
  <c r="BX6243" i="3"/>
  <c r="BY6245" i="3" l="1"/>
  <c r="BX6244" i="3"/>
  <c r="BY6246" i="3" l="1"/>
  <c r="BX6245" i="3"/>
  <c r="BY6247" i="3" l="1"/>
  <c r="BX6246" i="3"/>
  <c r="BX6247" i="3" l="1"/>
  <c r="BY6248" i="3"/>
  <c r="BY6249" i="3" l="1"/>
  <c r="BX6248" i="3"/>
  <c r="BY6250" i="3" l="1"/>
  <c r="BX6249" i="3"/>
  <c r="BY6251" i="3" l="1"/>
  <c r="BX6250" i="3"/>
  <c r="BY6252" i="3" l="1"/>
  <c r="BX6251" i="3"/>
  <c r="BY6253" i="3" l="1"/>
  <c r="BX6252" i="3"/>
  <c r="BY6254" i="3" l="1"/>
  <c r="BX6253" i="3"/>
  <c r="BY6255" i="3" l="1"/>
  <c r="BX6254" i="3"/>
  <c r="BX6255" i="3" l="1"/>
  <c r="BY6256" i="3"/>
  <c r="BY6257" i="3" l="1"/>
  <c r="BX6256" i="3"/>
  <c r="BY6258" i="3" l="1"/>
  <c r="BX6257" i="3"/>
  <c r="BY6259" i="3" l="1"/>
  <c r="BX6258" i="3"/>
  <c r="BY6260" i="3" l="1"/>
  <c r="BX6259" i="3"/>
  <c r="BY6261" i="3" l="1"/>
  <c r="BX6260" i="3"/>
  <c r="BY6262" i="3" l="1"/>
  <c r="BX6261" i="3"/>
  <c r="BX6262" i="3" l="1"/>
  <c r="BY6263" i="3"/>
  <c r="BY6264" i="3" l="1"/>
  <c r="BX6263" i="3"/>
  <c r="BY6265" i="3" l="1"/>
  <c r="BX6264" i="3"/>
  <c r="BY6266" i="3" l="1"/>
  <c r="BX6265" i="3"/>
  <c r="BY6267" i="3" l="1"/>
  <c r="BX6266" i="3"/>
  <c r="BY6268" i="3" l="1"/>
  <c r="BX6267" i="3"/>
  <c r="BY6269" i="3" l="1"/>
  <c r="BX6268" i="3"/>
  <c r="BY6270" i="3" l="1"/>
  <c r="BX6269" i="3"/>
  <c r="BY6271" i="3" l="1"/>
  <c r="BX6270" i="3"/>
  <c r="BY6272" i="3" l="1"/>
  <c r="BX6271" i="3"/>
  <c r="BY6273" i="3" l="1"/>
  <c r="BX6272" i="3"/>
  <c r="BY6274" i="3" l="1"/>
  <c r="BX6273" i="3"/>
  <c r="BY6275" i="3" l="1"/>
  <c r="BX6274" i="3"/>
  <c r="BY6276" i="3" l="1"/>
  <c r="BX6275" i="3"/>
  <c r="BX6276" i="3" l="1"/>
  <c r="BY6277" i="3"/>
  <c r="BX6277" i="3" l="1"/>
  <c r="BY6278" i="3"/>
  <c r="BY6279" i="3" l="1"/>
  <c r="BX6278" i="3"/>
  <c r="BY6280" i="3" l="1"/>
  <c r="BX6279" i="3"/>
  <c r="BY6281" i="3" l="1"/>
  <c r="BX6280" i="3"/>
  <c r="BY6282" i="3" l="1"/>
  <c r="BX6281" i="3"/>
  <c r="BY6283" i="3" l="1"/>
  <c r="BX6282" i="3"/>
  <c r="BX6283" i="3" l="1"/>
  <c r="BY6284" i="3"/>
  <c r="BY6285" i="3" l="1"/>
  <c r="BX6284" i="3"/>
  <c r="BY6286" i="3" l="1"/>
  <c r="BX6285" i="3"/>
  <c r="BY6287" i="3" l="1"/>
  <c r="BX6286" i="3"/>
  <c r="BY6288" i="3" l="1"/>
  <c r="BX6287" i="3"/>
  <c r="BY6289" i="3" l="1"/>
  <c r="BX6288" i="3"/>
  <c r="BY6290" i="3" l="1"/>
  <c r="BX6289" i="3"/>
  <c r="BY6291" i="3" l="1"/>
  <c r="BX6290" i="3"/>
  <c r="BX6291" i="3" l="1"/>
  <c r="BY6292" i="3"/>
  <c r="BY6293" i="3" l="1"/>
  <c r="BX6292" i="3"/>
  <c r="BY6294" i="3" l="1"/>
  <c r="BX6293" i="3"/>
  <c r="BY6295" i="3" l="1"/>
  <c r="BX6294" i="3"/>
  <c r="BY6296" i="3" l="1"/>
  <c r="BX6295" i="3"/>
  <c r="BY6297" i="3" l="1"/>
  <c r="BX6296" i="3"/>
  <c r="BY6298" i="3" l="1"/>
  <c r="BX6297" i="3"/>
  <c r="BX6298" i="3" l="1"/>
  <c r="BY6299" i="3"/>
  <c r="BY6300" i="3" l="1"/>
  <c r="BX6299" i="3"/>
  <c r="BY6301" i="3" l="1"/>
  <c r="BX6300" i="3"/>
  <c r="BY6302" i="3" l="1"/>
  <c r="BX6301" i="3"/>
  <c r="BY6303" i="3" l="1"/>
  <c r="BX6302" i="3"/>
  <c r="BY6304" i="3" l="1"/>
  <c r="BX6303" i="3"/>
  <c r="BY6305" i="3" l="1"/>
  <c r="BX6304" i="3"/>
  <c r="BY6306" i="3" l="1"/>
  <c r="BX6305" i="3"/>
  <c r="BY6307" i="3" l="1"/>
  <c r="BX6306" i="3"/>
  <c r="BY6308" i="3" l="1"/>
  <c r="BX6307" i="3"/>
  <c r="BY6309" i="3" l="1"/>
  <c r="BX6308" i="3"/>
  <c r="BY6310" i="3" l="1"/>
  <c r="BX6309" i="3"/>
  <c r="BY6311" i="3" l="1"/>
  <c r="BX6310" i="3"/>
  <c r="BY6312" i="3" l="1"/>
  <c r="BX6311" i="3"/>
  <c r="BX6312" i="3" l="1"/>
  <c r="BY6313" i="3"/>
  <c r="BX6313" i="3" l="1"/>
  <c r="BY6314" i="3"/>
  <c r="BY6315" i="3" l="1"/>
  <c r="BX6314" i="3"/>
  <c r="BY6316" i="3" l="1"/>
  <c r="BX6315" i="3"/>
  <c r="BY6317" i="3" l="1"/>
  <c r="BX6316" i="3"/>
  <c r="BY6318" i="3" l="1"/>
  <c r="BX6317" i="3"/>
  <c r="BY6319" i="3" l="1"/>
  <c r="BX6318" i="3"/>
  <c r="BX6319" i="3" l="1"/>
  <c r="BY6320" i="3"/>
  <c r="BY6321" i="3" l="1"/>
  <c r="BX6320" i="3"/>
  <c r="BY6322" i="3" l="1"/>
  <c r="BX6321" i="3"/>
  <c r="BY6323" i="3" l="1"/>
  <c r="BX6322" i="3"/>
  <c r="BY6324" i="3" l="1"/>
  <c r="BX6323" i="3"/>
  <c r="BY6325" i="3" l="1"/>
  <c r="BX6324" i="3"/>
  <c r="BY6326" i="3" l="1"/>
  <c r="BX6325" i="3"/>
  <c r="BY6327" i="3" l="1"/>
  <c r="BX6326" i="3"/>
  <c r="BX6327" i="3" l="1"/>
  <c r="BY6328" i="3"/>
  <c r="BY6329" i="3" l="1"/>
  <c r="BX6328" i="3"/>
  <c r="BY6330" i="3" l="1"/>
  <c r="BX6329" i="3"/>
  <c r="BY6331" i="3" l="1"/>
  <c r="BX6330" i="3"/>
  <c r="BY6332" i="3" l="1"/>
  <c r="BX6331" i="3"/>
  <c r="BY6333" i="3" l="1"/>
  <c r="BX6332" i="3"/>
  <c r="BY6334" i="3" l="1"/>
  <c r="BX6333" i="3"/>
  <c r="BX6334" i="3" l="1"/>
  <c r="BY6335" i="3"/>
  <c r="BY6336" i="3" l="1"/>
  <c r="BX6335" i="3"/>
  <c r="BY6337" i="3" l="1"/>
  <c r="BX6336" i="3"/>
  <c r="BY6338" i="3" l="1"/>
  <c r="BX6337" i="3"/>
  <c r="BY6339" i="3" l="1"/>
  <c r="BX6338" i="3"/>
  <c r="BY6340" i="3" l="1"/>
  <c r="BX6339" i="3"/>
  <c r="BY6341" i="3" l="1"/>
  <c r="BX6340" i="3"/>
  <c r="BY6342" i="3" l="1"/>
  <c r="BX6341" i="3"/>
  <c r="BY6343" i="3" l="1"/>
  <c r="BX6342" i="3"/>
  <c r="BY6344" i="3" l="1"/>
  <c r="BX6343" i="3"/>
  <c r="BY6345" i="3" l="1"/>
  <c r="BX6344" i="3"/>
  <c r="BY6346" i="3" l="1"/>
  <c r="BX6345" i="3"/>
  <c r="BY6347" i="3" l="1"/>
  <c r="BX6346" i="3"/>
  <c r="BY6348" i="3" l="1"/>
  <c r="BX6347" i="3"/>
  <c r="BX6348" i="3" l="1"/>
  <c r="BY6349" i="3"/>
  <c r="BX6349" i="3" l="1"/>
  <c r="BY6350" i="3"/>
  <c r="BY6351" i="3" l="1"/>
  <c r="BX6350" i="3"/>
  <c r="BY6352" i="3" l="1"/>
  <c r="BX6351" i="3"/>
  <c r="BY6353" i="3" l="1"/>
  <c r="BX6352" i="3"/>
  <c r="BY6354" i="3" l="1"/>
  <c r="BX6353" i="3"/>
  <c r="BY6355" i="3" l="1"/>
  <c r="BX6354" i="3"/>
  <c r="BX6355" i="3" l="1"/>
  <c r="BY6356" i="3"/>
  <c r="BY6357" i="3" l="1"/>
  <c r="BX6356" i="3"/>
  <c r="BY6358" i="3" l="1"/>
  <c r="BX6357" i="3"/>
  <c r="BY6359" i="3" l="1"/>
  <c r="BX6358" i="3"/>
  <c r="BY6360" i="3" l="1"/>
  <c r="BX6359" i="3"/>
  <c r="BY6361" i="3" l="1"/>
  <c r="BX6360" i="3"/>
  <c r="BY6362" i="3" l="1"/>
  <c r="BX6361" i="3"/>
  <c r="BY6363" i="3" l="1"/>
  <c r="BX6362" i="3"/>
  <c r="BX6363" i="3" l="1"/>
  <c r="BY6364" i="3"/>
  <c r="BY6365" i="3" l="1"/>
  <c r="BX6364" i="3"/>
  <c r="BY6366" i="3" l="1"/>
  <c r="BX6365" i="3"/>
  <c r="BY6367" i="3" l="1"/>
  <c r="BX6366" i="3"/>
  <c r="BY6368" i="3" l="1"/>
  <c r="BX6367" i="3"/>
  <c r="BY6369" i="3" l="1"/>
  <c r="BX6368" i="3"/>
  <c r="BY6370" i="3" l="1"/>
  <c r="BX6369" i="3"/>
  <c r="BX6370" i="3" l="1"/>
  <c r="BY6371" i="3"/>
  <c r="BY6372" i="3" l="1"/>
  <c r="BX6371" i="3"/>
  <c r="BY6373" i="3" l="1"/>
  <c r="BX6372" i="3"/>
  <c r="BY6374" i="3" l="1"/>
  <c r="BX6373" i="3"/>
  <c r="BY6375" i="3" l="1"/>
  <c r="BX6374" i="3"/>
  <c r="BY6376" i="3" l="1"/>
  <c r="BX6375" i="3"/>
  <c r="BY6377" i="3" l="1"/>
  <c r="BX6376" i="3"/>
  <c r="BY6378" i="3" l="1"/>
  <c r="BX6377" i="3"/>
  <c r="BY6379" i="3" l="1"/>
  <c r="BX6378" i="3"/>
  <c r="BY6380" i="3" l="1"/>
  <c r="BX6379" i="3"/>
  <c r="BY6381" i="3" l="1"/>
  <c r="BX6380" i="3"/>
  <c r="BY6382" i="3" l="1"/>
  <c r="BX6381" i="3"/>
  <c r="BY6383" i="3" l="1"/>
  <c r="BX6382" i="3"/>
  <c r="BY6384" i="3" l="1"/>
  <c r="BX6383" i="3"/>
  <c r="BX6384" i="3" l="1"/>
  <c r="BY6385" i="3"/>
  <c r="BX6385" i="3" l="1"/>
  <c r="BY6386" i="3"/>
  <c r="BY6387" i="3" l="1"/>
  <c r="BX6386" i="3"/>
  <c r="BY6388" i="3" l="1"/>
  <c r="BX6387" i="3"/>
  <c r="BY6389" i="3" l="1"/>
  <c r="BX6388" i="3"/>
  <c r="BY6390" i="3" l="1"/>
  <c r="BX6389" i="3"/>
  <c r="BY6391" i="3" l="1"/>
  <c r="BX6390" i="3"/>
  <c r="BX6391" i="3" l="1"/>
  <c r="BY6392" i="3"/>
  <c r="BY6393" i="3" l="1"/>
  <c r="BX6392" i="3"/>
  <c r="BY6394" i="3" l="1"/>
  <c r="BX6393" i="3"/>
  <c r="BY6395" i="3" l="1"/>
  <c r="BX6394" i="3"/>
  <c r="BY6396" i="3" l="1"/>
  <c r="BX6395" i="3"/>
  <c r="BY6397" i="3" l="1"/>
  <c r="BX6396" i="3"/>
  <c r="BY6398" i="3" l="1"/>
  <c r="BX6397" i="3"/>
  <c r="BY6399" i="3" l="1"/>
  <c r="BX6398" i="3"/>
  <c r="BX6399" i="3" l="1"/>
  <c r="BY6400" i="3"/>
  <c r="BY6401" i="3" l="1"/>
  <c r="BX6400" i="3"/>
  <c r="BY6402" i="3" l="1"/>
  <c r="BX6401" i="3"/>
  <c r="BY6403" i="3" l="1"/>
  <c r="BX6402" i="3"/>
  <c r="BY6404" i="3" l="1"/>
  <c r="BX6403" i="3"/>
  <c r="BY6405" i="3" l="1"/>
  <c r="BX6404" i="3"/>
  <c r="BY6406" i="3" l="1"/>
  <c r="BX6405" i="3"/>
  <c r="BX6406" i="3" l="1"/>
  <c r="BY6407" i="3"/>
  <c r="BY6408" i="3" l="1"/>
  <c r="BX6407" i="3"/>
  <c r="BY6409" i="3" l="1"/>
  <c r="BX6408" i="3"/>
  <c r="BY6410" i="3" l="1"/>
  <c r="BX6409" i="3"/>
  <c r="BY6411" i="3" l="1"/>
  <c r="BX6410" i="3"/>
  <c r="BY6412" i="3" l="1"/>
  <c r="BX6411" i="3"/>
  <c r="BY6413" i="3" l="1"/>
  <c r="BX6412" i="3"/>
  <c r="BY6414" i="3" l="1"/>
  <c r="BX6413" i="3"/>
  <c r="BY6415" i="3" l="1"/>
  <c r="BX6414" i="3"/>
  <c r="BY6416" i="3" l="1"/>
  <c r="BX6415" i="3"/>
  <c r="BY6417" i="3" l="1"/>
  <c r="BX6416" i="3"/>
  <c r="BY6418" i="3" l="1"/>
  <c r="BX6417" i="3"/>
  <c r="BY6419" i="3" l="1"/>
  <c r="BX6418" i="3"/>
  <c r="BY6420" i="3" l="1"/>
  <c r="BX6419" i="3"/>
  <c r="BX6420" i="3" l="1"/>
  <c r="BY6421" i="3"/>
  <c r="BX6421" i="3" l="1"/>
  <c r="BY6422" i="3"/>
  <c r="BY6423" i="3" l="1"/>
  <c r="BX6422" i="3"/>
  <c r="BY6424" i="3" l="1"/>
  <c r="BX6423" i="3"/>
  <c r="BY6425" i="3" l="1"/>
  <c r="BX6424" i="3"/>
  <c r="BY6426" i="3" l="1"/>
  <c r="BX6425" i="3"/>
  <c r="BY6427" i="3" l="1"/>
  <c r="BX6426" i="3"/>
  <c r="BX6427" i="3" l="1"/>
  <c r="BY6428" i="3"/>
  <c r="BY6429" i="3" l="1"/>
  <c r="BX6428" i="3"/>
  <c r="BY6430" i="3" l="1"/>
  <c r="BX6429" i="3"/>
  <c r="BY6431" i="3" l="1"/>
  <c r="BX6430" i="3"/>
  <c r="BY6432" i="3" l="1"/>
  <c r="BX6431" i="3"/>
  <c r="BY6433" i="3" l="1"/>
  <c r="BX6432" i="3"/>
  <c r="BY6434" i="3" l="1"/>
  <c r="BX6433" i="3"/>
  <c r="BY6435" i="3" l="1"/>
  <c r="BX6434" i="3"/>
  <c r="BX6435" i="3" l="1"/>
  <c r="BY6436" i="3"/>
  <c r="BY6437" i="3" l="1"/>
  <c r="BX6436" i="3"/>
  <c r="BY6438" i="3" l="1"/>
  <c r="BX6437" i="3"/>
  <c r="BY6439" i="3" l="1"/>
  <c r="BX6438" i="3"/>
  <c r="BY6440" i="3" l="1"/>
  <c r="BX6439" i="3"/>
  <c r="BY6441" i="3" l="1"/>
  <c r="BX6440" i="3"/>
  <c r="BY6442" i="3" l="1"/>
  <c r="BX6441" i="3"/>
  <c r="BX6442" i="3" l="1"/>
  <c r="BY6443" i="3"/>
  <c r="BY6444" i="3" l="1"/>
  <c r="BX6443" i="3"/>
  <c r="BY6445" i="3" l="1"/>
  <c r="BX6444" i="3"/>
  <c r="BY6446" i="3" l="1"/>
  <c r="BX6445" i="3"/>
  <c r="BY6447" i="3" l="1"/>
  <c r="BX6446" i="3"/>
  <c r="BY6448" i="3" l="1"/>
  <c r="BX6447" i="3"/>
  <c r="BY6449" i="3" l="1"/>
  <c r="BX6448" i="3"/>
  <c r="BY6450" i="3" l="1"/>
  <c r="BX6449" i="3"/>
  <c r="BY6451" i="3" l="1"/>
  <c r="BX6450" i="3"/>
  <c r="BY6452" i="3" l="1"/>
  <c r="BX6451" i="3"/>
  <c r="BY6453" i="3" l="1"/>
  <c r="BX6452" i="3"/>
  <c r="BY6454" i="3" l="1"/>
  <c r="BX6453" i="3"/>
  <c r="BY6455" i="3" l="1"/>
  <c r="BX6454" i="3"/>
  <c r="BY6456" i="3" l="1"/>
  <c r="BX6455" i="3"/>
  <c r="BX6456" i="3" l="1"/>
  <c r="BY6457" i="3"/>
  <c r="BX6457" i="3" l="1"/>
  <c r="BY6458" i="3"/>
  <c r="BY6459" i="3" l="1"/>
  <c r="BX6458" i="3"/>
  <c r="BY6460" i="3" l="1"/>
  <c r="BX6459" i="3"/>
  <c r="BY6461" i="3" l="1"/>
  <c r="BX6460" i="3"/>
  <c r="BY6462" i="3" l="1"/>
  <c r="BX6461" i="3"/>
  <c r="BY6463" i="3" l="1"/>
  <c r="BX6462" i="3"/>
  <c r="BX6463" i="3" l="1"/>
  <c r="BY6464" i="3"/>
  <c r="BY6465" i="3" l="1"/>
  <c r="BX6464" i="3"/>
  <c r="BY6466" i="3" l="1"/>
  <c r="BX6465" i="3"/>
  <c r="BY6467" i="3" l="1"/>
  <c r="BX6466" i="3"/>
  <c r="BY6468" i="3" l="1"/>
  <c r="BX6467" i="3"/>
  <c r="BY6469" i="3" l="1"/>
  <c r="BX6468" i="3"/>
  <c r="BY6470" i="3" l="1"/>
  <c r="BX6469" i="3"/>
  <c r="BY6471" i="3" l="1"/>
  <c r="BX6470" i="3"/>
  <c r="BX6471" i="3" l="1"/>
  <c r="BY6472" i="3"/>
  <c r="BY6473" i="3" l="1"/>
  <c r="BX6472" i="3"/>
  <c r="BY6474" i="3" l="1"/>
  <c r="BX6473" i="3"/>
  <c r="BY6475" i="3" l="1"/>
  <c r="BX6474" i="3"/>
  <c r="BY6476" i="3" l="1"/>
  <c r="BX6475" i="3"/>
  <c r="BY6477" i="3" l="1"/>
  <c r="BX6476" i="3"/>
  <c r="BY6478" i="3" l="1"/>
  <c r="BX6477" i="3"/>
  <c r="BX6478" i="3" l="1"/>
  <c r="BY6479" i="3"/>
  <c r="BY6480" i="3" l="1"/>
  <c r="BX6479" i="3"/>
  <c r="BY6481" i="3" l="1"/>
  <c r="BX6480" i="3"/>
  <c r="BY6482" i="3" l="1"/>
  <c r="BX6481" i="3"/>
  <c r="BY6483" i="3" l="1"/>
  <c r="BX6482" i="3"/>
  <c r="BY6484" i="3" l="1"/>
  <c r="BX6483" i="3"/>
  <c r="BY6485" i="3" l="1"/>
  <c r="BX6484" i="3"/>
  <c r="BY6486" i="3" l="1"/>
  <c r="BX6485" i="3"/>
  <c r="BY6487" i="3" l="1"/>
  <c r="BX6486" i="3"/>
  <c r="BY6488" i="3" l="1"/>
  <c r="BX6487" i="3"/>
  <c r="BY6489" i="3" l="1"/>
  <c r="BX6488" i="3"/>
  <c r="BY6490" i="3" l="1"/>
  <c r="BX6489" i="3"/>
  <c r="BY6491" i="3" l="1"/>
  <c r="BX6490" i="3"/>
  <c r="BY6492" i="3" l="1"/>
  <c r="BX6491" i="3"/>
  <c r="BX6492" i="3" l="1"/>
  <c r="BY6493" i="3"/>
  <c r="BX6493" i="3" l="1"/>
  <c r="BY6494" i="3"/>
  <c r="BY6495" i="3" l="1"/>
  <c r="BX6494" i="3"/>
  <c r="BY6496" i="3" l="1"/>
  <c r="BX6495" i="3"/>
  <c r="BY6497" i="3" l="1"/>
  <c r="BX6496" i="3"/>
  <c r="BY6498" i="3" l="1"/>
  <c r="BX6497" i="3"/>
  <c r="BY6499" i="3" l="1"/>
  <c r="BX6498" i="3"/>
  <c r="BX6499" i="3" l="1"/>
  <c r="BY6500" i="3"/>
  <c r="BY6501" i="3" l="1"/>
  <c r="BX6500" i="3"/>
  <c r="BY6502" i="3" l="1"/>
  <c r="BX6501" i="3"/>
  <c r="BY6503" i="3" l="1"/>
  <c r="BX6502" i="3"/>
  <c r="BY6504" i="3" l="1"/>
  <c r="BX6503" i="3"/>
  <c r="BY6505" i="3" l="1"/>
  <c r="BX6504" i="3"/>
  <c r="BY6506" i="3" l="1"/>
  <c r="BX6505" i="3"/>
  <c r="BY6507" i="3" l="1"/>
  <c r="BX6506" i="3"/>
  <c r="BX6507" i="3" l="1"/>
  <c r="BY6508" i="3"/>
  <c r="BY6509" i="3" l="1"/>
  <c r="BX6508" i="3"/>
  <c r="BY6510" i="3" l="1"/>
  <c r="BX6509" i="3"/>
  <c r="BY6511" i="3" l="1"/>
  <c r="BX6510" i="3"/>
  <c r="BY6512" i="3" l="1"/>
  <c r="BX6511" i="3"/>
  <c r="BY6513" i="3" l="1"/>
  <c r="BX6512" i="3"/>
  <c r="BY6514" i="3" l="1"/>
  <c r="BX6513" i="3"/>
  <c r="BX6514" i="3" l="1"/>
  <c r="BY6515" i="3"/>
  <c r="BY6516" i="3" l="1"/>
  <c r="BX6515" i="3"/>
  <c r="BY6517" i="3" l="1"/>
  <c r="BX6516" i="3"/>
  <c r="BY6518" i="3" l="1"/>
  <c r="BX6517" i="3"/>
  <c r="BY6519" i="3" l="1"/>
  <c r="BX6518" i="3"/>
  <c r="BY6520" i="3" l="1"/>
  <c r="BX6519" i="3"/>
  <c r="BY6521" i="3" l="1"/>
  <c r="BX6520" i="3"/>
  <c r="BY6522" i="3" l="1"/>
  <c r="BX6521" i="3"/>
  <c r="BY6523" i="3" l="1"/>
  <c r="BX6522" i="3"/>
  <c r="BY6524" i="3" l="1"/>
  <c r="BX6523" i="3"/>
  <c r="BY6525" i="3" l="1"/>
  <c r="BX6524" i="3"/>
  <c r="BY6526" i="3" l="1"/>
  <c r="BX6525" i="3"/>
  <c r="BY6527" i="3" l="1"/>
  <c r="BX6526" i="3"/>
  <c r="BY6528" i="3" l="1"/>
  <c r="BX6527" i="3"/>
  <c r="BX6528" i="3" l="1"/>
  <c r="BY6529" i="3"/>
  <c r="BX6529" i="3" l="1"/>
  <c r="BY6530" i="3"/>
  <c r="BY6531" i="3" l="1"/>
  <c r="BX6530" i="3"/>
  <c r="BY6532" i="3" l="1"/>
  <c r="BX6531" i="3"/>
  <c r="BY6533" i="3" l="1"/>
  <c r="BX6532" i="3"/>
  <c r="BY6534" i="3" l="1"/>
  <c r="BX6533" i="3"/>
  <c r="BY6535" i="3" l="1"/>
  <c r="BX6534" i="3"/>
  <c r="BX6535" i="3" l="1"/>
  <c r="BY6536" i="3"/>
  <c r="BY6537" i="3" l="1"/>
  <c r="BX6536" i="3"/>
  <c r="BY6538" i="3" l="1"/>
  <c r="BX6537" i="3"/>
  <c r="BY6539" i="3" l="1"/>
  <c r="BX6538" i="3"/>
  <c r="BY6540" i="3" l="1"/>
  <c r="BX6539" i="3"/>
  <c r="BY6541" i="3" l="1"/>
  <c r="BX6540" i="3"/>
  <c r="BY6542" i="3" l="1"/>
  <c r="BX6541" i="3"/>
  <c r="BY6543" i="3" l="1"/>
  <c r="BX6542" i="3"/>
  <c r="BX6543" i="3" l="1"/>
  <c r="BY6544" i="3"/>
  <c r="BY6545" i="3" l="1"/>
  <c r="BX6544" i="3"/>
  <c r="BY6546" i="3" l="1"/>
  <c r="BX6545" i="3"/>
  <c r="BY6547" i="3" l="1"/>
  <c r="BX6546" i="3"/>
  <c r="BY6548" i="3" l="1"/>
  <c r="BX6547" i="3"/>
  <c r="BY6549" i="3" l="1"/>
  <c r="BX6548" i="3"/>
  <c r="BY6550" i="3" l="1"/>
  <c r="BX6549" i="3"/>
  <c r="BX6550" i="3" l="1"/>
  <c r="BY6551" i="3"/>
  <c r="BY6552" i="3" l="1"/>
  <c r="BX6551" i="3"/>
  <c r="BY6553" i="3" l="1"/>
  <c r="BX6552" i="3"/>
  <c r="BY6554" i="3" l="1"/>
  <c r="BX6553" i="3"/>
  <c r="BY6555" i="3" l="1"/>
  <c r="BX6554" i="3"/>
  <c r="BY6556" i="3" l="1"/>
  <c r="BX6555" i="3"/>
  <c r="BY6557" i="3" l="1"/>
  <c r="BX6556" i="3"/>
  <c r="BY6558" i="3" l="1"/>
  <c r="BX6557" i="3"/>
  <c r="BY6559" i="3" l="1"/>
  <c r="BX6558" i="3"/>
  <c r="BY6560" i="3" l="1"/>
  <c r="BX6559" i="3"/>
  <c r="BY6561" i="3" l="1"/>
  <c r="BX6560" i="3"/>
  <c r="BY6562" i="3" l="1"/>
  <c r="BX6561" i="3"/>
  <c r="BY6563" i="3" l="1"/>
  <c r="BX6562" i="3"/>
  <c r="BY6564" i="3" l="1"/>
  <c r="BX6563" i="3"/>
  <c r="BX6564" i="3" l="1"/>
  <c r="BY6565" i="3"/>
  <c r="BX6565" i="3" l="1"/>
  <c r="BY6566" i="3"/>
  <c r="BY6567" i="3" l="1"/>
  <c r="BX6566" i="3"/>
  <c r="BY6568" i="3" l="1"/>
  <c r="BX6567" i="3"/>
  <c r="BY6569" i="3" l="1"/>
  <c r="BX6568" i="3"/>
  <c r="BY6570" i="3" l="1"/>
  <c r="BX6569" i="3"/>
  <c r="BY6571" i="3" l="1"/>
  <c r="BX6570" i="3"/>
  <c r="BX6571" i="3" l="1"/>
  <c r="BY6572" i="3"/>
  <c r="BY6573" i="3" l="1"/>
  <c r="BX6572" i="3"/>
  <c r="BY6574" i="3" l="1"/>
  <c r="BX6573" i="3"/>
  <c r="BY6575" i="3" l="1"/>
  <c r="BX6574" i="3"/>
  <c r="BY6576" i="3" l="1"/>
  <c r="BX6575" i="3"/>
  <c r="BY6577" i="3" l="1"/>
  <c r="BX6576" i="3"/>
  <c r="BY6578" i="3" l="1"/>
  <c r="BX6577" i="3"/>
  <c r="BY6579" i="3" l="1"/>
  <c r="BX6578" i="3"/>
  <c r="BX6579" i="3" l="1"/>
  <c r="BY6580" i="3"/>
  <c r="BX6580" i="3" l="1"/>
  <c r="BY6581" i="3"/>
  <c r="BY6582" i="3" l="1"/>
  <c r="BX6581" i="3"/>
  <c r="BY6583" i="3" l="1"/>
  <c r="BX6582" i="3"/>
  <c r="BY6584" i="3" l="1"/>
  <c r="BX6583" i="3"/>
  <c r="BY6585" i="3" l="1"/>
  <c r="BX6584" i="3"/>
  <c r="BX6585" i="3" l="1"/>
  <c r="BY6586" i="3"/>
  <c r="BY6587" i="3" l="1"/>
  <c r="BX6586" i="3"/>
  <c r="BY6588" i="3" l="1"/>
  <c r="BX6587" i="3"/>
  <c r="BY6589" i="3" l="1"/>
  <c r="BX6588" i="3"/>
  <c r="BY6590" i="3" l="1"/>
  <c r="BX6589" i="3"/>
  <c r="BY6591" i="3" l="1"/>
  <c r="BX6590" i="3"/>
  <c r="BX6591" i="3" l="1"/>
  <c r="BY6592" i="3"/>
  <c r="BY6593" i="3" l="1"/>
  <c r="BX6592" i="3"/>
  <c r="BY6594" i="3" l="1"/>
  <c r="BX6593" i="3"/>
  <c r="BY6595" i="3" l="1"/>
  <c r="BX6594" i="3"/>
  <c r="BX6595" i="3" l="1"/>
  <c r="BY6596" i="3"/>
  <c r="BY6597" i="3" l="1"/>
  <c r="BX6596" i="3"/>
  <c r="BX6597" i="3" l="1"/>
  <c r="BY6598" i="3"/>
  <c r="BY6599" i="3" l="1"/>
  <c r="BX6598" i="3"/>
  <c r="BY6600" i="3" l="1"/>
  <c r="BX6599" i="3"/>
  <c r="BX6600" i="3" l="1"/>
  <c r="BY6601" i="3"/>
  <c r="BY6602" i="3" l="1"/>
  <c r="BX6601" i="3"/>
  <c r="BY6603" i="3" l="1"/>
  <c r="BX6602" i="3"/>
  <c r="BX6603" i="3" l="1"/>
  <c r="BY6604" i="3"/>
  <c r="BX6604" i="3" l="1"/>
  <c r="BY6605" i="3"/>
  <c r="BX6605" i="3" l="1"/>
  <c r="BY6606" i="3"/>
  <c r="BX6606" i="3" l="1"/>
  <c r="BY6607" i="3"/>
  <c r="BY6608" i="3" l="1"/>
  <c r="BX6607" i="3"/>
  <c r="BX6608" i="3" l="1"/>
  <c r="BY6609" i="3"/>
  <c r="BX6609" i="3" l="1"/>
  <c r="BY6610" i="3"/>
  <c r="BX6610" i="3" l="1"/>
  <c r="BY6611" i="3"/>
  <c r="BX6611" i="3" l="1"/>
  <c r="BY6612" i="3"/>
  <c r="BX6612" i="3" l="1"/>
  <c r="BY6613" i="3"/>
  <c r="BY6614" i="3" l="1"/>
  <c r="BX6613" i="3"/>
  <c r="BY6615" i="3" l="1"/>
  <c r="BX6614" i="3"/>
  <c r="BX6615" i="3" l="1"/>
  <c r="BY6616" i="3"/>
  <c r="BX6616" i="3" l="1"/>
  <c r="BY6617" i="3"/>
  <c r="BY6618" i="3" l="1"/>
  <c r="BX6617" i="3"/>
  <c r="BX6618" i="3" l="1"/>
  <c r="BY6619" i="3"/>
  <c r="BX6619" i="3" l="1"/>
  <c r="BY6620" i="3"/>
  <c r="BY6621" i="3" l="1"/>
  <c r="BX6620" i="3"/>
  <c r="BX6621" i="3" l="1"/>
  <c r="BY6622" i="3"/>
  <c r="BY6623" i="3" l="1"/>
  <c r="BX6622" i="3"/>
  <c r="BY6624" i="3" l="1"/>
  <c r="BX6623" i="3"/>
  <c r="BX6624" i="3" l="1"/>
  <c r="BY6625" i="3"/>
  <c r="BY6626" i="3" l="1"/>
  <c r="BX6625" i="3"/>
  <c r="BX6626" i="3" l="1"/>
  <c r="BY6627" i="3"/>
  <c r="BX6627" i="3" l="1"/>
  <c r="BY6628" i="3"/>
  <c r="BY6629" i="3" l="1"/>
  <c r="BX6628" i="3"/>
  <c r="BX6629" i="3" l="1"/>
  <c r="BY6630" i="3"/>
  <c r="BX6630" i="3" l="1"/>
  <c r="BY6631" i="3"/>
  <c r="BY6632" i="3" l="1"/>
  <c r="BX6631" i="3"/>
  <c r="BY6633" i="3" l="1"/>
  <c r="BX6632" i="3"/>
  <c r="BX6633" i="3" l="1"/>
  <c r="BY6634" i="3"/>
  <c r="BY6635" i="3" l="1"/>
  <c r="BX6634" i="3"/>
  <c r="BY6636" i="3" l="1"/>
  <c r="BX6635" i="3"/>
  <c r="BX6636" i="3" l="1"/>
  <c r="BY6637" i="3"/>
  <c r="BY6638" i="3" l="1"/>
  <c r="BX6637" i="3"/>
  <c r="BY6639" i="3" l="1"/>
  <c r="BX6638" i="3"/>
  <c r="BX6639" i="3" l="1"/>
  <c r="BY6640" i="3"/>
  <c r="BX6640" i="3" l="1"/>
  <c r="BY6641" i="3"/>
  <c r="BY6642" i="3" l="1"/>
  <c r="BX6641" i="3"/>
  <c r="BX6642" i="3" l="1"/>
  <c r="BY6643" i="3"/>
  <c r="BY6644" i="3" l="1"/>
  <c r="BX6643" i="3"/>
  <c r="BX6644" i="3" l="1"/>
  <c r="BY6645" i="3"/>
  <c r="BX6645" i="3" l="1"/>
  <c r="BY6646" i="3"/>
  <c r="BX6646" i="3" l="1"/>
  <c r="BY6647" i="3"/>
  <c r="BX6647" i="3" l="1"/>
  <c r="BY6648" i="3"/>
  <c r="BX6648" i="3" l="1"/>
  <c r="BY6649" i="3"/>
  <c r="BY6650" i="3" l="1"/>
  <c r="BX6649" i="3"/>
  <c r="BY6651" i="3" l="1"/>
  <c r="BX6650" i="3"/>
  <c r="BX6651" i="3" l="1"/>
  <c r="BY6652" i="3"/>
  <c r="BX6652" i="3" l="1"/>
  <c r="BY6653" i="3"/>
  <c r="BY6654" i="3" l="1"/>
  <c r="BX6653" i="3"/>
  <c r="BX6654" i="3" l="1"/>
  <c r="BY6655" i="3"/>
  <c r="BY6656" i="3" l="1"/>
  <c r="BX6655" i="3"/>
  <c r="BY6657" i="3" l="1"/>
  <c r="BX6656" i="3"/>
  <c r="BX6657" i="3" l="1"/>
  <c r="BY6658" i="3"/>
  <c r="BX6658" i="3" l="1"/>
  <c r="BY6659" i="3"/>
  <c r="BY6660" i="3" l="1"/>
  <c r="BX6659" i="3"/>
  <c r="BX6660" i="3" l="1"/>
  <c r="BY6661" i="3"/>
  <c r="BY6662" i="3" l="1"/>
  <c r="BX6661" i="3"/>
  <c r="BX6662" i="3" l="1"/>
  <c r="BY6663" i="3"/>
  <c r="BX6663" i="3" l="1"/>
  <c r="BY6664" i="3"/>
  <c r="BY6665" i="3" l="1"/>
  <c r="BX6664" i="3"/>
  <c r="BX6665" i="3" l="1"/>
  <c r="BY6666" i="3"/>
  <c r="BX6666" i="3" l="1"/>
  <c r="BY6667" i="3"/>
  <c r="BY6668" i="3" l="1"/>
  <c r="BX6667" i="3"/>
  <c r="BY6669" i="3" l="1"/>
  <c r="BX6668" i="3"/>
  <c r="BX6669" i="3" l="1"/>
  <c r="BY6670" i="3"/>
  <c r="BY6671" i="3" l="1"/>
  <c r="BX6670" i="3"/>
  <c r="BY6672" i="3" l="1"/>
  <c r="BX6671" i="3"/>
  <c r="BX6672" i="3" l="1"/>
  <c r="BY6673" i="3"/>
  <c r="BY6674" i="3" l="1"/>
  <c r="BX6673" i="3"/>
  <c r="BY6675" i="3" l="1"/>
  <c r="BX6674" i="3"/>
  <c r="BX6675" i="3" l="1"/>
  <c r="BY6676" i="3"/>
  <c r="BX6676" i="3" l="1"/>
  <c r="BY6677" i="3"/>
  <c r="BY6678" i="3" l="1"/>
  <c r="BX6677" i="3"/>
  <c r="BX6678" i="3" l="1"/>
  <c r="BY6679" i="3"/>
  <c r="BY6680" i="3" l="1"/>
  <c r="BX6679" i="3"/>
  <c r="BX6680" i="3" l="1"/>
  <c r="BY6681" i="3"/>
  <c r="BX6681" i="3" l="1"/>
  <c r="BY6682" i="3"/>
  <c r="BX6682" i="3" l="1"/>
  <c r="BY6683" i="3"/>
  <c r="BX6683" i="3" l="1"/>
  <c r="BY6684" i="3"/>
  <c r="BX6684" i="3" l="1"/>
  <c r="BY6685" i="3"/>
  <c r="BY6686" i="3" l="1"/>
  <c r="BX6685" i="3"/>
  <c r="BY6687" i="3" l="1"/>
  <c r="BX6686" i="3"/>
  <c r="BX6687" i="3" l="1"/>
  <c r="BY6688" i="3"/>
  <c r="BX6688" i="3" l="1"/>
  <c r="BY6689" i="3"/>
  <c r="BY6690" i="3" l="1"/>
  <c r="BX6689" i="3"/>
  <c r="BX6690" i="3" l="1"/>
  <c r="BY6691" i="3"/>
  <c r="BY6692" i="3" l="1"/>
  <c r="BX6691" i="3"/>
  <c r="BY6693" i="3" l="1"/>
  <c r="BX6692" i="3"/>
  <c r="BX6693" i="3" l="1"/>
  <c r="BY6694" i="3"/>
  <c r="BX6694" i="3" l="1"/>
  <c r="BY6695" i="3"/>
  <c r="BY6696" i="3" l="1"/>
  <c r="BX6695" i="3"/>
  <c r="BX6696" i="3" l="1"/>
  <c r="BY6697" i="3"/>
  <c r="BY6698" i="3" l="1"/>
  <c r="BX6697" i="3"/>
  <c r="BY6699" i="3" l="1"/>
  <c r="BX6698" i="3"/>
  <c r="BX6699" i="3" l="1"/>
  <c r="BY6700" i="3"/>
  <c r="BY6701" i="3" l="1"/>
  <c r="BX6700" i="3"/>
  <c r="BY6702" i="3" l="1"/>
  <c r="BX6701" i="3"/>
  <c r="BX6702" i="3" l="1"/>
  <c r="BY6703" i="3"/>
  <c r="BY6704" i="3" l="1"/>
  <c r="BX6703" i="3"/>
  <c r="BY6705" i="3" l="1"/>
  <c r="BX6704" i="3"/>
  <c r="BX6705" i="3" l="1"/>
  <c r="BY6706" i="3"/>
  <c r="BY6707" i="3" l="1"/>
  <c r="BX6706" i="3"/>
  <c r="BY6708" i="3" l="1"/>
  <c r="BX6707" i="3"/>
  <c r="BX6708" i="3" l="1"/>
  <c r="BY6709" i="3"/>
  <c r="BY6710" i="3" l="1"/>
  <c r="BX6709" i="3"/>
  <c r="BY6711" i="3" l="1"/>
  <c r="BX6710" i="3"/>
  <c r="BX6711" i="3" l="1"/>
  <c r="BY6712" i="3"/>
  <c r="BX6712" i="3" l="1"/>
  <c r="BY6713" i="3"/>
  <c r="BY6714" i="3" l="1"/>
  <c r="BX6713" i="3"/>
  <c r="BX6714" i="3" l="1"/>
  <c r="BY6715" i="3"/>
  <c r="BY6716" i="3" l="1"/>
  <c r="BX6715" i="3"/>
  <c r="BX6716" i="3" l="1"/>
  <c r="BY6717" i="3"/>
  <c r="BX6717" i="3" l="1"/>
  <c r="BY6718" i="3"/>
  <c r="BX6718" i="3" l="1"/>
  <c r="BY6719" i="3"/>
  <c r="BX6719" i="3" l="1"/>
  <c r="BY6720" i="3"/>
  <c r="BX6720" i="3" l="1"/>
  <c r="BY6721" i="3"/>
  <c r="BY6722" i="3" l="1"/>
  <c r="BX6721" i="3"/>
  <c r="BY6723" i="3" l="1"/>
  <c r="BX6722" i="3"/>
  <c r="BX6723" i="3" l="1"/>
  <c r="BY6724" i="3"/>
  <c r="BX6724" i="3" l="1"/>
  <c r="BY6725" i="3"/>
  <c r="BY6726" i="3" l="1"/>
  <c r="BX6725" i="3"/>
  <c r="BX6726" i="3" l="1"/>
  <c r="BY6727" i="3"/>
  <c r="BY6728" i="3" l="1"/>
  <c r="BX6727" i="3"/>
  <c r="BX6728" i="3" l="1"/>
  <c r="BY6729" i="3"/>
  <c r="BX6729" i="3" l="1"/>
  <c r="BY6730" i="3"/>
  <c r="BX6730" i="3" l="1"/>
  <c r="BY6731" i="3"/>
  <c r="BY6732" i="3" l="1"/>
  <c r="BX6731" i="3"/>
  <c r="BX6732" i="3" l="1"/>
  <c r="BY6733" i="3"/>
  <c r="BY6734" i="3" l="1"/>
  <c r="BX6733" i="3"/>
  <c r="BY6735" i="3" l="1"/>
  <c r="BX6734" i="3"/>
  <c r="BX6735" i="3" l="1"/>
  <c r="BY6736" i="3"/>
  <c r="BY6737" i="3" l="1"/>
  <c r="BX6736" i="3"/>
  <c r="BY6738" i="3" l="1"/>
  <c r="BX6737" i="3"/>
  <c r="BX6738" i="3" l="1"/>
  <c r="BY6739" i="3"/>
  <c r="BY6740" i="3" l="1"/>
  <c r="BX6739" i="3"/>
  <c r="BY6741" i="3" l="1"/>
  <c r="BX6740" i="3"/>
  <c r="BX6741" i="3" l="1"/>
  <c r="BY6742" i="3"/>
  <c r="BY6743" i="3" l="1"/>
  <c r="BX6742" i="3"/>
  <c r="BY6744" i="3" l="1"/>
  <c r="BX6743" i="3"/>
  <c r="BX6744" i="3" l="1"/>
  <c r="BY6745" i="3"/>
  <c r="BY6746" i="3" l="1"/>
  <c r="BX6745" i="3"/>
  <c r="BX6746" i="3" l="1"/>
  <c r="BY6747" i="3"/>
  <c r="BX6747" i="3" l="1"/>
  <c r="BY6748" i="3"/>
  <c r="BX6748" i="3" l="1"/>
  <c r="BY6749" i="3"/>
  <c r="BY6750" i="3" l="1"/>
  <c r="BX6749" i="3"/>
  <c r="BX6750" i="3" l="1"/>
  <c r="BY6751" i="3"/>
  <c r="BY6752" i="3" l="1"/>
  <c r="BX6751" i="3"/>
  <c r="BX6752" i="3" l="1"/>
  <c r="BY6753" i="3"/>
  <c r="BX6753" i="3" l="1"/>
  <c r="BY6754" i="3"/>
  <c r="BX6754" i="3" l="1"/>
  <c r="BY6755" i="3"/>
  <c r="BX6755" i="3" l="1"/>
  <c r="BY6756" i="3"/>
  <c r="BX6756" i="3" l="1"/>
  <c r="BY6757" i="3"/>
  <c r="BY6758" i="3" l="1"/>
  <c r="BX6757" i="3"/>
  <c r="BY6759" i="3" l="1"/>
  <c r="BX6758" i="3"/>
  <c r="BX6759" i="3" l="1"/>
  <c r="BY6760" i="3"/>
  <c r="BX6760" i="3" l="1"/>
  <c r="BY6761" i="3"/>
  <c r="BY6762" i="3" l="1"/>
  <c r="BX6761" i="3"/>
  <c r="BX6762" i="3" l="1"/>
  <c r="BY6763" i="3"/>
  <c r="BY6764" i="3" l="1"/>
  <c r="BX6763" i="3"/>
  <c r="BX6764" i="3" l="1"/>
  <c r="BY6765" i="3"/>
  <c r="BX6765" i="3" l="1"/>
  <c r="BY6766" i="3"/>
  <c r="BX6766" i="3" l="1"/>
  <c r="BY6767" i="3"/>
  <c r="BY6768" i="3" l="1"/>
  <c r="BX6767" i="3"/>
  <c r="BX6768" i="3" l="1"/>
  <c r="BY6769" i="3"/>
  <c r="BX6769" i="3" l="1"/>
  <c r="BY6770" i="3"/>
  <c r="BY6771" i="3" l="1"/>
  <c r="BX6770" i="3"/>
  <c r="BX6771" i="3" l="1"/>
  <c r="BY6772" i="3"/>
  <c r="BY6773" i="3" l="1"/>
  <c r="BX6772" i="3"/>
  <c r="BY6774" i="3" l="1"/>
  <c r="BX6773" i="3"/>
  <c r="BX6774" i="3" l="1"/>
  <c r="BY6775" i="3"/>
  <c r="BY6776" i="3" l="1"/>
  <c r="BX6775" i="3"/>
  <c r="BX6776" i="3" l="1"/>
  <c r="BY6777" i="3"/>
  <c r="BX6777" i="3" l="1"/>
  <c r="BY6778" i="3"/>
  <c r="BY6779" i="3" l="1"/>
  <c r="BX6778" i="3"/>
  <c r="BY6780" i="3" l="1"/>
  <c r="BX6779" i="3"/>
  <c r="BX6780" i="3" l="1"/>
  <c r="BY6781" i="3"/>
  <c r="BY6782" i="3" l="1"/>
  <c r="BX6781" i="3"/>
  <c r="BY6783" i="3" l="1"/>
  <c r="BX6782" i="3"/>
  <c r="BX6783" i="3" l="1"/>
  <c r="BY6784" i="3"/>
  <c r="BX6784" i="3" l="1"/>
  <c r="BY6785" i="3"/>
  <c r="BY6786" i="3" l="1"/>
  <c r="BX6785" i="3"/>
  <c r="BX6786" i="3" l="1"/>
  <c r="BY6787" i="3"/>
  <c r="BY6788" i="3" l="1"/>
  <c r="BX6787" i="3"/>
  <c r="BX6788" i="3" l="1"/>
  <c r="BY6789" i="3"/>
  <c r="BX6789" i="3" l="1"/>
  <c r="BY6790" i="3"/>
  <c r="BX6790" i="3" l="1"/>
  <c r="BY6791" i="3"/>
  <c r="BX6791" i="3" l="1"/>
  <c r="BY6792" i="3"/>
  <c r="BX6792" i="3" l="1"/>
  <c r="BY6793" i="3"/>
  <c r="BY6794" i="3" l="1"/>
  <c r="BX6793" i="3"/>
  <c r="BY6795" i="3" l="1"/>
  <c r="BX6794" i="3"/>
  <c r="BX6795" i="3" l="1"/>
  <c r="BY6796" i="3"/>
  <c r="BY6797" i="3" l="1"/>
  <c r="BX6796" i="3"/>
  <c r="BY6798" i="3" l="1"/>
  <c r="BX6797" i="3"/>
  <c r="BX6798" i="3" l="1"/>
  <c r="BY6799" i="3"/>
  <c r="BY6800" i="3" l="1"/>
  <c r="BX6799" i="3"/>
  <c r="BY6801" i="3" l="1"/>
  <c r="BX6800" i="3"/>
  <c r="BX6801" i="3" l="1"/>
  <c r="BY6802" i="3"/>
  <c r="BX6802" i="3" l="1"/>
  <c r="BY6803" i="3"/>
  <c r="BY6804" i="3" l="1"/>
  <c r="BX6803" i="3"/>
  <c r="BX6804" i="3" l="1"/>
  <c r="BY6805" i="3"/>
  <c r="BX6805" i="3" l="1"/>
  <c r="BY6806" i="3"/>
  <c r="BY6807" i="3" l="1"/>
  <c r="BX6806" i="3"/>
  <c r="BX6807" i="3" l="1"/>
  <c r="BY6808" i="3"/>
  <c r="BY6809" i="3" l="1"/>
  <c r="BX6808" i="3"/>
  <c r="BY6810" i="3" l="1"/>
  <c r="BX6809" i="3"/>
  <c r="BX6810" i="3" l="1"/>
  <c r="BY6811" i="3"/>
  <c r="BY6812" i="3" l="1"/>
  <c r="BX6811" i="3"/>
  <c r="BX6812" i="3" l="1"/>
  <c r="BY6813" i="3"/>
  <c r="BX6813" i="3" l="1"/>
  <c r="BY6814" i="3"/>
  <c r="BY6815" i="3" l="1"/>
  <c r="BX6814" i="3"/>
  <c r="BY6816" i="3" l="1"/>
  <c r="BX6815" i="3"/>
  <c r="BX6816" i="3" l="1"/>
  <c r="BY6817" i="3"/>
  <c r="BY6818" i="3" l="1"/>
  <c r="BX6817" i="3"/>
  <c r="BY6819" i="3" l="1"/>
  <c r="BX6818" i="3"/>
  <c r="BX6819" i="3" l="1"/>
  <c r="BY6820" i="3"/>
  <c r="BX6820" i="3" l="1"/>
  <c r="BY6821" i="3"/>
  <c r="BY6822" i="3" l="1"/>
  <c r="BX6821" i="3"/>
  <c r="BX6822" i="3" l="1"/>
  <c r="BY6823" i="3"/>
  <c r="BY6824" i="3" l="1"/>
  <c r="BX6823" i="3"/>
  <c r="BY6825" i="3" l="1"/>
  <c r="BX6824" i="3"/>
  <c r="BX6825" i="3" l="1"/>
  <c r="BY6826" i="3"/>
  <c r="BX6826" i="3" l="1"/>
  <c r="BY6827" i="3"/>
  <c r="BX6827" i="3" l="1"/>
  <c r="BY6828" i="3"/>
  <c r="BX6828" i="3" l="1"/>
  <c r="BY6829" i="3"/>
  <c r="BY6830" i="3" l="1"/>
  <c r="BX6829" i="3"/>
  <c r="BY6831" i="3" l="1"/>
  <c r="BX6830" i="3"/>
  <c r="BX6831" i="3" l="1"/>
  <c r="BY6832" i="3"/>
  <c r="BY6833" i="3" l="1"/>
  <c r="BX6832" i="3"/>
  <c r="BY6834" i="3" l="1"/>
  <c r="BX6833" i="3"/>
  <c r="BX6834" i="3" l="1"/>
  <c r="BY6835" i="3"/>
  <c r="BY6836" i="3" l="1"/>
  <c r="BX6835" i="3"/>
  <c r="BY6837" i="3" l="1"/>
  <c r="BX6836" i="3"/>
  <c r="BX6837" i="3" l="1"/>
  <c r="BY6838" i="3"/>
  <c r="BY6839" i="3" l="1"/>
  <c r="BX6838" i="3"/>
  <c r="BY6840" i="3" l="1"/>
  <c r="BX6839" i="3"/>
  <c r="BX6840" i="3" l="1"/>
  <c r="BY6841" i="3"/>
  <c r="BX6841" i="3" l="1"/>
  <c r="BY6842" i="3"/>
  <c r="BY6843" i="3" l="1"/>
  <c r="BX6842" i="3"/>
  <c r="BX6843" i="3" l="1"/>
  <c r="BY6844" i="3"/>
  <c r="BY6845" i="3" l="1"/>
  <c r="BX6844" i="3"/>
  <c r="BY6846" i="3" l="1"/>
  <c r="BX6845" i="3"/>
  <c r="BX6846" i="3" l="1"/>
  <c r="BY6847" i="3"/>
  <c r="BY6848" i="3" l="1"/>
  <c r="BX6847" i="3"/>
  <c r="BX6848" i="3" l="1"/>
  <c r="BY6849" i="3"/>
  <c r="BX6849" i="3" l="1"/>
  <c r="BY6850" i="3"/>
  <c r="BY6851" i="3" l="1"/>
  <c r="BX6850" i="3"/>
  <c r="BY6852" i="3" l="1"/>
  <c r="BX6851" i="3"/>
  <c r="BX6852" i="3" l="1"/>
  <c r="BY6853" i="3"/>
  <c r="BY6854" i="3" l="1"/>
  <c r="BX6853" i="3"/>
  <c r="BY6855" i="3" l="1"/>
  <c r="BX6854" i="3"/>
  <c r="BX6855" i="3" l="1"/>
  <c r="BY6856" i="3"/>
  <c r="BX6856" i="3" l="1"/>
  <c r="BY6857" i="3"/>
  <c r="BY6858" i="3" l="1"/>
  <c r="BX6857" i="3"/>
  <c r="BX6858" i="3" l="1"/>
  <c r="BY6859" i="3"/>
  <c r="BY6860" i="3" l="1"/>
  <c r="BX6859" i="3"/>
  <c r="BY6861" i="3" l="1"/>
  <c r="BX6860" i="3"/>
  <c r="BX6861" i="3" l="1"/>
  <c r="BY6862" i="3"/>
  <c r="BX6862" i="3" l="1"/>
  <c r="BY6863" i="3"/>
  <c r="BX6863" i="3" l="1"/>
  <c r="BY6864" i="3"/>
  <c r="BX6864" i="3" l="1"/>
  <c r="BY6865" i="3"/>
  <c r="BY6866" i="3" l="1"/>
  <c r="BX6865" i="3"/>
  <c r="BY6867" i="3" l="1"/>
  <c r="BX6866" i="3"/>
  <c r="BX6867" i="3" l="1"/>
  <c r="BY6868" i="3"/>
  <c r="BY6869" i="3" l="1"/>
  <c r="BX6868" i="3"/>
  <c r="BY6870" i="3" l="1"/>
  <c r="BX6869" i="3"/>
  <c r="BX6870" i="3" l="1"/>
  <c r="BY6871" i="3"/>
  <c r="BY6872" i="3" l="1"/>
  <c r="BX6871" i="3"/>
  <c r="BY6873" i="3" l="1"/>
  <c r="BX6872" i="3"/>
  <c r="BX6873" i="3" l="1"/>
  <c r="BY6874" i="3"/>
  <c r="BY6875" i="3" l="1"/>
  <c r="BX6874" i="3"/>
  <c r="BY6876" i="3" l="1"/>
  <c r="BX6875" i="3"/>
  <c r="BX6876" i="3" l="1"/>
  <c r="BY6877" i="3"/>
  <c r="BX6877" i="3" l="1"/>
  <c r="BY6878" i="3"/>
  <c r="BY6879" i="3" l="1"/>
  <c r="BX6878" i="3"/>
  <c r="BX6879" i="3" l="1"/>
  <c r="BY6880" i="3"/>
  <c r="BY6881" i="3" l="1"/>
  <c r="BX6880" i="3"/>
  <c r="BY6882" i="3" l="1"/>
  <c r="BX6881" i="3"/>
  <c r="BX6882" i="3" l="1"/>
  <c r="BY6883" i="3"/>
  <c r="BY6884" i="3" l="1"/>
  <c r="BX6883" i="3"/>
  <c r="BX6884" i="3" l="1"/>
  <c r="BY6885" i="3"/>
  <c r="BX6885" i="3" l="1"/>
  <c r="BY6886" i="3"/>
  <c r="BY6887" i="3" l="1"/>
  <c r="BX6886" i="3"/>
  <c r="BY6888" i="3" l="1"/>
  <c r="BX6887" i="3"/>
  <c r="BX6888" i="3" l="1"/>
  <c r="BY6889" i="3"/>
  <c r="BY6890" i="3" l="1"/>
  <c r="BX6889" i="3"/>
  <c r="BY6891" i="3" l="1"/>
  <c r="BX6890" i="3"/>
  <c r="BX6891" i="3" l="1"/>
  <c r="BY6892" i="3"/>
  <c r="BX6892" i="3" l="1"/>
  <c r="BY6893" i="3"/>
  <c r="BY6894" i="3" l="1"/>
  <c r="BX6893" i="3"/>
  <c r="BX6894" i="3" l="1"/>
  <c r="BY6895" i="3"/>
  <c r="BY6896" i="3" l="1"/>
  <c r="BX6895" i="3"/>
  <c r="BY6897" i="3" l="1"/>
  <c r="BX6896" i="3"/>
  <c r="BX6897" i="3" l="1"/>
  <c r="BY6898" i="3"/>
  <c r="BX6898" i="3" l="1"/>
  <c r="BY6899" i="3"/>
  <c r="BX6899" i="3" l="1"/>
  <c r="BY6900" i="3"/>
  <c r="BX6900" i="3" l="1"/>
  <c r="BY6901" i="3"/>
  <c r="BY6902" i="3" l="1"/>
  <c r="BX6901" i="3"/>
  <c r="BY6903" i="3" l="1"/>
  <c r="BX6902" i="3"/>
  <c r="BX6903" i="3" l="1"/>
  <c r="BY6904" i="3"/>
  <c r="BY6905" i="3" l="1"/>
  <c r="BX6904" i="3"/>
  <c r="BY6906" i="3" l="1"/>
  <c r="BX6905" i="3"/>
  <c r="BX6906" i="3" l="1"/>
  <c r="BY6907" i="3"/>
  <c r="BY6908" i="3" l="1"/>
  <c r="BX6907" i="3"/>
  <c r="BY6909" i="3" l="1"/>
  <c r="BX6908" i="3"/>
  <c r="BX6909" i="3" l="1"/>
  <c r="BY6910" i="3"/>
  <c r="BY6911" i="3" l="1"/>
  <c r="BX6910" i="3"/>
  <c r="BY6912" i="3" l="1"/>
  <c r="BX6911" i="3"/>
  <c r="BX6912" i="3" l="1"/>
  <c r="BY6913" i="3"/>
  <c r="BX6913" i="3" l="1"/>
  <c r="BY6914" i="3"/>
  <c r="BY6915" i="3" l="1"/>
  <c r="BX6914" i="3"/>
  <c r="BX6915" i="3" l="1"/>
  <c r="BY6916" i="3"/>
  <c r="BY6917" i="3" l="1"/>
  <c r="BX6916" i="3"/>
  <c r="BY6918" i="3" l="1"/>
  <c r="BX6917" i="3"/>
  <c r="BX6918" i="3" l="1"/>
  <c r="BY6919" i="3"/>
  <c r="BY6920" i="3" l="1"/>
  <c r="BX6919" i="3"/>
  <c r="BX6920" i="3" l="1"/>
  <c r="BY6921" i="3"/>
  <c r="BX6921" i="3" l="1"/>
  <c r="BY6922" i="3"/>
  <c r="BY6923" i="3" l="1"/>
  <c r="BX6922" i="3"/>
  <c r="BY6924" i="3" l="1"/>
  <c r="BX6923" i="3"/>
  <c r="BX6924" i="3" l="1"/>
  <c r="BY6925" i="3"/>
  <c r="BY6926" i="3" l="1"/>
  <c r="BX6925" i="3"/>
  <c r="BY6927" i="3" l="1"/>
  <c r="BX6926" i="3"/>
  <c r="BX6927" i="3" l="1"/>
  <c r="BY6928" i="3"/>
  <c r="BX6928" i="3" l="1"/>
  <c r="BY6929" i="3"/>
  <c r="BY6930" i="3" l="1"/>
  <c r="BX6929" i="3"/>
  <c r="BX6930" i="3" l="1"/>
  <c r="BY6931" i="3"/>
  <c r="BY6932" i="3" l="1"/>
  <c r="BX6931" i="3"/>
  <c r="BY6933" i="3" l="1"/>
  <c r="BX6932" i="3"/>
  <c r="BX6933" i="3" l="1"/>
  <c r="BY6934" i="3"/>
  <c r="BX6934" i="3" l="1"/>
  <c r="BY6935" i="3"/>
  <c r="BX6935" i="3" l="1"/>
  <c r="BY6936" i="3"/>
  <c r="BX6936" i="3" l="1"/>
  <c r="BY6937" i="3"/>
  <c r="BY6938" i="3" l="1"/>
  <c r="BX6937" i="3"/>
  <c r="BY6939" i="3" l="1"/>
  <c r="BX6938" i="3"/>
  <c r="BX6939" i="3" l="1"/>
  <c r="BY6940" i="3"/>
  <c r="BY6941" i="3" l="1"/>
  <c r="BX6940" i="3"/>
  <c r="BY6942" i="3" l="1"/>
  <c r="BX6941" i="3"/>
  <c r="BX6942" i="3" l="1"/>
  <c r="BY6943" i="3"/>
  <c r="BY6944" i="3" l="1"/>
  <c r="BX6943" i="3"/>
  <c r="BY6945" i="3" l="1"/>
  <c r="BX6944" i="3"/>
  <c r="BX6945" i="3" l="1"/>
  <c r="BY6946" i="3"/>
  <c r="BY6947" i="3" l="1"/>
  <c r="BX6946" i="3"/>
  <c r="BY6948" i="3" l="1"/>
  <c r="BX6947" i="3"/>
  <c r="BX6948" i="3" l="1"/>
  <c r="BY6949" i="3"/>
  <c r="BX6949" i="3" l="1"/>
  <c r="BY6950" i="3"/>
  <c r="BY6951" i="3" l="1"/>
  <c r="BX6950" i="3"/>
  <c r="BX6951" i="3" l="1"/>
  <c r="BY6952" i="3"/>
  <c r="BY6953" i="3" l="1"/>
  <c r="BX6952" i="3"/>
  <c r="BY6954" i="3" l="1"/>
  <c r="BX6953" i="3"/>
  <c r="BX6954" i="3" l="1"/>
  <c r="BY6955" i="3"/>
  <c r="BY6956" i="3" l="1"/>
  <c r="BX6955" i="3"/>
  <c r="BX6956" i="3" l="1"/>
  <c r="BY6957" i="3"/>
  <c r="BX6957" i="3" l="1"/>
  <c r="BY6958" i="3"/>
  <c r="BY6959" i="3" l="1"/>
  <c r="BX6958" i="3"/>
  <c r="BY6960" i="3" l="1"/>
  <c r="BX6959" i="3"/>
  <c r="BX6960" i="3" l="1"/>
  <c r="BY6961" i="3"/>
  <c r="BY6962" i="3" l="1"/>
  <c r="BX6961" i="3"/>
  <c r="BY6963" i="3" l="1"/>
  <c r="BX6962" i="3"/>
  <c r="BX6963" i="3" l="1"/>
  <c r="BY6964" i="3"/>
  <c r="BX6964" i="3" l="1"/>
  <c r="BY6965" i="3"/>
  <c r="BY6966" i="3" l="1"/>
  <c r="BX6965" i="3"/>
  <c r="BX6966" i="3" l="1"/>
  <c r="BY6967" i="3"/>
  <c r="BY6968" i="3" l="1"/>
  <c r="BX6967" i="3"/>
  <c r="BY6969" i="3" l="1"/>
  <c r="BX6968" i="3"/>
  <c r="BX6969" i="3" l="1"/>
  <c r="BY6970" i="3"/>
  <c r="BX6970" i="3" l="1"/>
  <c r="BY6971" i="3"/>
  <c r="BX6971" i="3" l="1"/>
  <c r="BY6972" i="3"/>
  <c r="BX6972" i="3" l="1"/>
  <c r="BY6973" i="3"/>
  <c r="BY6974" i="3" l="1"/>
  <c r="BX6973" i="3"/>
  <c r="BY6975" i="3" l="1"/>
  <c r="BX6974" i="3"/>
  <c r="BX6975" i="3" l="1"/>
  <c r="BY6976" i="3"/>
  <c r="BY6977" i="3" l="1"/>
  <c r="BX6976" i="3"/>
  <c r="BY6978" i="3" l="1"/>
  <c r="BX6977" i="3"/>
  <c r="BX6978" i="3" l="1"/>
  <c r="BY6979" i="3"/>
  <c r="BY6980" i="3" l="1"/>
  <c r="BX6979" i="3"/>
  <c r="BY6981" i="3" l="1"/>
  <c r="BX6980" i="3"/>
  <c r="BX6981" i="3" l="1"/>
  <c r="BY6982" i="3"/>
  <c r="BY6983" i="3" l="1"/>
  <c r="BX6982" i="3"/>
  <c r="BY6984" i="3" l="1"/>
  <c r="BX6983" i="3"/>
  <c r="BX6984" i="3" l="1"/>
  <c r="BY6985" i="3"/>
  <c r="BX6985" i="3" l="1"/>
  <c r="BY6986" i="3"/>
  <c r="BY6987" i="3" l="1"/>
  <c r="BX6986" i="3"/>
  <c r="BX6987" i="3" l="1"/>
  <c r="BY6988" i="3"/>
  <c r="BY6989" i="3" l="1"/>
  <c r="BX6988" i="3"/>
  <c r="BY6990" i="3" l="1"/>
  <c r="BX6989" i="3"/>
  <c r="BX6990" i="3" l="1"/>
  <c r="BY6991" i="3"/>
  <c r="BY6992" i="3" l="1"/>
  <c r="BX6991" i="3"/>
  <c r="BX6992" i="3" l="1"/>
  <c r="BY6993" i="3"/>
  <c r="BX6993" i="3" l="1"/>
  <c r="BY6994" i="3"/>
  <c r="BY6995" i="3" l="1"/>
  <c r="BX6994" i="3"/>
  <c r="BY6996" i="3" l="1"/>
  <c r="BX6995" i="3"/>
  <c r="BX6996" i="3" l="1"/>
  <c r="BY6997" i="3"/>
  <c r="BY6998" i="3" l="1"/>
  <c r="BX6997" i="3"/>
  <c r="BY6999" i="3" l="1"/>
  <c r="BX6998" i="3"/>
  <c r="BX6999" i="3" l="1"/>
  <c r="BY7000" i="3"/>
  <c r="BX7000" i="3" l="1"/>
  <c r="BY7001" i="3"/>
  <c r="BY7002" i="3" l="1"/>
  <c r="BX7001" i="3"/>
  <c r="BX7002" i="3" l="1"/>
  <c r="BY7003" i="3"/>
  <c r="BY7004" i="3" l="1"/>
  <c r="BX7003" i="3"/>
  <c r="BY7005" i="3" l="1"/>
  <c r="BX7004" i="3"/>
  <c r="BX7005" i="3" l="1"/>
  <c r="BY7006" i="3"/>
  <c r="BX7006" i="3" l="1"/>
  <c r="BY7007" i="3"/>
  <c r="BX7007" i="3" l="1"/>
  <c r="BY7008" i="3"/>
  <c r="BX7008" i="3" l="1"/>
  <c r="BY7009" i="3"/>
  <c r="BY7010" i="3" l="1"/>
  <c r="BX7009" i="3"/>
  <c r="BY7011" i="3" l="1"/>
  <c r="BX7010" i="3"/>
  <c r="BX7011" i="3" l="1"/>
  <c r="BY7012" i="3"/>
  <c r="BY7013" i="3" l="1"/>
  <c r="BX7012" i="3"/>
  <c r="BY7014" i="3" l="1"/>
  <c r="BX7013" i="3"/>
  <c r="BX7014" i="3" l="1"/>
  <c r="BY7015" i="3"/>
  <c r="BY7016" i="3" l="1"/>
  <c r="BX7015" i="3"/>
  <c r="BY7017" i="3" l="1"/>
  <c r="BX7016" i="3"/>
  <c r="BX7017" i="3" l="1"/>
  <c r="BY7018" i="3"/>
  <c r="BY7019" i="3" l="1"/>
  <c r="BX7018" i="3"/>
  <c r="BY7020" i="3" l="1"/>
  <c r="BX7019" i="3"/>
  <c r="BX7020" i="3" l="1"/>
  <c r="BY7021" i="3"/>
  <c r="BX7021" i="3" l="1"/>
  <c r="BY7022" i="3"/>
  <c r="BY7023" i="3" l="1"/>
  <c r="BX7022" i="3"/>
  <c r="BX7023" i="3" l="1"/>
  <c r="BY7024" i="3"/>
  <c r="BY7025" i="3" l="1"/>
  <c r="BX7024" i="3"/>
  <c r="BY7026" i="3" l="1"/>
  <c r="BX7025" i="3"/>
  <c r="BX7026" i="3" l="1"/>
  <c r="BY7027" i="3"/>
  <c r="BY7028" i="3" l="1"/>
  <c r="BX7027" i="3"/>
  <c r="BX7028" i="3" l="1"/>
  <c r="BY7029" i="3"/>
  <c r="BX7029" i="3" l="1"/>
  <c r="BY7030" i="3"/>
  <c r="BY7031" i="3" l="1"/>
  <c r="BX7030" i="3"/>
  <c r="BY7032" i="3" l="1"/>
  <c r="BX7031" i="3"/>
  <c r="BX7032" i="3" l="1"/>
  <c r="BY7033" i="3"/>
  <c r="BY7034" i="3" l="1"/>
  <c r="BX7033" i="3"/>
  <c r="BY7035" i="3" l="1"/>
  <c r="BX7034" i="3"/>
  <c r="BX7035" i="3" l="1"/>
  <c r="BY7036" i="3"/>
  <c r="BX7036" i="3" l="1"/>
  <c r="BY7037" i="3"/>
  <c r="BY7038" i="3" l="1"/>
  <c r="BX7037" i="3"/>
  <c r="BX7038" i="3" l="1"/>
  <c r="BY7039" i="3"/>
  <c r="BY7040" i="3" l="1"/>
  <c r="BX7039" i="3"/>
  <c r="BY7041" i="3" l="1"/>
  <c r="BX7040" i="3"/>
  <c r="BX7041" i="3" l="1"/>
  <c r="BY7042" i="3"/>
  <c r="BX7042" i="3" l="1"/>
  <c r="BY7043" i="3"/>
  <c r="BX7043" i="3" l="1"/>
  <c r="BY7044" i="3"/>
  <c r="BX7044" i="3" l="1"/>
  <c r="BY7045" i="3"/>
  <c r="BY7046" i="3" l="1"/>
  <c r="BX7045" i="3"/>
  <c r="BY7047" i="3" l="1"/>
  <c r="BX7046" i="3"/>
  <c r="BX7047" i="3" l="1"/>
  <c r="BY7048" i="3"/>
  <c r="BY7049" i="3" l="1"/>
  <c r="BX7048" i="3"/>
  <c r="BY7050" i="3" l="1"/>
  <c r="BX7049" i="3"/>
  <c r="BX7050" i="3" l="1"/>
  <c r="BY7051" i="3"/>
  <c r="BY7052" i="3" l="1"/>
  <c r="BX7051" i="3"/>
  <c r="BY7053" i="3" l="1"/>
  <c r="BX7052" i="3"/>
  <c r="BX7053" i="3" l="1"/>
  <c r="BY7054" i="3"/>
  <c r="BY7055" i="3" l="1"/>
  <c r="BX7054" i="3"/>
  <c r="BY7056" i="3" l="1"/>
  <c r="BX7055" i="3"/>
  <c r="BX7056" i="3" l="1"/>
  <c r="BY7057" i="3"/>
  <c r="BX7057" i="3" l="1"/>
  <c r="BY7058" i="3"/>
  <c r="BY7059" i="3" l="1"/>
  <c r="BX7058" i="3"/>
  <c r="BX7059" i="3" l="1"/>
  <c r="BY7060" i="3"/>
  <c r="BY7061" i="3" l="1"/>
  <c r="BX7060" i="3"/>
  <c r="BY7062" i="3" l="1"/>
  <c r="BX7061" i="3"/>
  <c r="BX7062" i="3" l="1"/>
  <c r="BY7063" i="3"/>
  <c r="BY7064" i="3" l="1"/>
  <c r="BX7063" i="3"/>
  <c r="BX7064" i="3" l="1"/>
  <c r="BY7065" i="3"/>
  <c r="BX7065" i="3" l="1"/>
  <c r="BY7066" i="3"/>
  <c r="BY7067" i="3" l="1"/>
  <c r="BX7066" i="3"/>
  <c r="BY7068" i="3" l="1"/>
  <c r="BX7067" i="3"/>
  <c r="BX7068" i="3" l="1"/>
  <c r="BY7069" i="3"/>
  <c r="BY7070" i="3" l="1"/>
  <c r="BX7069" i="3"/>
  <c r="BY7071" i="3" l="1"/>
  <c r="BX7070" i="3"/>
  <c r="BX7071" i="3" l="1"/>
  <c r="BY7072" i="3"/>
  <c r="BX7072" i="3" l="1"/>
  <c r="BY7073" i="3"/>
  <c r="BY7074" i="3" l="1"/>
  <c r="BX7073" i="3"/>
  <c r="BX7074" i="3" l="1"/>
  <c r="BY7075" i="3"/>
  <c r="BY7076" i="3" l="1"/>
  <c r="BX7075" i="3"/>
  <c r="BY7077" i="3" l="1"/>
  <c r="BX7076" i="3"/>
  <c r="BX7077" i="3" l="1"/>
  <c r="BY7078" i="3"/>
  <c r="BX7078" i="3" l="1"/>
  <c r="BY7079" i="3"/>
  <c r="BX7079" i="3" l="1"/>
  <c r="BY7080" i="3"/>
  <c r="BX7080" i="3" l="1"/>
  <c r="BY7081" i="3"/>
  <c r="BY7082" i="3" l="1"/>
  <c r="BX7081" i="3"/>
  <c r="BY7083" i="3" l="1"/>
  <c r="BX7082" i="3"/>
  <c r="BX7083" i="3" l="1"/>
  <c r="BY7084" i="3"/>
  <c r="BY7085" i="3" l="1"/>
  <c r="BX7084" i="3"/>
  <c r="BY7086" i="3" l="1"/>
  <c r="BX7085" i="3"/>
  <c r="BX7086" i="3" l="1"/>
  <c r="BY7087" i="3"/>
  <c r="BY7088" i="3" l="1"/>
  <c r="BX7087" i="3"/>
  <c r="BY7089" i="3" l="1"/>
  <c r="BX7088" i="3"/>
  <c r="BX7089" i="3" l="1"/>
  <c r="BY7090" i="3"/>
  <c r="BY7091" i="3" l="1"/>
  <c r="BX7090" i="3"/>
  <c r="BY7092" i="3" l="1"/>
  <c r="BX7091" i="3"/>
  <c r="BX7092" i="3" l="1"/>
  <c r="BY7093" i="3"/>
  <c r="BX7093" i="3" l="1"/>
  <c r="BY7094" i="3"/>
  <c r="BY7095" i="3" l="1"/>
  <c r="BX7094" i="3"/>
  <c r="BX7095" i="3" l="1"/>
  <c r="BY7096" i="3"/>
  <c r="BY7097" i="3" l="1"/>
  <c r="BX7096" i="3"/>
  <c r="BY7098" i="3" l="1"/>
  <c r="BX7097" i="3"/>
  <c r="BX7098" i="3" l="1"/>
  <c r="BY7099" i="3"/>
  <c r="BY7100" i="3" l="1"/>
  <c r="BX7099" i="3"/>
  <c r="BX7100" i="3" l="1"/>
  <c r="BY7101" i="3"/>
  <c r="BX7101" i="3" l="1"/>
  <c r="BY7102" i="3"/>
  <c r="BY7103" i="3" l="1"/>
  <c r="BX7102" i="3"/>
  <c r="BY7104" i="3" l="1"/>
  <c r="BX7103" i="3"/>
  <c r="BX7104" i="3" l="1"/>
  <c r="BY7105" i="3"/>
  <c r="BY7106" i="3" l="1"/>
  <c r="BX7105" i="3"/>
  <c r="BY7107" i="3" l="1"/>
  <c r="BX7106" i="3"/>
  <c r="BX7107" i="3" l="1"/>
  <c r="BY7108" i="3"/>
  <c r="BX7108" i="3" l="1"/>
  <c r="BY7109" i="3"/>
  <c r="BY7110" i="3" l="1"/>
  <c r="BX7109" i="3"/>
  <c r="BX7110" i="3" l="1"/>
  <c r="BY7111" i="3"/>
  <c r="BY7112" i="3" l="1"/>
  <c r="BX7111" i="3"/>
  <c r="BY7113" i="3" l="1"/>
  <c r="BX7112" i="3"/>
  <c r="BX7113" i="3" l="1"/>
  <c r="BY7114" i="3"/>
  <c r="BX7114" i="3" l="1"/>
  <c r="BY7115" i="3"/>
  <c r="BX7115" i="3" l="1"/>
  <c r="BY7116" i="3"/>
  <c r="BX7116" i="3" l="1"/>
  <c r="BY7117" i="3"/>
  <c r="BY7118" i="3" l="1"/>
  <c r="BX7117" i="3"/>
  <c r="BY7119" i="3" l="1"/>
  <c r="BX7118" i="3"/>
  <c r="BX7119" i="3" l="1"/>
  <c r="BY7120" i="3"/>
  <c r="BY7121" i="3" l="1"/>
  <c r="BX7120" i="3"/>
  <c r="BY7122" i="3" l="1"/>
  <c r="BX7121" i="3"/>
  <c r="BX7122" i="3" l="1"/>
  <c r="BY7123" i="3"/>
  <c r="BY7124" i="3" l="1"/>
  <c r="BX7123" i="3"/>
  <c r="BY7125" i="3" l="1"/>
  <c r="BX7124" i="3"/>
  <c r="BX7125" i="3" l="1"/>
  <c r="BY7126" i="3"/>
  <c r="BY7127" i="3" l="1"/>
  <c r="BX7126" i="3"/>
  <c r="BY7128" i="3" l="1"/>
  <c r="BX7127" i="3"/>
  <c r="BX7128" i="3" l="1"/>
  <c r="BY7129" i="3"/>
  <c r="BX7129" i="3" l="1"/>
  <c r="BY7130" i="3"/>
  <c r="BY7131" i="3" l="1"/>
  <c r="BX7130" i="3"/>
  <c r="BX7131" i="3" l="1"/>
  <c r="BY7132" i="3"/>
  <c r="BY7133" i="3" l="1"/>
  <c r="BX7132" i="3"/>
  <c r="BY7134" i="3" l="1"/>
  <c r="BX7133" i="3"/>
  <c r="BX7134" i="3" l="1"/>
  <c r="BY7135" i="3"/>
  <c r="BY7136" i="3" l="1"/>
  <c r="BX7135" i="3"/>
  <c r="BX7136" i="3" l="1"/>
  <c r="BY7137" i="3"/>
  <c r="BX7137" i="3" l="1"/>
  <c r="BY7138" i="3"/>
  <c r="BY7139" i="3" l="1"/>
  <c r="BX7138" i="3"/>
  <c r="BY7140" i="3" l="1"/>
  <c r="BX7139" i="3"/>
  <c r="BX7140" i="3" l="1"/>
  <c r="BY7141" i="3"/>
  <c r="BY7142" i="3" l="1"/>
  <c r="BX7141" i="3"/>
  <c r="BY7143" i="3" l="1"/>
  <c r="BX7142" i="3"/>
  <c r="BX7143" i="3" l="1"/>
  <c r="BY7144" i="3"/>
  <c r="BX7144" i="3" l="1"/>
  <c r="BY7145" i="3"/>
  <c r="BY7146" i="3" l="1"/>
  <c r="BX7145" i="3"/>
  <c r="BX7146" i="3" l="1"/>
  <c r="BY7147" i="3"/>
  <c r="BY7148" i="3" l="1"/>
  <c r="BX7147" i="3"/>
  <c r="BY7149" i="3" l="1"/>
  <c r="BX7148" i="3"/>
  <c r="BX7149" i="3" l="1"/>
  <c r="BY7150" i="3"/>
  <c r="BX7150" i="3" l="1"/>
  <c r="BY7151" i="3"/>
  <c r="BX7151" i="3" l="1"/>
  <c r="BY7152" i="3"/>
  <c r="BX7152" i="3" l="1"/>
  <c r="BY7153" i="3"/>
  <c r="BY7154" i="3" l="1"/>
  <c r="BX7153" i="3"/>
  <c r="BY7155" i="3" l="1"/>
  <c r="BX7154" i="3"/>
  <c r="BX7155" i="3" l="1"/>
  <c r="BY7156" i="3"/>
  <c r="BY7157" i="3" l="1"/>
  <c r="BX7156" i="3"/>
  <c r="BY7158" i="3" l="1"/>
  <c r="BX7157" i="3"/>
  <c r="BX7158" i="3" l="1"/>
  <c r="BY7159" i="3"/>
  <c r="BY7160" i="3" l="1"/>
  <c r="BX7159" i="3"/>
  <c r="BY7161" i="3" l="1"/>
  <c r="BX7160" i="3"/>
  <c r="BX7161" i="3" l="1"/>
  <c r="BY7162" i="3"/>
  <c r="BY7163" i="3" l="1"/>
  <c r="BX7162" i="3"/>
  <c r="BY7164" i="3" l="1"/>
  <c r="BX7163" i="3"/>
  <c r="BX7164" i="3" l="1"/>
  <c r="BY7165" i="3"/>
  <c r="BX7165" i="3" l="1"/>
  <c r="BY7166" i="3"/>
  <c r="BX7166" i="3" l="1"/>
  <c r="BY7167" i="3"/>
  <c r="BX7167" i="3" l="1"/>
  <c r="BY7168" i="3"/>
  <c r="BY7169" i="3" l="1"/>
  <c r="BX7168" i="3"/>
  <c r="BY7170" i="3" l="1"/>
  <c r="BX7169" i="3"/>
  <c r="BX7170" i="3" l="1"/>
  <c r="BY7171" i="3"/>
  <c r="BY7172" i="3" l="1"/>
  <c r="BX7171" i="3"/>
  <c r="BY7173" i="3" l="1"/>
  <c r="BX7172" i="3"/>
  <c r="BX7173" i="3" l="1"/>
  <c r="BY7174" i="3"/>
  <c r="BX7174" i="3" l="1"/>
  <c r="BY7175" i="3"/>
  <c r="BY7176" i="3" l="1"/>
  <c r="BX7175" i="3"/>
  <c r="BX7176" i="3" l="1"/>
  <c r="BY7177" i="3"/>
  <c r="BY7178" i="3" l="1"/>
  <c r="BX7177" i="3"/>
  <c r="BY7179" i="3" l="1"/>
  <c r="BX7178" i="3"/>
  <c r="BX7179" i="3" l="1"/>
  <c r="BY7180" i="3"/>
  <c r="BX7180" i="3" l="1"/>
  <c r="BY7181" i="3"/>
  <c r="BY7182" i="3" l="1"/>
  <c r="BX7181" i="3"/>
  <c r="BX7182" i="3" l="1"/>
  <c r="BY7183" i="3"/>
  <c r="BX7183" i="3" l="1"/>
  <c r="BY7184" i="3"/>
  <c r="BY7185" i="3" l="1"/>
  <c r="BX7184" i="3"/>
  <c r="BX7185" i="3" l="1"/>
  <c r="BY7186" i="3"/>
  <c r="BX7186" i="3" l="1"/>
  <c r="BY7187" i="3"/>
  <c r="BY7188" i="3" l="1"/>
  <c r="BX7187" i="3"/>
  <c r="BX7188" i="3" l="1"/>
  <c r="BY7189" i="3"/>
  <c r="BY7190" i="3" l="1"/>
  <c r="BX7189" i="3"/>
  <c r="BY7191" i="3" l="1"/>
  <c r="BX7190" i="3"/>
  <c r="BX7191" i="3" l="1"/>
  <c r="BY7192" i="3"/>
  <c r="BX7192" i="3" l="1"/>
  <c r="BY7193" i="3"/>
  <c r="BY7194" i="3" l="1"/>
  <c r="BX7193" i="3"/>
  <c r="BX7194" i="3" l="1"/>
  <c r="BY7195" i="3"/>
  <c r="BY7196" i="3" l="1"/>
  <c r="BX7195" i="3"/>
  <c r="BY7197" i="3" l="1"/>
  <c r="BX7196" i="3"/>
  <c r="BX7197" i="3" l="1"/>
  <c r="BY7198" i="3"/>
  <c r="BX7198" i="3" l="1"/>
  <c r="BY7199" i="3"/>
  <c r="BY7200" i="3" l="1"/>
  <c r="BX7199" i="3"/>
  <c r="BX7200" i="3" l="1"/>
  <c r="BY7201" i="3"/>
  <c r="BX7201" i="3" l="1"/>
  <c r="BY7202" i="3"/>
  <c r="BY7203" i="3" l="1"/>
  <c r="BX7202" i="3"/>
  <c r="BX7203" i="3" l="1"/>
  <c r="BY7204" i="3"/>
  <c r="BX7204" i="3" l="1"/>
  <c r="BY7205" i="3"/>
  <c r="BY7206" i="3" l="1"/>
  <c r="BX7205" i="3"/>
  <c r="BX7206" i="3" l="1"/>
  <c r="BY7207" i="3"/>
  <c r="BY7208" i="3" l="1"/>
  <c r="BX7207" i="3"/>
  <c r="BY7209" i="3" l="1"/>
  <c r="BX7208" i="3"/>
  <c r="BX7209" i="3" l="1"/>
  <c r="BY7210" i="3"/>
  <c r="BX7210" i="3" l="1"/>
  <c r="BY7211" i="3"/>
  <c r="BY7212" i="3" l="1"/>
  <c r="BX7211" i="3"/>
  <c r="BX7212" i="3" l="1"/>
  <c r="BY7213" i="3"/>
  <c r="BY7214" i="3" l="1"/>
  <c r="BX7213" i="3"/>
  <c r="BY7215" i="3" l="1"/>
  <c r="BX7214" i="3"/>
  <c r="BX7215" i="3" l="1"/>
  <c r="BY7216" i="3"/>
  <c r="BX7216" i="3" l="1"/>
  <c r="BY7217" i="3"/>
  <c r="BY7218" i="3" l="1"/>
  <c r="BX7217" i="3"/>
  <c r="BX7218" i="3" l="1"/>
  <c r="BY7219" i="3"/>
  <c r="BX7219" i="3" l="1"/>
  <c r="BY7220" i="3"/>
  <c r="BY7221" i="3" l="1"/>
  <c r="BX7220" i="3"/>
  <c r="BX7221" i="3" l="1"/>
  <c r="BY7222" i="3"/>
  <c r="BX7222" i="3" l="1"/>
  <c r="BY7223" i="3"/>
  <c r="BY7224" i="3" l="1"/>
  <c r="BX7223" i="3"/>
  <c r="BX7224" i="3" l="1"/>
  <c r="BY7225" i="3"/>
  <c r="BY7226" i="3" l="1"/>
  <c r="BX7225" i="3"/>
  <c r="BY7227" i="3" l="1"/>
  <c r="BX7226" i="3"/>
  <c r="BX7227" i="3" l="1"/>
  <c r="BY7228" i="3"/>
  <c r="BX7228" i="3" l="1"/>
  <c r="BY7229" i="3"/>
  <c r="BY7230" i="3" l="1"/>
  <c r="BX7229" i="3"/>
  <c r="BX7230" i="3" l="1"/>
  <c r="BY7231" i="3"/>
  <c r="BY7232" i="3" l="1"/>
  <c r="BX7231" i="3"/>
  <c r="BY7233" i="3" l="1"/>
  <c r="BX7232" i="3"/>
  <c r="BX7233" i="3" l="1"/>
  <c r="BY7234" i="3"/>
  <c r="BX7234" i="3" l="1"/>
  <c r="BY7235" i="3"/>
  <c r="BY7236" i="3" l="1"/>
  <c r="BX7235" i="3"/>
  <c r="BX7236" i="3" l="1"/>
  <c r="BY7237" i="3"/>
  <c r="BX7237" i="3" l="1"/>
  <c r="BY7238" i="3"/>
  <c r="BY7239" i="3" l="1"/>
  <c r="BX7238" i="3"/>
  <c r="BX7239" i="3" l="1"/>
  <c r="BY7240" i="3"/>
  <c r="BX7240" i="3" l="1"/>
  <c r="BY7241" i="3"/>
  <c r="BY7242" i="3" l="1"/>
  <c r="BX7241" i="3"/>
  <c r="BX7242" i="3" l="1"/>
  <c r="BY7243" i="3"/>
  <c r="BY7244" i="3" l="1"/>
  <c r="BX7243" i="3"/>
  <c r="BY7245" i="3" l="1"/>
  <c r="BX7244" i="3"/>
  <c r="BX7245" i="3" l="1"/>
  <c r="BY7246" i="3"/>
  <c r="BX7246" i="3" l="1"/>
  <c r="BY7247" i="3"/>
  <c r="BY7248" i="3" l="1"/>
  <c r="BX7247" i="3"/>
  <c r="BX7248" i="3" l="1"/>
  <c r="BY7249" i="3"/>
  <c r="BY7250" i="3" l="1"/>
  <c r="BX7249" i="3"/>
  <c r="BY7251" i="3" l="1"/>
  <c r="BX7250" i="3"/>
  <c r="BX7251" i="3" l="1"/>
  <c r="BY7252" i="3"/>
  <c r="BX7252" i="3" l="1"/>
  <c r="BY7253" i="3"/>
  <c r="BY7254" i="3" l="1"/>
  <c r="BX7253" i="3"/>
  <c r="BX7254" i="3" l="1"/>
  <c r="BY7255" i="3"/>
  <c r="BX7255" i="3" l="1"/>
  <c r="BY7256" i="3"/>
  <c r="BY7257" i="3" l="1"/>
  <c r="BX7256" i="3"/>
  <c r="BX7257" i="3" l="1"/>
  <c r="BY7258" i="3"/>
  <c r="BX7258" i="3" l="1"/>
  <c r="BY7259" i="3"/>
  <c r="BY7260" i="3" l="1"/>
  <c r="BX7259" i="3"/>
  <c r="BX7260" i="3" l="1"/>
  <c r="BY7261" i="3"/>
  <c r="BX7261" i="3" l="1"/>
  <c r="BY7262" i="3"/>
  <c r="BY7263" i="3" l="1"/>
  <c r="BX7262" i="3"/>
  <c r="BY7264" i="3" l="1"/>
  <c r="BX7263" i="3"/>
  <c r="BX7264" i="3" l="1"/>
  <c r="BY7265" i="3"/>
  <c r="BX7265" i="3" l="1"/>
  <c r="BY7266" i="3"/>
  <c r="BX7266" i="3" l="1"/>
  <c r="BY7267" i="3"/>
  <c r="BX7267" i="3" l="1"/>
  <c r="BY7268" i="3"/>
  <c r="BY7269" i="3" l="1"/>
  <c r="BX7268" i="3"/>
  <c r="BY7270" i="3" l="1"/>
  <c r="BX7269" i="3"/>
  <c r="BX7270" i="3" l="1"/>
  <c r="BY7271" i="3"/>
  <c r="BX7271" i="3" l="1"/>
  <c r="BY7272" i="3"/>
  <c r="BX7272" i="3" l="1"/>
  <c r="BY7273" i="3"/>
  <c r="BY7274" i="3" l="1"/>
  <c r="BX7273" i="3"/>
  <c r="BX7274" i="3" l="1"/>
  <c r="BY7275" i="3"/>
  <c r="BY7276" i="3" l="1"/>
  <c r="BX7275" i="3"/>
  <c r="BY7277" i="3" l="1"/>
  <c r="BX7276" i="3"/>
  <c r="BY7278" i="3" l="1"/>
  <c r="BX7277" i="3"/>
  <c r="BX7278" i="3" l="1"/>
  <c r="BY7279" i="3"/>
  <c r="BY7280" i="3" l="1"/>
  <c r="BX7279" i="3"/>
  <c r="BX7280" i="3" l="1"/>
  <c r="BY7281" i="3"/>
  <c r="BY7282" i="3" l="1"/>
  <c r="BX7281" i="3"/>
  <c r="BY7283" i="3" l="1"/>
  <c r="BX7282" i="3"/>
  <c r="BY7284" i="3" l="1"/>
  <c r="BX7283" i="3"/>
  <c r="BX7284" i="3" l="1"/>
  <c r="BY7285" i="3"/>
  <c r="BY7286" i="3" l="1"/>
  <c r="BX7285" i="3"/>
  <c r="BY7287" i="3" l="1"/>
  <c r="BX7286" i="3"/>
  <c r="BX7287" i="3" l="1"/>
  <c r="BY7288" i="3"/>
  <c r="BY7289" i="3" l="1"/>
  <c r="BX7288" i="3"/>
  <c r="BY7290" i="3" l="1"/>
  <c r="BX7289" i="3"/>
  <c r="BX7290" i="3" l="1"/>
  <c r="BY7291" i="3"/>
  <c r="BX7291" i="3" l="1"/>
  <c r="BY7292" i="3"/>
  <c r="BY7293" i="3" l="1"/>
  <c r="BX7292" i="3"/>
  <c r="BY7294" i="3" l="1"/>
  <c r="BX7293" i="3"/>
  <c r="BX7294" i="3" l="1"/>
  <c r="BY7295" i="3"/>
  <c r="BX7295" i="3" l="1"/>
  <c r="BY7296" i="3"/>
  <c r="BY7297" i="3" l="1"/>
  <c r="BX7296" i="3"/>
  <c r="BX7297" i="3" l="1"/>
  <c r="BY7298" i="3"/>
  <c r="BX7298" i="3" l="1"/>
  <c r="BY7299" i="3"/>
  <c r="BX7299" i="3" l="1"/>
  <c r="BY7300" i="3"/>
  <c r="BX7300" i="3" l="1"/>
  <c r="BY7301" i="3"/>
  <c r="BY7302" i="3" l="1"/>
  <c r="BX7301" i="3"/>
  <c r="BX7302" i="3" l="1"/>
  <c r="BY7303" i="3"/>
  <c r="BX7303" i="3" l="1"/>
  <c r="BY7304" i="3"/>
  <c r="BY7305" i="3" l="1"/>
  <c r="BX7304" i="3"/>
  <c r="BY7306" i="3" l="1"/>
  <c r="BX7305" i="3"/>
  <c r="BX7306" i="3" l="1"/>
  <c r="BY7307" i="3"/>
  <c r="BX7307" i="3" l="1"/>
  <c r="BY7308" i="3"/>
  <c r="BY7309" i="3" l="1"/>
  <c r="BX7308" i="3"/>
  <c r="BX7309" i="3" l="1"/>
  <c r="BY7310" i="3"/>
  <c r="BY7311" i="3" l="1"/>
  <c r="BX7310" i="3"/>
  <c r="BY7312" i="3" l="1"/>
  <c r="BX7311" i="3"/>
  <c r="BX7312" i="3" l="1"/>
  <c r="BY7313" i="3"/>
  <c r="BY7314" i="3" l="1"/>
  <c r="BX7313" i="3"/>
  <c r="BY7315" i="3" l="1"/>
  <c r="BX7314" i="3"/>
  <c r="BX7315" i="3" l="1"/>
  <c r="BY7316" i="3"/>
  <c r="BY7317" i="3" l="1"/>
  <c r="BX7316" i="3"/>
  <c r="BY7318" i="3" l="1"/>
  <c r="BX7317" i="3"/>
  <c r="BX7318" i="3" l="1"/>
  <c r="BY7319" i="3"/>
  <c r="BX7319" i="3" l="1"/>
  <c r="BY7320" i="3"/>
  <c r="BX7320" i="3" l="1"/>
  <c r="BY7321" i="3"/>
  <c r="BX7321" i="3" l="1"/>
  <c r="BY7322" i="3"/>
  <c r="BY7323" i="3" l="1"/>
  <c r="BX7322" i="3"/>
  <c r="BY7324" i="3" l="1"/>
  <c r="BX7323" i="3"/>
  <c r="BX7324" i="3" l="1"/>
  <c r="BY7325" i="3"/>
  <c r="BY7326" i="3" l="1"/>
  <c r="BX7325" i="3"/>
  <c r="BX7326" i="3" l="1"/>
  <c r="BY7327" i="3"/>
  <c r="BX7327" i="3" l="1"/>
  <c r="BY7328" i="3"/>
  <c r="BY7329" i="3" l="1"/>
  <c r="BX7328" i="3"/>
  <c r="BY7330" i="3" l="1"/>
  <c r="BX7329" i="3"/>
  <c r="BX7330" i="3" l="1"/>
  <c r="BY7331" i="3"/>
  <c r="BX7331" i="3" l="1"/>
  <c r="BY7332" i="3"/>
  <c r="BY7333" i="3" l="1"/>
  <c r="BX7332" i="3"/>
  <c r="BX7333" i="3" l="1"/>
  <c r="BY7334" i="3"/>
  <c r="BY7335" i="3" l="1"/>
  <c r="BX7334" i="3"/>
  <c r="BX7335" i="3" l="1"/>
  <c r="BY7336" i="3"/>
  <c r="BX7336" i="3" l="1"/>
  <c r="BY7337" i="3"/>
  <c r="BX7337" i="3" l="1"/>
  <c r="BY7338" i="3"/>
  <c r="BY7339" i="3" l="1"/>
  <c r="BX7338" i="3"/>
  <c r="BX7339" i="3" l="1"/>
  <c r="BY7340" i="3"/>
  <c r="BY7341" i="3" l="1"/>
  <c r="BX7340" i="3"/>
  <c r="BX7341" i="3" l="1"/>
  <c r="BY7342" i="3"/>
  <c r="BX7342" i="3" l="1"/>
  <c r="BY7343" i="3"/>
  <c r="BY7344" i="3" l="1"/>
  <c r="BX7343" i="3"/>
  <c r="BX7344" i="3" l="1"/>
  <c r="BY7345" i="3"/>
  <c r="BX7345" i="3" l="1"/>
  <c r="BY7346" i="3"/>
  <c r="BY7347" i="3" l="1"/>
  <c r="BX7346" i="3"/>
  <c r="BY7348" i="3" l="1"/>
  <c r="BX7347" i="3"/>
  <c r="BX7348" i="3" l="1"/>
  <c r="BY7349" i="3"/>
  <c r="BY7350" i="3" l="1"/>
  <c r="BX7349" i="3"/>
  <c r="BY7351" i="3" l="1"/>
  <c r="BX7350" i="3"/>
  <c r="BX7351" i="3" l="1"/>
  <c r="BY7352" i="3"/>
  <c r="BY7353" i="3" l="1"/>
  <c r="BX7352" i="3"/>
  <c r="BX7353" i="3" l="1"/>
  <c r="BY7354" i="3"/>
  <c r="BX7354" i="3" l="1"/>
  <c r="BY7355" i="3"/>
  <c r="BX7355" i="3" l="1"/>
  <c r="BY7356" i="3"/>
  <c r="BY7357" i="3" l="1"/>
  <c r="BX7356" i="3"/>
  <c r="BX7357" i="3" l="1"/>
  <c r="BY7358" i="3"/>
  <c r="BX7358" i="3" l="1"/>
  <c r="BY7359" i="3"/>
  <c r="BX7359" i="3" l="1"/>
  <c r="BY7360" i="3"/>
  <c r="BX7360" i="3" l="1"/>
  <c r="BY7361" i="3"/>
  <c r="BX7361" i="3" l="1"/>
  <c r="BY7362" i="3"/>
  <c r="BX7362" i="3" l="1"/>
  <c r="BY7363" i="3"/>
  <c r="BX7363" i="3" l="1"/>
  <c r="BY7364" i="3"/>
  <c r="BY7365" i="3" l="1"/>
  <c r="BX7364" i="3"/>
  <c r="BX7365" i="3" l="1"/>
  <c r="BY7366" i="3"/>
  <c r="BX7366" i="3" l="1"/>
  <c r="BY7367" i="3"/>
  <c r="BX7367" i="3" l="1"/>
  <c r="BY7368" i="3"/>
  <c r="BY7369" i="3" l="1"/>
  <c r="BX7368" i="3"/>
  <c r="BX7369" i="3" l="1"/>
  <c r="BY7370" i="3"/>
  <c r="BX7370" i="3" l="1"/>
  <c r="BY7371" i="3"/>
  <c r="BX7371" i="3" l="1"/>
  <c r="BY7372" i="3"/>
  <c r="BX7372" i="3" l="1"/>
  <c r="BY7373" i="3"/>
  <c r="BX7373" i="3" l="1"/>
  <c r="BY7374" i="3"/>
  <c r="BY7375" i="3" l="1"/>
  <c r="BX7374" i="3"/>
  <c r="BX7375" i="3" l="1"/>
  <c r="BY7376" i="3"/>
  <c r="BY7377" i="3" l="1"/>
  <c r="BX7376" i="3"/>
  <c r="BY7378" i="3" l="1"/>
  <c r="BX7377" i="3"/>
  <c r="BX7378" i="3" l="1"/>
  <c r="BY7379" i="3"/>
  <c r="BY7380" i="3" l="1"/>
  <c r="BX7379" i="3"/>
  <c r="BX7380" i="3" l="1"/>
  <c r="BY7381" i="3"/>
  <c r="BX7381" i="3" l="1"/>
  <c r="BY7382" i="3"/>
  <c r="BY7383" i="3" l="1"/>
  <c r="BX7382" i="3"/>
  <c r="BY7384" i="3" l="1"/>
  <c r="BX7383" i="3"/>
  <c r="BX7384" i="3" l="1"/>
  <c r="BY7385" i="3"/>
  <c r="BY7386" i="3" l="1"/>
  <c r="BX7385" i="3"/>
  <c r="BY7387" i="3" l="1"/>
  <c r="BX7386" i="3"/>
  <c r="BX7387" i="3" l="1"/>
  <c r="BY7388" i="3"/>
  <c r="BX7388" i="3" l="1"/>
  <c r="BY7389" i="3"/>
  <c r="BX7389" i="3" l="1"/>
  <c r="BY7390" i="3"/>
  <c r="BX7390" i="3" l="1"/>
  <c r="BY7391" i="3"/>
  <c r="BX7391" i="3" l="1"/>
  <c r="BY7392" i="3"/>
  <c r="BY7393" i="3" l="1"/>
  <c r="BX7392" i="3"/>
  <c r="BX7393" i="3" l="1"/>
  <c r="BY7394" i="3"/>
  <c r="BY7395" i="3" l="1"/>
  <c r="BX7394" i="3"/>
  <c r="BY7396" i="3" l="1"/>
  <c r="BX7395" i="3"/>
  <c r="BX7396" i="3" l="1"/>
  <c r="BY7397" i="3"/>
  <c r="BY7398" i="3" l="1"/>
  <c r="BX7397" i="3"/>
  <c r="BX7398" i="3" l="1"/>
  <c r="BY7399" i="3"/>
  <c r="BX7399" i="3" l="1"/>
  <c r="BY7400" i="3"/>
  <c r="BY7401" i="3" l="1"/>
  <c r="BX7400" i="3"/>
  <c r="BY7402" i="3" l="1"/>
  <c r="BX7401" i="3"/>
  <c r="BX7402" i="3" l="1"/>
  <c r="BY7403" i="3"/>
  <c r="BY7404" i="3" l="1"/>
  <c r="BX7403" i="3"/>
  <c r="BY7405" i="3" l="1"/>
  <c r="BX7404" i="3"/>
  <c r="BX7405" i="3" l="1"/>
  <c r="BY7406" i="3"/>
  <c r="BY7407" i="3" l="1"/>
  <c r="BX7406" i="3"/>
  <c r="BY7408" i="3" l="1"/>
  <c r="BX7407" i="3"/>
  <c r="BX7408" i="3" l="1"/>
  <c r="BY7409" i="3"/>
  <c r="BX7409" i="3" l="1"/>
  <c r="BY7410" i="3"/>
  <c r="BX7410" i="3" l="1"/>
  <c r="BY7411" i="3"/>
  <c r="BX7411" i="3" l="1"/>
  <c r="BY7412" i="3"/>
  <c r="BY7413" i="3" l="1"/>
  <c r="BX7412" i="3"/>
  <c r="BX7413" i="3" l="1"/>
  <c r="BY7414" i="3"/>
  <c r="BX7414" i="3" l="1"/>
  <c r="BY7415" i="3"/>
  <c r="BY7416" i="3" l="1"/>
  <c r="BX7415" i="3"/>
  <c r="BX7416" i="3" l="1"/>
  <c r="BY7417" i="3"/>
  <c r="BX7417" i="3" l="1"/>
  <c r="BY7418" i="3"/>
  <c r="BY7419" i="3" l="1"/>
  <c r="BX7418" i="3"/>
  <c r="BX7419" i="3" l="1"/>
  <c r="BY7420" i="3"/>
  <c r="BX7420" i="3" l="1"/>
  <c r="BY7421" i="3"/>
  <c r="BY7422" i="3" l="1"/>
  <c r="BX7421" i="3"/>
  <c r="BY7423" i="3" l="1"/>
  <c r="BX7422" i="3"/>
  <c r="BX7423" i="3" l="1"/>
  <c r="BY7424" i="3"/>
  <c r="BX7424" i="3" l="1"/>
  <c r="BY7425" i="3"/>
  <c r="BX7425" i="3" l="1"/>
  <c r="BY7426" i="3"/>
  <c r="BX7426" i="3" l="1"/>
  <c r="BY7427" i="3"/>
  <c r="BX7427" i="3" l="1"/>
  <c r="BY7428" i="3"/>
  <c r="BY7429" i="3" l="1"/>
  <c r="BX7428" i="3"/>
  <c r="BX7429" i="3" l="1"/>
  <c r="BY7430" i="3"/>
  <c r="BX7430" i="3" l="1"/>
  <c r="BY7431" i="3"/>
  <c r="BY7432" i="3" l="1"/>
  <c r="BX7431" i="3"/>
  <c r="BX7432" i="3" l="1"/>
  <c r="BY7433" i="3"/>
  <c r="BY7434" i="3" l="1"/>
  <c r="BX7433" i="3"/>
  <c r="BX7434" i="3" l="1"/>
  <c r="BY7435" i="3"/>
  <c r="BX7435" i="3" l="1"/>
  <c r="BY7436" i="3"/>
  <c r="BY7437" i="3" l="1"/>
  <c r="BX7436" i="3"/>
  <c r="BY7438" i="3" l="1"/>
  <c r="BX7437" i="3"/>
  <c r="BX7438" i="3" l="1"/>
  <c r="BY7439" i="3"/>
  <c r="BY7440" i="3" l="1"/>
  <c r="BX7439" i="3"/>
  <c r="BY7441" i="3" l="1"/>
  <c r="BX7440" i="3"/>
  <c r="BX7441" i="3" l="1"/>
  <c r="BY7442" i="3"/>
  <c r="BY7443" i="3" l="1"/>
  <c r="BX7442" i="3"/>
  <c r="BY7444" i="3" l="1"/>
  <c r="BX7443" i="3"/>
  <c r="BX7444" i="3" l="1"/>
  <c r="BY7445" i="3"/>
  <c r="BX7445" i="3" l="1"/>
  <c r="BY7446" i="3"/>
  <c r="BY7447" i="3" l="1"/>
  <c r="BX7446" i="3"/>
  <c r="BX7447" i="3" l="1"/>
  <c r="BY7448" i="3"/>
  <c r="BY7449" i="3" l="1"/>
  <c r="BX7448" i="3"/>
  <c r="BY7450" i="3" l="1"/>
  <c r="BX7449" i="3"/>
  <c r="BX7450" i="3" l="1"/>
  <c r="BY7451" i="3"/>
  <c r="BX7451" i="3" l="1"/>
  <c r="BY7452" i="3"/>
  <c r="BX7452" i="3" l="1"/>
  <c r="BY7453" i="3"/>
  <c r="BX7453" i="3" l="1"/>
  <c r="BY7454" i="3"/>
  <c r="BY7455" i="3" l="1"/>
  <c r="BX7454" i="3"/>
  <c r="BY7456" i="3" l="1"/>
  <c r="BX7455" i="3"/>
  <c r="BX7456" i="3" l="1"/>
  <c r="BY7457" i="3"/>
  <c r="BX7457" i="3" l="1"/>
  <c r="BY7458" i="3"/>
  <c r="BY7459" i="3" l="1"/>
  <c r="BX7458" i="3"/>
  <c r="BX7459" i="3" l="1"/>
  <c r="BY7460" i="3"/>
  <c r="BX7460" i="3" l="1"/>
  <c r="BY7461" i="3"/>
  <c r="BY7462" i="3" l="1"/>
  <c r="BX7461" i="3"/>
  <c r="BX7462" i="3" l="1"/>
  <c r="BY7463" i="3"/>
  <c r="BX7463" i="3" l="1"/>
  <c r="BY7464" i="3"/>
  <c r="BY7465" i="3" l="1"/>
  <c r="BX7464" i="3"/>
  <c r="BX7465" i="3" l="1"/>
  <c r="BY7466" i="3"/>
  <c r="BY7467" i="3" l="1"/>
  <c r="BX7466" i="3"/>
  <c r="BY7468" i="3" l="1"/>
  <c r="BX7467" i="3"/>
  <c r="BX7468" i="3" l="1"/>
  <c r="BY7469" i="3"/>
  <c r="BY7470" i="3" l="1"/>
  <c r="BX7469" i="3"/>
  <c r="BX7470" i="3" l="1"/>
  <c r="BY7471" i="3"/>
  <c r="BX7471" i="3" l="1"/>
  <c r="BY7472" i="3"/>
  <c r="BY7473" i="3" l="1"/>
  <c r="BX7472" i="3"/>
  <c r="BY7474" i="3" l="1"/>
  <c r="BX7473" i="3"/>
  <c r="BX7474" i="3" l="1"/>
  <c r="BY7475" i="3"/>
  <c r="BY7476" i="3" l="1"/>
  <c r="BX7475" i="3"/>
  <c r="BY7477" i="3" l="1"/>
  <c r="BX7476" i="3"/>
  <c r="BX7477" i="3" l="1"/>
  <c r="BY7478" i="3"/>
  <c r="BY7479" i="3" l="1"/>
  <c r="BX7478" i="3"/>
  <c r="BX7479" i="3" l="1"/>
  <c r="BY7480" i="3"/>
  <c r="BX7480" i="3" l="1"/>
  <c r="BY7481" i="3"/>
  <c r="BX7481" i="3" l="1"/>
  <c r="BY7482" i="3"/>
  <c r="BX7482" i="3" l="1"/>
  <c r="BY7483" i="3"/>
  <c r="BX7483" i="3" l="1"/>
  <c r="BY7484" i="3"/>
  <c r="BY7485" i="3" l="1"/>
  <c r="BX7484" i="3"/>
  <c r="BY7486" i="3" l="1"/>
  <c r="BX7485" i="3"/>
  <c r="BX7486" i="3" l="1"/>
  <c r="BY7487" i="3"/>
  <c r="BY7488" i="3" l="1"/>
  <c r="BX7487" i="3"/>
  <c r="BX7488" i="3" l="1"/>
  <c r="BY7489" i="3"/>
  <c r="BX7489" i="3" l="1"/>
  <c r="BY7490" i="3"/>
  <c r="BY7491" i="3" l="1"/>
  <c r="BX7490" i="3"/>
  <c r="BX7491" i="3" l="1"/>
  <c r="BY7492" i="3"/>
  <c r="BX7492" i="3" l="1"/>
  <c r="BY7493" i="3"/>
  <c r="BX7493" i="3" l="1"/>
  <c r="BY7494" i="3"/>
  <c r="BY7495" i="3" l="1"/>
  <c r="BX7494" i="3"/>
  <c r="BX7495" i="3" l="1"/>
  <c r="BY7496" i="3"/>
  <c r="BX7496" i="3" l="1"/>
  <c r="BY7497" i="3"/>
  <c r="BY7498" i="3" l="1"/>
  <c r="BX7497" i="3"/>
  <c r="BX7498" i="3" l="1"/>
  <c r="BY7499" i="3"/>
  <c r="BX7499" i="3" l="1"/>
  <c r="BY7500" i="3"/>
  <c r="BY7501" i="3" l="1"/>
  <c r="BX7500" i="3"/>
  <c r="BX7501" i="3" l="1"/>
  <c r="BY7502" i="3"/>
  <c r="BY7503" i="3" l="1"/>
  <c r="BX7502" i="3"/>
  <c r="BX7503" i="3" l="1"/>
  <c r="BY7504" i="3"/>
  <c r="BX7504" i="3" l="1"/>
  <c r="BY7505" i="3"/>
  <c r="BX7505" i="3" l="1"/>
  <c r="BY7506" i="3"/>
  <c r="BX7506" i="3" l="1"/>
  <c r="BY7507" i="3"/>
  <c r="BX7507" i="3" l="1"/>
  <c r="BY7508" i="3"/>
  <c r="BY7509" i="3" l="1"/>
  <c r="BX7508" i="3"/>
  <c r="BY7510" i="3" l="1"/>
  <c r="BX7509" i="3"/>
  <c r="BX7510" i="3" l="1"/>
  <c r="BY7511" i="3"/>
  <c r="BY7512" i="3" l="1"/>
  <c r="BX7511" i="3"/>
  <c r="BY7513" i="3" l="1"/>
  <c r="BX7512" i="3"/>
  <c r="BX7513" i="3" l="1"/>
  <c r="BY7514" i="3"/>
  <c r="BY7515" i="3" l="1"/>
  <c r="BX7514" i="3"/>
  <c r="BY7516" i="3" l="1"/>
  <c r="BX7515" i="3"/>
  <c r="BX7516" i="3" l="1"/>
  <c r="BY7517" i="3"/>
  <c r="BX7517" i="3" l="1"/>
  <c r="BY7518" i="3"/>
  <c r="BY7519" i="3" l="1"/>
  <c r="BX7518" i="3"/>
  <c r="BX7519" i="3" l="1"/>
  <c r="BY7520" i="3"/>
  <c r="BX7520" i="3" l="1"/>
  <c r="BY7521" i="3"/>
  <c r="BY7522" i="3" l="1"/>
  <c r="BX7521" i="3"/>
  <c r="BX7522" i="3" l="1"/>
  <c r="BY7523" i="3"/>
  <c r="BY7524" i="3" l="1"/>
  <c r="BX7523" i="3"/>
  <c r="BX7524" i="3" l="1"/>
  <c r="BY7525" i="3"/>
  <c r="BX7525" i="3" l="1"/>
  <c r="BY7526" i="3"/>
  <c r="BY7527" i="3" l="1"/>
  <c r="BX7526" i="3"/>
  <c r="BX7527" i="3" l="1"/>
  <c r="BY7528" i="3"/>
  <c r="BX7528" i="3" l="1"/>
  <c r="BY7529" i="3"/>
  <c r="BX7529" i="3" l="1"/>
  <c r="BY7530" i="3"/>
  <c r="BY7531" i="3" l="1"/>
  <c r="BX7530" i="3"/>
  <c r="BX7531" i="3" l="1"/>
  <c r="BY7532" i="3"/>
  <c r="BY7533" i="3" l="1"/>
  <c r="BX7532" i="3"/>
  <c r="BY7534" i="3" l="1"/>
  <c r="BX7533" i="3"/>
  <c r="BX7534" i="3" l="1"/>
  <c r="BY7535" i="3"/>
  <c r="BX7535" i="3" l="1"/>
  <c r="BY7536" i="3"/>
  <c r="BY7537" i="3" l="1"/>
  <c r="BX7536" i="3"/>
  <c r="BX7537" i="3" l="1"/>
  <c r="BY7538" i="3"/>
  <c r="BY7539" i="3" l="1"/>
  <c r="BX7538" i="3"/>
  <c r="BY7540" i="3" l="1"/>
  <c r="BX7539" i="3"/>
  <c r="BX7540" i="3" l="1"/>
  <c r="BY7541" i="3"/>
  <c r="BY7542" i="3" l="1"/>
  <c r="BX7541" i="3"/>
  <c r="BX7542" i="3" l="1"/>
  <c r="BY7543" i="3"/>
  <c r="BX7543" i="3" l="1"/>
  <c r="BY7544" i="3"/>
  <c r="BY7545" i="3" l="1"/>
  <c r="BX7544" i="3"/>
  <c r="BY7546" i="3" l="1"/>
  <c r="BX7545" i="3"/>
  <c r="BX7546" i="3" l="1"/>
  <c r="BY7547" i="3"/>
  <c r="BY7548" i="3" l="1"/>
  <c r="BX7547" i="3"/>
  <c r="BY7549" i="3" l="1"/>
  <c r="BX7548" i="3"/>
  <c r="BX7549" i="3" l="1"/>
  <c r="BY7550" i="3"/>
  <c r="BY7551" i="3" l="1"/>
  <c r="BX7550" i="3"/>
  <c r="BX7551" i="3" l="1"/>
  <c r="BY7552" i="3"/>
  <c r="BX7552" i="3" l="1"/>
  <c r="BY7553" i="3"/>
  <c r="BX7553" i="3" l="1"/>
  <c r="BY7554" i="3"/>
  <c r="BY7555" i="3" l="1"/>
  <c r="BX7554" i="3"/>
  <c r="BX7555" i="3" l="1"/>
  <c r="BY7556" i="3"/>
  <c r="BY7557" i="3" l="1"/>
  <c r="BX7556" i="3"/>
  <c r="BX7557" i="3" l="1"/>
  <c r="BY7558" i="3"/>
  <c r="BX7558" i="3" l="1"/>
  <c r="BY7559" i="3"/>
  <c r="BY7560" i="3" l="1"/>
  <c r="BX7559" i="3"/>
  <c r="BX7560" i="3" l="1"/>
  <c r="BY7561" i="3"/>
  <c r="BX7561" i="3" l="1"/>
  <c r="BY7562" i="3"/>
  <c r="BY7563" i="3" l="1"/>
  <c r="BX7562" i="3"/>
  <c r="BX7563" i="3" l="1"/>
  <c r="BY7564" i="3"/>
  <c r="BX7564" i="3" l="1"/>
  <c r="BY7565" i="3"/>
  <c r="BY7566" i="3" l="1"/>
  <c r="BX7565" i="3"/>
  <c r="BY7567" i="3" l="1"/>
  <c r="BX7566" i="3"/>
  <c r="BX7567" i="3" l="1"/>
  <c r="BY7568" i="3"/>
  <c r="BX7568" i="3" l="1"/>
  <c r="BY7569" i="3"/>
  <c r="BY7570" i="3" l="1"/>
  <c r="BX7569" i="3"/>
  <c r="BX7570" i="3" l="1"/>
  <c r="BY7571" i="3"/>
  <c r="BX7571" i="3" l="1"/>
  <c r="BY7572" i="3"/>
  <c r="BX7572" i="3" l="1"/>
  <c r="BY7573" i="3"/>
  <c r="BX7573" i="3" l="1"/>
  <c r="BY7574" i="3"/>
  <c r="BX7574" i="3" l="1"/>
  <c r="BY7575" i="3"/>
  <c r="BY7576" i="3" l="1"/>
  <c r="BX7575" i="3"/>
  <c r="BX7576" i="3" l="1"/>
  <c r="BY7577" i="3"/>
  <c r="BY7578" i="3" l="1"/>
  <c r="BX7577" i="3"/>
  <c r="BX7578" i="3" l="1"/>
  <c r="BY7579" i="3"/>
  <c r="BX7579" i="3" l="1"/>
  <c r="BY7580" i="3"/>
  <c r="BY7581" i="3" l="1"/>
  <c r="BX7580" i="3"/>
  <c r="BY7582" i="3" l="1"/>
  <c r="BX7581" i="3"/>
  <c r="BX7582" i="3" l="1"/>
  <c r="BY7583" i="3"/>
  <c r="BY7584" i="3" l="1"/>
  <c r="BX7583" i="3"/>
  <c r="BY7585" i="3" l="1"/>
  <c r="BX7584" i="3"/>
  <c r="BX7585" i="3" l="1"/>
  <c r="BY7586" i="3"/>
  <c r="BY7587" i="3" l="1"/>
  <c r="BX7586" i="3"/>
  <c r="BY7588" i="3" l="1"/>
  <c r="BX7587" i="3"/>
  <c r="BX7588" i="3" l="1"/>
  <c r="BY7589" i="3"/>
  <c r="BX7589" i="3" l="1"/>
  <c r="BY7590" i="3"/>
  <c r="BY7591" i="3" l="1"/>
  <c r="BX7590" i="3"/>
  <c r="BX7591" i="3" l="1"/>
  <c r="BY7592" i="3"/>
  <c r="BY7593" i="3" l="1"/>
  <c r="BX7592" i="3"/>
  <c r="BY7594" i="3" l="1"/>
  <c r="BX7593" i="3"/>
  <c r="BX7594" i="3" l="1"/>
  <c r="BY7595" i="3"/>
  <c r="BY7596" i="3" l="1"/>
  <c r="BX7595" i="3"/>
  <c r="BX7596" i="3" l="1"/>
  <c r="BY7597" i="3"/>
  <c r="BX7597" i="3" l="1"/>
  <c r="BY7598" i="3"/>
  <c r="BY7599" i="3" l="1"/>
  <c r="BX7598" i="3"/>
  <c r="BY7600" i="3" l="1"/>
  <c r="BX7599" i="3"/>
  <c r="BX7600" i="3" l="1"/>
  <c r="BY7601" i="3"/>
  <c r="BY7602" i="3" l="1"/>
  <c r="BX7601" i="3"/>
  <c r="BY7603" i="3" l="1"/>
  <c r="BX7602" i="3"/>
  <c r="BX7603" i="3" l="1"/>
  <c r="BY7604" i="3"/>
  <c r="BY7605" i="3" l="1"/>
  <c r="BX7604" i="3"/>
  <c r="BX7605" i="3" l="1"/>
  <c r="BY7606" i="3"/>
  <c r="BX7606" i="3" l="1"/>
  <c r="BY7607" i="3"/>
  <c r="BY7608" i="3" l="1"/>
  <c r="BX7607" i="3"/>
  <c r="BY7609" i="3" l="1"/>
  <c r="BX7608" i="3"/>
  <c r="BX7609" i="3" l="1"/>
  <c r="BY7610" i="3"/>
  <c r="BY7611" i="3" l="1"/>
  <c r="BX7610" i="3"/>
  <c r="BY7612" i="3" l="1"/>
  <c r="BX7611" i="3"/>
  <c r="BX7612" i="3" l="1"/>
  <c r="BY7613" i="3"/>
  <c r="BY7614" i="3" l="1"/>
  <c r="BX7613" i="3"/>
  <c r="BX7614" i="3" l="1"/>
  <c r="BY7615" i="3"/>
  <c r="BX7615" i="3" l="1"/>
  <c r="BY7616" i="3"/>
  <c r="BX7616" i="3" l="1"/>
  <c r="BY7617" i="3"/>
  <c r="BY7618" i="3" l="1"/>
  <c r="BX7617" i="3"/>
  <c r="BX7618" i="3" l="1"/>
  <c r="BY7619" i="3"/>
  <c r="BX7619" i="3" l="1"/>
  <c r="BY7620" i="3"/>
  <c r="BY7621" i="3" l="1"/>
  <c r="BX7620" i="3"/>
  <c r="BX7621" i="3" l="1"/>
  <c r="BY7622" i="3"/>
  <c r="BY7623" i="3" l="1"/>
  <c r="BX7622" i="3"/>
  <c r="BX7623" i="3" l="1"/>
  <c r="BY7624" i="3"/>
  <c r="BX7624" i="3" l="1"/>
  <c r="BY7625" i="3"/>
  <c r="BY7626" i="3" l="1"/>
  <c r="BX7625" i="3"/>
  <c r="BY7627" i="3" l="1"/>
  <c r="BX7626" i="3"/>
  <c r="BX7627" i="3" l="1"/>
  <c r="BY7628" i="3"/>
  <c r="BY7629" i="3" l="1"/>
  <c r="BX7628" i="3"/>
  <c r="BY7630" i="3" l="1"/>
  <c r="BX7629" i="3"/>
  <c r="BX7630" i="3" l="1"/>
  <c r="BY7631" i="3"/>
  <c r="BX7631" i="3" l="1"/>
  <c r="BY7632" i="3"/>
  <c r="BX7632" i="3" l="1"/>
  <c r="BY7633" i="3"/>
  <c r="BX7633" i="3" l="1"/>
  <c r="BY7634" i="3"/>
  <c r="BY7635" i="3" l="1"/>
  <c r="BX7634" i="3"/>
  <c r="BY7636" i="3" l="1"/>
  <c r="BX7635" i="3"/>
  <c r="BX7636" i="3" l="1"/>
  <c r="BY7637" i="3"/>
  <c r="BY7638" i="3" l="1"/>
  <c r="BX7637" i="3"/>
  <c r="BY7639" i="3" l="1"/>
  <c r="BX7638" i="3"/>
  <c r="BX7639" i="3" l="1"/>
  <c r="BY7640" i="3"/>
  <c r="BY7641" i="3" l="1"/>
  <c r="BX7640" i="3"/>
  <c r="BX7641" i="3" l="1"/>
  <c r="BY7642" i="3"/>
  <c r="BX7642" i="3" l="1"/>
  <c r="BY7643" i="3"/>
  <c r="BY7644" i="3" l="1"/>
  <c r="BX7643" i="3"/>
  <c r="BY7645" i="3" l="1"/>
  <c r="BX7644" i="3"/>
  <c r="BX7645" i="3" l="1"/>
  <c r="BY7646" i="3"/>
  <c r="BY7647" i="3" l="1"/>
  <c r="BX7646" i="3"/>
  <c r="BY7648" i="3" l="1"/>
  <c r="BX7647" i="3"/>
  <c r="BX7648" i="3" l="1"/>
  <c r="BY7649" i="3"/>
  <c r="BY7650" i="3" l="1"/>
  <c r="BX7649" i="3"/>
  <c r="BX7650" i="3" l="1"/>
  <c r="BY7651" i="3"/>
  <c r="BX7651" i="3" l="1"/>
  <c r="BY7652" i="3"/>
  <c r="BX7652" i="3" l="1"/>
  <c r="BY7653" i="3"/>
  <c r="BY7654" i="3" l="1"/>
  <c r="BX7653" i="3"/>
  <c r="BX7654" i="3" l="1"/>
  <c r="BY7655" i="3"/>
  <c r="BY7656" i="3" l="1"/>
  <c r="BX7655" i="3"/>
  <c r="BY7657" i="3" l="1"/>
  <c r="BX7656" i="3"/>
  <c r="BX7657" i="3" l="1"/>
  <c r="BY7658" i="3"/>
  <c r="BY7659" i="3" l="1"/>
  <c r="BX7658" i="3"/>
  <c r="BX7659" i="3" l="1"/>
  <c r="BY7660" i="3"/>
  <c r="BX7660" i="3" l="1"/>
  <c r="BY7661" i="3"/>
  <c r="BY7662" i="3" l="1"/>
  <c r="BX7661" i="3"/>
  <c r="BY7663" i="3" l="1"/>
  <c r="BX7662" i="3"/>
  <c r="BX7663" i="3" l="1"/>
  <c r="BY7664" i="3"/>
  <c r="BY7665" i="3" l="1"/>
  <c r="BX7664" i="3"/>
  <c r="BY7666" i="3" l="1"/>
  <c r="BX7665" i="3"/>
  <c r="BX7666" i="3" l="1"/>
  <c r="BY7667" i="3"/>
  <c r="BY7668" i="3" l="1"/>
  <c r="BX7667" i="3"/>
  <c r="BX7668" i="3" l="1"/>
  <c r="BY7669" i="3"/>
  <c r="BX7669" i="3" l="1"/>
  <c r="BY7670" i="3"/>
  <c r="BY7671" i="3" l="1"/>
  <c r="BX7670" i="3"/>
  <c r="BY7672" i="3" l="1"/>
  <c r="BX7671" i="3"/>
  <c r="BX7672" i="3" l="1"/>
  <c r="BY7673" i="3"/>
  <c r="BX7673" i="3" l="1"/>
  <c r="BY7674" i="3"/>
  <c r="BY7675" i="3" l="1"/>
  <c r="BX7674" i="3"/>
  <c r="BX7675" i="3" l="1"/>
  <c r="BY7676" i="3"/>
  <c r="BY7677" i="3" l="1"/>
  <c r="BX7676" i="3"/>
  <c r="BX7677" i="3" l="1"/>
  <c r="BY7678" i="3"/>
  <c r="BX7678" i="3" l="1"/>
  <c r="BY7679" i="3"/>
  <c r="BY7680" i="3" l="1"/>
  <c r="BX7679" i="3"/>
  <c r="BY7681" i="3" l="1"/>
  <c r="BX7680" i="3"/>
  <c r="BX7681" i="3" l="1"/>
  <c r="BY7682" i="3"/>
  <c r="BY7683" i="3" l="1"/>
  <c r="BX7682" i="3"/>
  <c r="BY7684" i="3" l="1"/>
  <c r="BX7683" i="3"/>
  <c r="BX7684" i="3" l="1"/>
  <c r="BY7685" i="3"/>
  <c r="BX7685" i="3" l="1"/>
  <c r="BY7686" i="3"/>
  <c r="BX7686" i="3" l="1"/>
  <c r="BY7687" i="3"/>
  <c r="BX7687" i="3" l="1"/>
  <c r="BY7688" i="3"/>
  <c r="BX7688" i="3" l="1"/>
  <c r="BY7689" i="3"/>
  <c r="BY7690" i="3" l="1"/>
  <c r="BX7689" i="3"/>
  <c r="BX7690" i="3" l="1"/>
  <c r="BY7691" i="3"/>
  <c r="BY7692" i="3" l="1"/>
  <c r="BX7691" i="3"/>
  <c r="BY7693" i="3" l="1"/>
  <c r="BX7692" i="3"/>
  <c r="BX7693" i="3" l="1"/>
  <c r="BY7694" i="3"/>
  <c r="BY7695" i="3" l="1"/>
  <c r="BX7694" i="3"/>
  <c r="BX7695" i="3" l="1"/>
  <c r="BY7696" i="3"/>
  <c r="BX7696" i="3" l="1"/>
  <c r="BY7697" i="3"/>
  <c r="BY7698" i="3" l="1"/>
  <c r="BX7697" i="3"/>
  <c r="BY7699" i="3" l="1"/>
  <c r="BX7698" i="3"/>
  <c r="BX7699" i="3" l="1"/>
  <c r="BY7700" i="3"/>
  <c r="BY7701" i="3" l="1"/>
  <c r="BX7700" i="3"/>
  <c r="BY7702" i="3" l="1"/>
  <c r="BX7701" i="3"/>
  <c r="BX7702" i="3" l="1"/>
  <c r="BY7703" i="3"/>
  <c r="BY7704" i="3" l="1"/>
  <c r="BX7703" i="3"/>
  <c r="BX7704" i="3" l="1"/>
  <c r="BY7705" i="3"/>
  <c r="BX7705" i="3" l="1"/>
  <c r="BY7706" i="3"/>
  <c r="BY7707" i="3" l="1"/>
  <c r="BX7706" i="3"/>
  <c r="BY7708" i="3" l="1"/>
  <c r="BX7707" i="3"/>
  <c r="BX7708" i="3" l="1"/>
  <c r="BY7709" i="3"/>
  <c r="BY7710" i="3" l="1"/>
  <c r="BX7709" i="3"/>
  <c r="BY7711" i="3" l="1"/>
  <c r="BX7710" i="3"/>
  <c r="BX7711" i="3" l="1"/>
  <c r="BY7712" i="3"/>
  <c r="BY7713" i="3" l="1"/>
  <c r="BX7712" i="3"/>
  <c r="BX7713" i="3" l="1"/>
  <c r="BY7714" i="3"/>
  <c r="BX7714" i="3" l="1"/>
  <c r="BY7715" i="3"/>
  <c r="BY7716" i="3" l="1"/>
  <c r="BX7715" i="3"/>
  <c r="BY7717" i="3" l="1"/>
  <c r="BX7716" i="3"/>
  <c r="BX7717" i="3" l="1"/>
  <c r="BY7718" i="3"/>
  <c r="BY7719" i="3" l="1"/>
  <c r="BX7718" i="3"/>
  <c r="BY7720" i="3" l="1"/>
  <c r="BX7719" i="3"/>
  <c r="BX7720" i="3" l="1"/>
  <c r="BY7721" i="3"/>
  <c r="BY7722" i="3" l="1"/>
  <c r="BX7721" i="3"/>
  <c r="BX7722" i="3" l="1"/>
  <c r="BY7723" i="3"/>
  <c r="BX7723" i="3" l="1"/>
  <c r="BY7724" i="3"/>
  <c r="BX7724" i="3" l="1"/>
  <c r="BY7725" i="3"/>
  <c r="BY7726" i="3" l="1"/>
  <c r="BX7725" i="3"/>
  <c r="BX7726" i="3" l="1"/>
  <c r="BY7727" i="3"/>
  <c r="BX7727" i="3" l="1"/>
  <c r="BY7728" i="3"/>
  <c r="BY7729" i="3" l="1"/>
  <c r="BX7728" i="3"/>
  <c r="BX7729" i="3" l="1"/>
  <c r="BY7730" i="3"/>
  <c r="BY7731" i="3" l="1"/>
  <c r="BX7730" i="3"/>
  <c r="BX7731" i="3" l="1"/>
  <c r="BY7732" i="3"/>
  <c r="BX7732" i="3" l="1"/>
  <c r="BY7733" i="3"/>
  <c r="BY7734" i="3" l="1"/>
  <c r="BX7733" i="3"/>
  <c r="BY7735" i="3" l="1"/>
  <c r="BX7734" i="3"/>
  <c r="BX7735" i="3" l="1"/>
  <c r="BY7736" i="3"/>
  <c r="BY7737" i="3" l="1"/>
  <c r="BX7736" i="3"/>
  <c r="BY7738" i="3" l="1"/>
  <c r="BX7737" i="3"/>
  <c r="BX7738" i="3" l="1"/>
  <c r="BY7739" i="3"/>
  <c r="BX7739" i="3" l="1"/>
  <c r="BY7740" i="3"/>
  <c r="BX7740" i="3" l="1"/>
  <c r="BY7741" i="3"/>
  <c r="BX7741" i="3" l="1"/>
  <c r="BY7742" i="3"/>
  <c r="BY7743" i="3" l="1"/>
  <c r="BX7742" i="3"/>
  <c r="BY7744" i="3" l="1"/>
  <c r="BX7743" i="3"/>
  <c r="BX7744" i="3" l="1"/>
  <c r="BY7745" i="3"/>
  <c r="BY7746" i="3" l="1"/>
  <c r="BX7745" i="3"/>
  <c r="BY7747" i="3" l="1"/>
  <c r="BX7746" i="3"/>
  <c r="BX7747" i="3" l="1"/>
  <c r="BY7748" i="3"/>
  <c r="BY7749" i="3" l="1"/>
  <c r="BX7748" i="3"/>
  <c r="BX7749" i="3" l="1"/>
  <c r="BY7750" i="3"/>
  <c r="BX7750" i="3" l="1"/>
  <c r="BY7751" i="3"/>
  <c r="BY7752" i="3" l="1"/>
  <c r="BX7751" i="3"/>
  <c r="BY7753" i="3" l="1"/>
  <c r="BX7752" i="3"/>
  <c r="BX7753" i="3" l="1"/>
  <c r="BY7754" i="3"/>
  <c r="BY7755" i="3" l="1"/>
  <c r="BX7754" i="3"/>
  <c r="BY7756" i="3" l="1"/>
  <c r="BX7755" i="3"/>
  <c r="BX7756" i="3" l="1"/>
  <c r="BY7757" i="3"/>
  <c r="BY7758" i="3" l="1"/>
  <c r="BX7757" i="3"/>
  <c r="BX7758" i="3" l="1"/>
  <c r="BY7759" i="3"/>
  <c r="BX7759" i="3" l="1"/>
  <c r="BY7760" i="3"/>
  <c r="BX7760" i="3" l="1"/>
  <c r="BY7761" i="3"/>
  <c r="BY7762" i="3" l="1"/>
  <c r="BX7761" i="3"/>
  <c r="BX7762" i="3" l="1"/>
  <c r="BY7763" i="3"/>
  <c r="BY7764" i="3" l="1"/>
  <c r="BX7763" i="3"/>
  <c r="BY7765" i="3" l="1"/>
  <c r="BX7764" i="3"/>
  <c r="BX7765" i="3" l="1"/>
  <c r="BY7766" i="3"/>
  <c r="BY7767" i="3" l="1"/>
  <c r="BX7766" i="3"/>
  <c r="BX7767" i="3" l="1"/>
  <c r="BY7768" i="3"/>
  <c r="BX7768" i="3" l="1"/>
  <c r="BY7769" i="3"/>
  <c r="BY7770" i="3" l="1"/>
  <c r="BX7769" i="3"/>
  <c r="BY7771" i="3" l="1"/>
  <c r="BX7770" i="3"/>
  <c r="BX7771" i="3" l="1"/>
  <c r="BY7772" i="3"/>
  <c r="BY7773" i="3" l="1"/>
  <c r="BX7772" i="3"/>
  <c r="BY7774" i="3" l="1"/>
  <c r="BX7773" i="3"/>
  <c r="BX7774" i="3" l="1"/>
  <c r="BY7775" i="3"/>
  <c r="BY7776" i="3" l="1"/>
  <c r="BX7775" i="3"/>
  <c r="BX7776" i="3" l="1"/>
  <c r="BY7777" i="3"/>
  <c r="BX7777" i="3" l="1"/>
  <c r="BY7778" i="3"/>
  <c r="BY7779" i="3" l="1"/>
  <c r="BX7778" i="3"/>
  <c r="BY7780" i="3" l="1"/>
  <c r="BX7779" i="3"/>
  <c r="BX7780" i="3" l="1"/>
  <c r="BY7781" i="3"/>
  <c r="BX7781" i="3" l="1"/>
  <c r="BY7782" i="3"/>
  <c r="BY7783" i="3" l="1"/>
  <c r="BX7782" i="3"/>
  <c r="BX7783" i="3" l="1"/>
  <c r="BY7784" i="3"/>
  <c r="BY7785" i="3" l="1"/>
  <c r="BX7784" i="3"/>
  <c r="BX7785" i="3" l="1"/>
  <c r="BY7786" i="3"/>
  <c r="BX7786" i="3" l="1"/>
  <c r="BY7787" i="3"/>
  <c r="BY7788" i="3" l="1"/>
  <c r="BX7787" i="3"/>
  <c r="BY7789" i="3" l="1"/>
  <c r="BX7788" i="3"/>
  <c r="BX7789" i="3" l="1"/>
  <c r="BY7790" i="3"/>
  <c r="BY7791" i="3" l="1"/>
  <c r="BX7790" i="3"/>
  <c r="BY7792" i="3" l="1"/>
  <c r="BX7791" i="3"/>
  <c r="BX7792" i="3" l="1"/>
  <c r="BY7793" i="3"/>
  <c r="BX7793" i="3" l="1"/>
  <c r="BY7794" i="3"/>
  <c r="BX7794" i="3" l="1"/>
  <c r="BY7795" i="3"/>
  <c r="BX7795" i="3" l="1"/>
  <c r="BY7796" i="3"/>
  <c r="BX7796" i="3" l="1"/>
  <c r="BY7797" i="3"/>
  <c r="BY7798" i="3" l="1"/>
  <c r="BX7797" i="3"/>
  <c r="BX7798" i="3" l="1"/>
  <c r="BY7799" i="3"/>
  <c r="BY7800" i="3" l="1"/>
  <c r="BX7799" i="3"/>
  <c r="BY7801" i="3" l="1"/>
  <c r="BX7800" i="3"/>
  <c r="BX7801" i="3" l="1"/>
  <c r="BY7802" i="3"/>
  <c r="BY7803" i="3" l="1"/>
  <c r="BX7802" i="3"/>
  <c r="BX7803" i="3" l="1"/>
  <c r="BY7804" i="3"/>
  <c r="BX7804" i="3" l="1"/>
  <c r="BY7805" i="3"/>
  <c r="BY7806" i="3" l="1"/>
  <c r="BX7805" i="3"/>
  <c r="BY7807" i="3" l="1"/>
  <c r="BX7806" i="3"/>
  <c r="BX7807" i="3" l="1"/>
  <c r="BY7808" i="3"/>
  <c r="BY7809" i="3" l="1"/>
  <c r="BX7808" i="3"/>
  <c r="BY7810" i="3" l="1"/>
  <c r="BX7809" i="3"/>
  <c r="BX7810" i="3" l="1"/>
  <c r="BY7811" i="3"/>
  <c r="BY7812" i="3" l="1"/>
  <c r="BX7811" i="3"/>
  <c r="BX7812" i="3" l="1"/>
  <c r="BY7813" i="3"/>
  <c r="BX7813" i="3" l="1"/>
  <c r="BY7814" i="3"/>
  <c r="BY7815" i="3" l="1"/>
  <c r="BX7814" i="3"/>
  <c r="BY7816" i="3" l="1"/>
  <c r="BX7815" i="3"/>
  <c r="BX7816" i="3" l="1"/>
  <c r="BY7817" i="3"/>
  <c r="BY7818" i="3" l="1"/>
  <c r="BX7817" i="3"/>
  <c r="BY7819" i="3" l="1"/>
  <c r="BX7818" i="3"/>
  <c r="BX7819" i="3" l="1"/>
  <c r="BY7820" i="3"/>
  <c r="BY7821" i="3" l="1"/>
  <c r="BX7820" i="3"/>
  <c r="BX7821" i="3" l="1"/>
  <c r="BY7822" i="3"/>
  <c r="BX7822" i="3" l="1"/>
  <c r="BY7823" i="3"/>
  <c r="BY7824" i="3" l="1"/>
  <c r="BX7823" i="3"/>
  <c r="BY7825" i="3" l="1"/>
  <c r="BX7824" i="3"/>
  <c r="BX7825" i="3" l="1"/>
  <c r="BY7826" i="3"/>
  <c r="BX7826" i="3" l="1"/>
  <c r="BY7827" i="3"/>
  <c r="BY7828" i="3" l="1"/>
  <c r="BX7827" i="3"/>
  <c r="BX7828" i="3" l="1"/>
  <c r="BY7829" i="3"/>
  <c r="BY7830" i="3" l="1"/>
  <c r="BX7829" i="3"/>
  <c r="BX7830" i="3" l="1"/>
  <c r="BY7831" i="3"/>
  <c r="BX7831" i="3" l="1"/>
  <c r="BY7832" i="3"/>
  <c r="BX7832" i="3" l="1"/>
  <c r="BY7833" i="3"/>
  <c r="BY7834" i="3" l="1"/>
  <c r="BX7833" i="3"/>
  <c r="BX7834" i="3" l="1"/>
  <c r="BY7835" i="3"/>
  <c r="BY7836" i="3" l="1"/>
  <c r="BX7835" i="3"/>
  <c r="BY7837" i="3" l="1"/>
  <c r="BX7836" i="3"/>
  <c r="BX7837" i="3" l="1"/>
  <c r="BY7838" i="3"/>
  <c r="BX7838" i="3" l="1"/>
  <c r="BY7839" i="3"/>
  <c r="BX7839" i="3" l="1"/>
  <c r="BY7840" i="3"/>
  <c r="BX7840" i="3" l="1"/>
  <c r="BY7841" i="3"/>
  <c r="BY7842" i="3" l="1"/>
  <c r="BX7841" i="3"/>
  <c r="BX7842" i="3" l="1"/>
  <c r="BY7843" i="3"/>
  <c r="BX7843" i="3" l="1"/>
  <c r="BY7844" i="3"/>
  <c r="BY7845" i="3" l="1"/>
  <c r="BX7844" i="3"/>
  <c r="BY7846" i="3" l="1"/>
  <c r="BX7845" i="3"/>
  <c r="BX7846" i="3" l="1"/>
  <c r="BY7847" i="3"/>
  <c r="BY7848" i="3" l="1"/>
  <c r="BX7847" i="3"/>
  <c r="BY7849" i="3" l="1"/>
  <c r="BX7848" i="3"/>
  <c r="BX7849" i="3" l="1"/>
  <c r="BY7850" i="3"/>
  <c r="BY7851" i="3" l="1"/>
  <c r="BX7850" i="3"/>
  <c r="BY7852" i="3" l="1"/>
  <c r="BX7851" i="3"/>
  <c r="BX7852" i="3" l="1"/>
  <c r="BY7853" i="3"/>
  <c r="BX7853" i="3" l="1"/>
  <c r="BY7854" i="3"/>
  <c r="BY7855" i="3" l="1"/>
  <c r="BX7854" i="3"/>
  <c r="BX7855" i="3" l="1"/>
  <c r="BY7856" i="3"/>
  <c r="BY7857" i="3" l="1"/>
  <c r="BX7856" i="3"/>
  <c r="BX7857" i="3" l="1"/>
  <c r="BY7858" i="3"/>
  <c r="BX7858" i="3" l="1"/>
  <c r="BY7859" i="3"/>
  <c r="BY7860" i="3" l="1"/>
  <c r="BX7859" i="3"/>
  <c r="BY7861" i="3" l="1"/>
  <c r="BX7860" i="3"/>
  <c r="BX7861" i="3" l="1"/>
  <c r="BY7862" i="3"/>
  <c r="BY7863" i="3" l="1"/>
  <c r="BX7862" i="3"/>
  <c r="BY7864" i="3" l="1"/>
  <c r="BX7863" i="3"/>
  <c r="BX7864" i="3" l="1"/>
  <c r="BY7865" i="3"/>
  <c r="BY7866" i="3" l="1"/>
  <c r="BX7865" i="3"/>
  <c r="BX7866" i="3" l="1"/>
  <c r="BY7867" i="3"/>
  <c r="BX7867" i="3" l="1"/>
  <c r="BY7868" i="3"/>
  <c r="BX7868" i="3" l="1"/>
  <c r="BY7869" i="3"/>
  <c r="BX7869" i="3" l="1"/>
  <c r="BY7870" i="3"/>
  <c r="BX7870" i="3" l="1"/>
  <c r="BY7871" i="3"/>
  <c r="BY7872" i="3" l="1"/>
  <c r="BX7871" i="3"/>
  <c r="BY7873" i="3" l="1"/>
  <c r="BX7872" i="3"/>
  <c r="BX7873" i="3" l="1"/>
  <c r="BY7874" i="3"/>
  <c r="BX7874" i="3" l="1"/>
  <c r="BY7875" i="3"/>
  <c r="BY7876" i="3" l="1"/>
  <c r="BX7875" i="3"/>
  <c r="BX7876" i="3" l="1"/>
  <c r="BY7877" i="3"/>
  <c r="BY7878" i="3" l="1"/>
  <c r="BX7877" i="3"/>
  <c r="BX7878" i="3" l="1"/>
  <c r="BY7879" i="3"/>
  <c r="BX7879" i="3" l="1"/>
  <c r="BY7880" i="3"/>
  <c r="BX7880" i="3" l="1"/>
  <c r="BY7881" i="3"/>
  <c r="BY7882" i="3" l="1"/>
  <c r="BX7881" i="3"/>
  <c r="BX7882" i="3" l="1"/>
  <c r="BY7883" i="3"/>
  <c r="BY7884" i="3" l="1"/>
  <c r="BX7883" i="3"/>
  <c r="BY7885" i="3" l="1"/>
  <c r="BX7884" i="3"/>
  <c r="BX7885" i="3" l="1"/>
  <c r="BY7886" i="3"/>
  <c r="BY7887" i="3" l="1"/>
  <c r="BX7886" i="3"/>
  <c r="BY7888" i="3" l="1"/>
  <c r="BX7887" i="3"/>
  <c r="BX7888" i="3" l="1"/>
  <c r="BY7889" i="3"/>
  <c r="BY7890" i="3" l="1"/>
  <c r="BX7889" i="3"/>
  <c r="BY7891" i="3" l="1"/>
  <c r="BX7890" i="3"/>
  <c r="BX7891" i="3" l="1"/>
  <c r="BY7892" i="3"/>
  <c r="BY7893" i="3" l="1"/>
  <c r="BX7892" i="3"/>
  <c r="BY7894" i="3" l="1"/>
  <c r="BX7893" i="3"/>
  <c r="BX7894" i="3" l="1"/>
  <c r="BY7895" i="3"/>
  <c r="BY7896" i="3" l="1"/>
  <c r="BX7895" i="3"/>
  <c r="BY7897" i="3" l="1"/>
  <c r="BX7896" i="3"/>
  <c r="BX7897" i="3" l="1"/>
  <c r="BY7898" i="3"/>
  <c r="BX7898" i="3" l="1"/>
  <c r="BY7899" i="3"/>
  <c r="BY7900" i="3" l="1"/>
  <c r="BX7899" i="3"/>
  <c r="BX7900" i="3" l="1"/>
  <c r="BY7901" i="3"/>
  <c r="BY7902" i="3" l="1"/>
  <c r="BX7901" i="3"/>
  <c r="BX7902" i="3" l="1"/>
  <c r="BY7903" i="3"/>
  <c r="BX7903" i="3" l="1"/>
  <c r="BY7904" i="3"/>
  <c r="BX7904" i="3" l="1"/>
  <c r="BY7905" i="3"/>
  <c r="BX7905" i="3" l="1"/>
  <c r="BY7906" i="3"/>
  <c r="BX7906" i="3" l="1"/>
  <c r="BY7907" i="3"/>
  <c r="BY7908" i="3" l="1"/>
  <c r="BX7907" i="3"/>
  <c r="BY7909" i="3" l="1"/>
  <c r="BX7908" i="3"/>
  <c r="BX7909" i="3" l="1"/>
  <c r="BY7910" i="3"/>
  <c r="BX7910" i="3" l="1"/>
  <c r="BY7911" i="3"/>
  <c r="BY7912" i="3" l="1"/>
  <c r="BX7911" i="3"/>
  <c r="BX7912" i="3" l="1"/>
  <c r="BY7913" i="3"/>
  <c r="BY7914" i="3" l="1"/>
  <c r="BX7913" i="3"/>
  <c r="BX7914" i="3" l="1"/>
  <c r="BY7915" i="3"/>
  <c r="BX7915" i="3" l="1"/>
  <c r="BY7916" i="3"/>
  <c r="BX7916" i="3" l="1"/>
  <c r="BY7917" i="3"/>
  <c r="BY7918" i="3" l="1"/>
  <c r="BX7917" i="3"/>
  <c r="BX7918" i="3" l="1"/>
  <c r="BY7919" i="3"/>
  <c r="BY7920" i="3" l="1"/>
  <c r="BX7919" i="3"/>
  <c r="BX7920" i="3" l="1"/>
  <c r="BY7921" i="3"/>
  <c r="BY7922" i="3" l="1"/>
  <c r="BX7921" i="3"/>
  <c r="BY7923" i="3" l="1"/>
  <c r="BX7922" i="3"/>
  <c r="BY7924" i="3" l="1"/>
  <c r="BX7923" i="3"/>
  <c r="BX7924" i="3" l="1"/>
  <c r="BY7925" i="3"/>
  <c r="BY7926" i="3" l="1"/>
  <c r="BX7925" i="3"/>
  <c r="BX7926" i="3" l="1"/>
  <c r="BY7927" i="3"/>
  <c r="BY7928" i="3" l="1"/>
  <c r="BX7927" i="3"/>
  <c r="BX7928" i="3" l="1"/>
  <c r="BY7929" i="3"/>
  <c r="BX7929" i="3" l="1"/>
  <c r="BY7930" i="3"/>
  <c r="BY7931" i="3" l="1"/>
  <c r="BX7930" i="3"/>
  <c r="BY7932" i="3" l="1"/>
  <c r="BX7931" i="3"/>
  <c r="BX7932" i="3" l="1"/>
  <c r="BY7933" i="3"/>
  <c r="BY7934" i="3" l="1"/>
  <c r="BX7933" i="3"/>
  <c r="BY7935" i="3" l="1"/>
  <c r="BX7934" i="3"/>
  <c r="BX7935" i="3" l="1"/>
  <c r="BY7936" i="3"/>
  <c r="BY7937" i="3" l="1"/>
  <c r="BX7936" i="3"/>
  <c r="BY7938" i="3" l="1"/>
  <c r="BX7937" i="3"/>
  <c r="BX7938" i="3" l="1"/>
  <c r="BY7939" i="3"/>
  <c r="BX7939" i="3" l="1"/>
  <c r="BY7940" i="3"/>
  <c r="BY7941" i="3" l="1"/>
  <c r="BX7940" i="3"/>
  <c r="BX7941" i="3" l="1"/>
  <c r="BY7942" i="3"/>
  <c r="BY7943" i="3" l="1"/>
  <c r="BX7942" i="3"/>
  <c r="BY7944" i="3" l="1"/>
  <c r="BX7943" i="3"/>
  <c r="BX7944" i="3" l="1"/>
  <c r="BY7945" i="3"/>
  <c r="BX7945" i="3" l="1"/>
  <c r="BY7946" i="3"/>
  <c r="BX7946" i="3" l="1"/>
  <c r="BY7947" i="3"/>
  <c r="BX7947" i="3" l="1"/>
  <c r="BY7948" i="3"/>
  <c r="BY7949" i="3" l="1"/>
  <c r="BX7948" i="3"/>
  <c r="BY7950" i="3" l="1"/>
  <c r="BX7949" i="3"/>
  <c r="BX7950" i="3" l="1"/>
  <c r="BY7951" i="3"/>
  <c r="BX7951" i="3" l="1"/>
  <c r="BY7952" i="3"/>
  <c r="BY7953" i="3" l="1"/>
  <c r="BX7952" i="3"/>
  <c r="BX7953" i="3" l="1"/>
  <c r="BY7954" i="3"/>
  <c r="BX7954" i="3" l="1"/>
  <c r="BY7955" i="3"/>
  <c r="BY7956" i="3" l="1"/>
  <c r="BX7955" i="3"/>
  <c r="BX7956" i="3" l="1"/>
  <c r="BY7957" i="3"/>
  <c r="BX7957" i="3" l="1"/>
  <c r="BY7958" i="3"/>
  <c r="BY7959" i="3" l="1"/>
  <c r="BX7958" i="3"/>
  <c r="BX7959" i="3" l="1"/>
  <c r="BY7960" i="3"/>
  <c r="BX7960" i="3" l="1"/>
  <c r="BY7961" i="3"/>
  <c r="BY7962" i="3" l="1"/>
  <c r="BX7961" i="3"/>
  <c r="BX7962" i="3" l="1"/>
  <c r="BY7963" i="3"/>
  <c r="BY7964" i="3" l="1"/>
  <c r="BX7963" i="3"/>
  <c r="BX7964" i="3" l="1"/>
  <c r="BY7965" i="3"/>
  <c r="BX7965" i="3" l="1"/>
  <c r="BY7966" i="3"/>
  <c r="BY7967" i="3" l="1"/>
  <c r="BX7966" i="3"/>
  <c r="BY7968" i="3" l="1"/>
  <c r="BX7967" i="3"/>
  <c r="BX7968" i="3" l="1"/>
  <c r="BY7969" i="3"/>
  <c r="BY7970" i="3" l="1"/>
  <c r="BX7969" i="3"/>
  <c r="BY7971" i="3" l="1"/>
  <c r="BX7970" i="3"/>
  <c r="BX7971" i="3" l="1"/>
  <c r="BY7972" i="3"/>
  <c r="BY7973" i="3" l="1"/>
  <c r="BX7972" i="3"/>
  <c r="BY7974" i="3" l="1"/>
  <c r="BX7973" i="3"/>
  <c r="BX7974" i="3" l="1"/>
  <c r="BY7975" i="3"/>
  <c r="BX7975" i="3" l="1"/>
  <c r="BY7976" i="3"/>
  <c r="BY7977" i="3" l="1"/>
  <c r="BX7976" i="3"/>
  <c r="BX7977" i="3" l="1"/>
  <c r="BY7978" i="3"/>
  <c r="BX7978" i="3" l="1"/>
  <c r="BY7979" i="3"/>
  <c r="BY7980" i="3" l="1"/>
  <c r="BX7979" i="3"/>
  <c r="BX7980" i="3" l="1"/>
  <c r="BY7981" i="3"/>
  <c r="BX7981" i="3" l="1"/>
  <c r="BY7982" i="3"/>
  <c r="BX7982" i="3" l="1"/>
  <c r="BY7983" i="3"/>
  <c r="BX7983" i="3" l="1"/>
  <c r="BY7984" i="3"/>
  <c r="BY7985" i="3" l="1"/>
  <c r="BX7984" i="3"/>
  <c r="BX7985" i="3" l="1"/>
  <c r="BY7986" i="3"/>
  <c r="BX7986" i="3" l="1"/>
  <c r="BY7987" i="3"/>
  <c r="BY7988" i="3" l="1"/>
  <c r="BX7987" i="3"/>
  <c r="BY7989" i="3" l="1"/>
  <c r="BX7988" i="3"/>
  <c r="BX7989" i="3" l="1"/>
  <c r="BY7990" i="3"/>
  <c r="BY7991" i="3" l="1"/>
  <c r="BX7990" i="3"/>
  <c r="BY7992" i="3" l="1"/>
  <c r="BX7991" i="3"/>
  <c r="BX7992" i="3" l="1"/>
  <c r="BY7993" i="3"/>
  <c r="BX7993" i="3" l="1"/>
  <c r="BY7994" i="3"/>
  <c r="BY7995" i="3" l="1"/>
  <c r="BX7994" i="3"/>
  <c r="BX7995" i="3" l="1"/>
  <c r="BY7996" i="3"/>
  <c r="BX7996" i="3" l="1"/>
  <c r="BY7997" i="3"/>
  <c r="BY7998" i="3" l="1"/>
  <c r="BX7997" i="3"/>
  <c r="BX7998" i="3" l="1"/>
  <c r="BY7999" i="3"/>
  <c r="BX7999" i="3" l="1"/>
  <c r="BY8000" i="3"/>
  <c r="BX8000" i="3" l="1"/>
  <c r="BY8001" i="3"/>
  <c r="BX8001" i="3" l="1"/>
  <c r="BY8002" i="3"/>
  <c r="BY8003" i="3" l="1"/>
  <c r="BX8002" i="3"/>
  <c r="BX8003" i="3" l="1"/>
  <c r="BY8004" i="3"/>
  <c r="BX8004" i="3" l="1"/>
  <c r="BY8005" i="3"/>
  <c r="BY8006" i="3" l="1"/>
  <c r="BX8005" i="3"/>
  <c r="BY8007" i="3" l="1"/>
  <c r="BX8006" i="3"/>
  <c r="BX8007" i="3" l="1"/>
  <c r="BY8008" i="3"/>
  <c r="BY8009" i="3" l="1"/>
  <c r="BX8008" i="3"/>
  <c r="BY8010" i="3" l="1"/>
  <c r="BX8009" i="3"/>
  <c r="BX8010" i="3" l="1"/>
  <c r="BY8011" i="3"/>
  <c r="BX8011" i="3" l="1"/>
  <c r="BY8012" i="3"/>
  <c r="BY8013" i="3" l="1"/>
  <c r="BX8012" i="3"/>
  <c r="BX8013" i="3" l="1"/>
  <c r="BY8014" i="3"/>
  <c r="BX8014" i="3" l="1"/>
  <c r="BY8015" i="3"/>
  <c r="BY8016" i="3" l="1"/>
  <c r="BX8015" i="3"/>
  <c r="BX8016" i="3" l="1"/>
  <c r="BY8017" i="3"/>
  <c r="BX8017" i="3" l="1"/>
  <c r="BY8018" i="3"/>
  <c r="BX8018" i="3" l="1"/>
  <c r="BY8019" i="3"/>
  <c r="BX8019" i="3" l="1"/>
  <c r="BY8020" i="3"/>
  <c r="BY8021" i="3" l="1"/>
  <c r="BX8020" i="3"/>
  <c r="BX8021" i="3" l="1"/>
  <c r="BY8022" i="3"/>
  <c r="BX8022" i="3" l="1"/>
  <c r="BY8023" i="3"/>
  <c r="BY8024" i="3" l="1"/>
  <c r="BX8023" i="3"/>
  <c r="BY8025" i="3" l="1"/>
  <c r="BX8024" i="3"/>
  <c r="BX8025" i="3" l="1"/>
  <c r="BY8026" i="3"/>
  <c r="BY8027" i="3" l="1"/>
  <c r="BX8026" i="3"/>
  <c r="BY8028" i="3" l="1"/>
  <c r="BX8027" i="3"/>
  <c r="BX8028" i="3" l="1"/>
  <c r="BY8029" i="3"/>
  <c r="BX8029" i="3" l="1"/>
  <c r="BY8030" i="3"/>
  <c r="BY8031" i="3" l="1"/>
  <c r="BX8030" i="3"/>
  <c r="BX8031" i="3" l="1"/>
  <c r="BY8032" i="3"/>
  <c r="BX8032" i="3" l="1"/>
  <c r="BY8033" i="3"/>
  <c r="BY8034" i="3" l="1"/>
  <c r="BX8033" i="3"/>
  <c r="BX8034" i="3" l="1"/>
  <c r="BY8035" i="3"/>
  <c r="BX8035" i="3" l="1"/>
  <c r="BY8036" i="3"/>
  <c r="BX8036" i="3" l="1"/>
  <c r="BY8037" i="3"/>
  <c r="BX8037" i="3" l="1"/>
  <c r="BY8038" i="3"/>
  <c r="BY8039" i="3" l="1"/>
  <c r="BX8038" i="3"/>
  <c r="BX8039" i="3" l="1"/>
  <c r="BY8040" i="3"/>
  <c r="BX8040" i="3" l="1"/>
  <c r="BY8041" i="3"/>
  <c r="BY8042" i="3" l="1"/>
  <c r="BX8041" i="3"/>
  <c r="BY8043" i="3" l="1"/>
  <c r="BX8042" i="3"/>
  <c r="BX8043" i="3" l="1"/>
  <c r="BY8044" i="3"/>
  <c r="BY8045" i="3" l="1"/>
  <c r="BX8044" i="3"/>
  <c r="BY8046" i="3" l="1"/>
  <c r="BX8045" i="3"/>
  <c r="BX8046" i="3" l="1"/>
  <c r="BY8047" i="3"/>
  <c r="BX8047" i="3" l="1"/>
  <c r="BY8048" i="3"/>
  <c r="BY8049" i="3" l="1"/>
  <c r="BX8048" i="3"/>
  <c r="BX8049" i="3" l="1"/>
  <c r="BY8050" i="3"/>
  <c r="BX8050" i="3" l="1"/>
  <c r="BY8051" i="3"/>
  <c r="BY8052" i="3" l="1"/>
  <c r="BX8051" i="3"/>
  <c r="BX8052" i="3" l="1"/>
  <c r="BY8053" i="3"/>
  <c r="BY8054" i="3" l="1"/>
  <c r="BX8053" i="3"/>
  <c r="BX8054" i="3" l="1"/>
  <c r="BY8055" i="3"/>
  <c r="BX8055" i="3" l="1"/>
  <c r="BY8056" i="3"/>
  <c r="BY8057" i="3" l="1"/>
  <c r="BX8056" i="3"/>
  <c r="BX8057" i="3" l="1"/>
  <c r="BY8058" i="3"/>
  <c r="BX8058" i="3" l="1"/>
  <c r="BY8059" i="3"/>
  <c r="BY8060" i="3" l="1"/>
  <c r="BX8059" i="3"/>
  <c r="BY8061" i="3" l="1"/>
  <c r="BX8060" i="3"/>
  <c r="BX8061" i="3" l="1"/>
  <c r="BY8062" i="3"/>
  <c r="BY8063" i="3" l="1"/>
  <c r="BX8062" i="3"/>
  <c r="BY8064" i="3" l="1"/>
  <c r="BX8063" i="3"/>
  <c r="BX8064" i="3" l="1"/>
  <c r="BY8065" i="3"/>
  <c r="BX8065" i="3" l="1"/>
  <c r="BY8066" i="3"/>
  <c r="BY8067" i="3" l="1"/>
  <c r="BX8066" i="3"/>
  <c r="BX8067" i="3" l="1"/>
  <c r="BY8068" i="3"/>
  <c r="BX8068" i="3" l="1"/>
  <c r="BY8069" i="3"/>
  <c r="BY8070" i="3" l="1"/>
  <c r="BX8069" i="3"/>
  <c r="BX8070" i="3" l="1"/>
  <c r="BY8071" i="3"/>
  <c r="BY8072" i="3" l="1"/>
  <c r="BX8071" i="3"/>
  <c r="BX8072" i="3" l="1"/>
  <c r="BY8073" i="3"/>
  <c r="BX8073" i="3" l="1"/>
  <c r="BY8074" i="3"/>
  <c r="BY8075" i="3" l="1"/>
  <c r="BX8074" i="3"/>
  <c r="BX8075" i="3" l="1"/>
  <c r="BY8076" i="3"/>
  <c r="BX8076" i="3" l="1"/>
  <c r="BY8077" i="3"/>
  <c r="BY8078" i="3" l="1"/>
  <c r="BX8077" i="3"/>
  <c r="BY8079" i="3" l="1"/>
  <c r="BX8078" i="3"/>
  <c r="BX8079" i="3" l="1"/>
  <c r="BY8080" i="3"/>
  <c r="BY8081" i="3" l="1"/>
  <c r="BX8080" i="3"/>
  <c r="BY8082" i="3" l="1"/>
  <c r="BX8081" i="3"/>
  <c r="BX8082" i="3" l="1"/>
  <c r="BY8083" i="3"/>
  <c r="BX8083" i="3" l="1"/>
  <c r="BY8084" i="3"/>
  <c r="BY8085" i="3" l="1"/>
  <c r="BX8084" i="3"/>
  <c r="BX8085" i="3" l="1"/>
  <c r="BY8086" i="3"/>
  <c r="BX8086" i="3" l="1"/>
  <c r="BY8087" i="3"/>
  <c r="BY8088" i="3" l="1"/>
  <c r="BX8087" i="3"/>
  <c r="BX8088" i="3" l="1"/>
  <c r="BY8089" i="3"/>
  <c r="BX8089" i="3" l="1"/>
  <c r="BY8090" i="3"/>
  <c r="BX8090" i="3" l="1"/>
  <c r="BY8091" i="3"/>
  <c r="BX8091" i="3" l="1"/>
  <c r="BY8092" i="3"/>
  <c r="BY8093" i="3" l="1"/>
  <c r="BX8092" i="3"/>
  <c r="BX8093" i="3" l="1"/>
  <c r="BY8094" i="3"/>
  <c r="BX8094" i="3" l="1"/>
  <c r="BY8095" i="3"/>
  <c r="BY8096" i="3" l="1"/>
  <c r="BX8095" i="3"/>
  <c r="BY8097" i="3" l="1"/>
  <c r="BX8096" i="3"/>
  <c r="BX8097" i="3" l="1"/>
  <c r="BY8098" i="3"/>
  <c r="BY8099" i="3" l="1"/>
  <c r="BX8098" i="3"/>
  <c r="BY8100" i="3" l="1"/>
  <c r="BX8099" i="3"/>
  <c r="BX8100" i="3" l="1"/>
  <c r="BY8101" i="3"/>
  <c r="BX8101" i="3" l="1"/>
  <c r="BY8102" i="3"/>
  <c r="BY8103" i="3" l="1"/>
  <c r="BX8102" i="3"/>
  <c r="BX8103" i="3" l="1"/>
  <c r="BY8104" i="3"/>
  <c r="BX8104" i="3" l="1"/>
  <c r="BY8105" i="3"/>
  <c r="BY8106" i="3" l="1"/>
  <c r="BX8105" i="3"/>
  <c r="BX8106" i="3" l="1"/>
  <c r="BY8107" i="3"/>
  <c r="BY8108" i="3" l="1"/>
  <c r="BX8107" i="3"/>
  <c r="BX8108" i="3" l="1"/>
  <c r="BY8109" i="3"/>
  <c r="BX8109" i="3" l="1"/>
  <c r="BY8110" i="3"/>
  <c r="BY8111" i="3" l="1"/>
  <c r="BX8110" i="3"/>
  <c r="BX8111" i="3" l="1"/>
  <c r="BY8112" i="3"/>
  <c r="BX8112" i="3" l="1"/>
  <c r="BY8113" i="3"/>
  <c r="BY8114" i="3" l="1"/>
  <c r="BX8113" i="3"/>
  <c r="BY8115" i="3" l="1"/>
  <c r="BX8114" i="3"/>
  <c r="BX8115" i="3" l="1"/>
  <c r="BY8116" i="3"/>
  <c r="BY8117" i="3" l="1"/>
  <c r="BX8116" i="3"/>
  <c r="BY8118" i="3" l="1"/>
  <c r="BX8117" i="3"/>
  <c r="BX8118" i="3" l="1"/>
  <c r="BY8119" i="3"/>
  <c r="BX8119" i="3" l="1"/>
  <c r="BY8120" i="3"/>
  <c r="BY8121" i="3" l="1"/>
  <c r="BX8120" i="3"/>
  <c r="BX8121" i="3" l="1"/>
  <c r="BY8122" i="3"/>
  <c r="BX8122" i="3" l="1"/>
  <c r="BY8123" i="3"/>
  <c r="BY8124" i="3" l="1"/>
  <c r="BX8123" i="3"/>
  <c r="BX8124" i="3" l="1"/>
  <c r="BY8125" i="3"/>
  <c r="BY8126" i="3" l="1"/>
  <c r="BX8125" i="3"/>
  <c r="BX8126" i="3" l="1"/>
  <c r="BY8127" i="3"/>
  <c r="BX8127" i="3" l="1"/>
  <c r="BY8128" i="3"/>
  <c r="BY8129" i="3" l="1"/>
  <c r="BX8128" i="3"/>
  <c r="BX8129" i="3" l="1"/>
  <c r="BY8130" i="3"/>
  <c r="BX8130" i="3" l="1"/>
  <c r="BY8131" i="3"/>
  <c r="BY8132" i="3" l="1"/>
  <c r="BX8131" i="3"/>
  <c r="BY8133" i="3" l="1"/>
  <c r="BX8132" i="3"/>
  <c r="BX8133" i="3" l="1"/>
  <c r="BY8134" i="3"/>
  <c r="BY8135" i="3" l="1"/>
  <c r="BX8134" i="3"/>
  <c r="BY8136" i="3" l="1"/>
  <c r="BX8135" i="3"/>
  <c r="BX8136" i="3" l="1"/>
  <c r="BY8137" i="3"/>
  <c r="BX8137" i="3" l="1"/>
  <c r="BY8138" i="3"/>
  <c r="BY8139" i="3" l="1"/>
  <c r="BX8138" i="3"/>
  <c r="BX8139" i="3" l="1"/>
  <c r="BY8140" i="3"/>
  <c r="BX8140" i="3" l="1"/>
  <c r="BY8141" i="3"/>
  <c r="BY8142" i="3" l="1"/>
  <c r="BX8141" i="3"/>
  <c r="BX8142" i="3" l="1"/>
  <c r="BY8143" i="3"/>
  <c r="BX8143" i="3" l="1"/>
  <c r="BY8144" i="3"/>
  <c r="BX8144" i="3" l="1"/>
  <c r="BY8145" i="3"/>
  <c r="BX8145" i="3" l="1"/>
  <c r="BY8146" i="3"/>
  <c r="BY8147" i="3" l="1"/>
  <c r="BX8146" i="3"/>
  <c r="BX8147" i="3" l="1"/>
  <c r="BY8148" i="3"/>
  <c r="BX8148" i="3" l="1"/>
  <c r="BY8149" i="3"/>
  <c r="BY8150" i="3" l="1"/>
  <c r="BX8149" i="3"/>
  <c r="BY8151" i="3" l="1"/>
  <c r="BX8150" i="3"/>
  <c r="BX8151" i="3" l="1"/>
  <c r="BY8152" i="3"/>
  <c r="BY8153" i="3" l="1"/>
  <c r="BX8152" i="3"/>
  <c r="BY8154" i="3" l="1"/>
  <c r="BX8153" i="3"/>
  <c r="BX8154" i="3" l="1"/>
  <c r="BY8155" i="3"/>
  <c r="BX8155" i="3" l="1"/>
  <c r="BY8156" i="3"/>
  <c r="BY8157" i="3" l="1"/>
  <c r="BX8156" i="3"/>
  <c r="BX8157" i="3" l="1"/>
  <c r="BY8158" i="3"/>
  <c r="BX8158" i="3" l="1"/>
  <c r="BY8159" i="3"/>
  <c r="BY8160" i="3" l="1"/>
  <c r="BX8159" i="3"/>
  <c r="BX8160" i="3" l="1"/>
  <c r="BY8161" i="3"/>
  <c r="BY8162" i="3" l="1"/>
  <c r="BX8161" i="3"/>
  <c r="BX8162" i="3" l="1"/>
  <c r="BY8163" i="3"/>
  <c r="BX8163" i="3" l="1"/>
  <c r="BY8164" i="3"/>
  <c r="BY8165" i="3" l="1"/>
  <c r="BX8164" i="3"/>
  <c r="BX8165" i="3" l="1"/>
  <c r="BY8166" i="3"/>
  <c r="BX8166" i="3" l="1"/>
  <c r="BY8167" i="3"/>
  <c r="BY8168" i="3" l="1"/>
  <c r="BX8167" i="3"/>
  <c r="BY8169" i="3" l="1"/>
  <c r="BX8168" i="3"/>
  <c r="BX8169" i="3" l="1"/>
  <c r="BY8170" i="3"/>
  <c r="BY8171" i="3" l="1"/>
  <c r="BX8170" i="3"/>
  <c r="BY8172" i="3" l="1"/>
  <c r="BX8171" i="3"/>
  <c r="BX8172" i="3" l="1"/>
  <c r="BY8173" i="3"/>
  <c r="BX8173" i="3" l="1"/>
  <c r="BY8174" i="3"/>
  <c r="BY8175" i="3" l="1"/>
  <c r="BX8174" i="3"/>
  <c r="BX8175" i="3" l="1"/>
  <c r="BY8176" i="3"/>
  <c r="BX8176" i="3" l="1"/>
  <c r="BY8177" i="3"/>
  <c r="BY8178" i="3" l="1"/>
  <c r="BX8177" i="3"/>
  <c r="BX8178" i="3" l="1"/>
  <c r="BY8179" i="3"/>
  <c r="BY8180" i="3" l="1"/>
  <c r="BX8179" i="3"/>
  <c r="BX8180" i="3" l="1"/>
  <c r="BY8181" i="3"/>
  <c r="BX8181" i="3" l="1"/>
  <c r="BY8182" i="3"/>
  <c r="BY8183" i="3" l="1"/>
  <c r="BX8182" i="3"/>
  <c r="BX8183" i="3" l="1"/>
  <c r="BY8184" i="3"/>
  <c r="BX8184" i="3" l="1"/>
  <c r="BY8185" i="3"/>
  <c r="BY8186" i="3" l="1"/>
  <c r="BX8185" i="3"/>
  <c r="BY8187" i="3" l="1"/>
  <c r="BX8186" i="3"/>
  <c r="BX8187" i="3" l="1"/>
  <c r="BY8188" i="3"/>
  <c r="BY8189" i="3" l="1"/>
  <c r="BX8188" i="3"/>
  <c r="BY8190" i="3" l="1"/>
  <c r="BX8189" i="3"/>
  <c r="BX8190" i="3" l="1"/>
  <c r="BY8191" i="3"/>
  <c r="BX8191" i="3" l="1"/>
  <c r="BY8192" i="3"/>
  <c r="BY8193" i="3" l="1"/>
  <c r="BX8192" i="3"/>
  <c r="BX8193" i="3" l="1"/>
  <c r="BY8194" i="3"/>
  <c r="BX8194" i="3" l="1"/>
  <c r="BY8195" i="3"/>
  <c r="BY8196" i="3" l="1"/>
  <c r="BX8195" i="3"/>
  <c r="BX8196" i="3" l="1"/>
  <c r="BY8197" i="3"/>
  <c r="BX8197" i="3" l="1"/>
  <c r="BY8198" i="3"/>
  <c r="BX8198" i="3" l="1"/>
  <c r="BY8199" i="3"/>
  <c r="BX8199" i="3" l="1"/>
  <c r="BY8200" i="3"/>
  <c r="BY8201" i="3" l="1"/>
  <c r="BX8200" i="3"/>
  <c r="BX8201" i="3" l="1"/>
  <c r="BY8202" i="3"/>
  <c r="BX8202" i="3" l="1"/>
  <c r="BY8203" i="3"/>
  <c r="BY8204" i="3" l="1"/>
  <c r="BX8203" i="3"/>
  <c r="BY8205" i="3" l="1"/>
  <c r="BX8204" i="3"/>
  <c r="BX8205" i="3" l="1"/>
  <c r="BY8206" i="3"/>
  <c r="BY8207" i="3" l="1"/>
  <c r="BX8206" i="3"/>
  <c r="BY8208" i="3" l="1"/>
  <c r="BX8207" i="3"/>
  <c r="BX8208" i="3" l="1"/>
  <c r="BY8209" i="3"/>
  <c r="BX8209" i="3" l="1"/>
  <c r="BY8210" i="3"/>
  <c r="BY8211" i="3" l="1"/>
  <c r="BX8210" i="3"/>
  <c r="BX8211" i="3" l="1"/>
  <c r="BY8212" i="3"/>
  <c r="BX8212" i="3" l="1"/>
  <c r="BY8213" i="3"/>
  <c r="BY8214" i="3" l="1"/>
  <c r="BX8213" i="3"/>
  <c r="BX8214" i="3" l="1"/>
  <c r="BY8215" i="3"/>
  <c r="BY8216" i="3" l="1"/>
  <c r="BX8215" i="3"/>
  <c r="BX8216" i="3" l="1"/>
  <c r="BY8217" i="3"/>
  <c r="BX8217" i="3" l="1"/>
  <c r="BY8218" i="3"/>
  <c r="BY8219" i="3" l="1"/>
  <c r="BX8218" i="3"/>
  <c r="BX8219" i="3" l="1"/>
  <c r="BY8220" i="3"/>
  <c r="BX8220" i="3" l="1"/>
  <c r="BY8221" i="3"/>
  <c r="BY8222" i="3" l="1"/>
  <c r="BX8221" i="3"/>
  <c r="BY8223" i="3" l="1"/>
  <c r="BX8222" i="3"/>
  <c r="BX8223" i="3" l="1"/>
  <c r="BY8224" i="3"/>
  <c r="BY8225" i="3" l="1"/>
  <c r="BX8224" i="3"/>
  <c r="BY8226" i="3" l="1"/>
  <c r="BX8225" i="3"/>
  <c r="BX8226" i="3" l="1"/>
  <c r="BY8227" i="3"/>
  <c r="BX8227" i="3" l="1"/>
  <c r="BY8228" i="3"/>
  <c r="BY8229" i="3" l="1"/>
  <c r="BX8228" i="3"/>
  <c r="BX8229" i="3" l="1"/>
  <c r="BY8230" i="3"/>
  <c r="BX8230" i="3" l="1"/>
  <c r="BY8231" i="3"/>
  <c r="BY8232" i="3" l="1"/>
  <c r="BX8231" i="3"/>
  <c r="BX8232" i="3" l="1"/>
  <c r="BY8233" i="3"/>
  <c r="BY8234" i="3" l="1"/>
  <c r="BX8233" i="3"/>
  <c r="BX8234" i="3" l="1"/>
  <c r="BY8235" i="3"/>
  <c r="BX8235" i="3" l="1"/>
  <c r="BY8236" i="3"/>
  <c r="BY8237" i="3" l="1"/>
  <c r="BX8236" i="3"/>
  <c r="BX8237" i="3" l="1"/>
  <c r="BY8238" i="3"/>
  <c r="BX8238" i="3" l="1"/>
  <c r="BY8239" i="3"/>
  <c r="BY8240" i="3" l="1"/>
  <c r="BX8239" i="3"/>
  <c r="BY8241" i="3" l="1"/>
  <c r="BX8240" i="3"/>
  <c r="BX8241" i="3" l="1"/>
  <c r="BY8242" i="3"/>
  <c r="BY8243" i="3" l="1"/>
  <c r="BX8242" i="3"/>
  <c r="BY8244" i="3" l="1"/>
  <c r="BX8243" i="3"/>
  <c r="BX8244" i="3" l="1"/>
  <c r="BY8245" i="3"/>
  <c r="BX8245" i="3" l="1"/>
  <c r="BY8246" i="3"/>
  <c r="BY8247" i="3" l="1"/>
  <c r="BX8246" i="3"/>
  <c r="BX8247" i="3" l="1"/>
  <c r="BY8248" i="3"/>
  <c r="BX8248" i="3" l="1"/>
  <c r="BY8249" i="3"/>
  <c r="BY8250" i="3" l="1"/>
  <c r="BX8249" i="3"/>
  <c r="BX8250" i="3" l="1"/>
  <c r="BY8251" i="3"/>
  <c r="BX8251" i="3" l="1"/>
  <c r="BY8252" i="3"/>
  <c r="BX8252" i="3" l="1"/>
  <c r="BY8253" i="3"/>
  <c r="BX8253" i="3" l="1"/>
  <c r="BY8254" i="3"/>
  <c r="BY8255" i="3" l="1"/>
  <c r="BX8254" i="3"/>
  <c r="BX8255" i="3" l="1"/>
  <c r="BY8256" i="3"/>
  <c r="BX8256" i="3" l="1"/>
  <c r="BY8257" i="3"/>
  <c r="BY8258" i="3" l="1"/>
  <c r="BX8257" i="3"/>
  <c r="BY8259" i="3" l="1"/>
  <c r="BX8258" i="3"/>
  <c r="BX8259" i="3" l="1"/>
  <c r="BY8260" i="3"/>
  <c r="BY8261" i="3" l="1"/>
  <c r="BX8260" i="3"/>
  <c r="BY8262" i="3" l="1"/>
  <c r="BX8261" i="3"/>
  <c r="BX8262" i="3" l="1"/>
  <c r="BY8263" i="3"/>
  <c r="BX8263" i="3" l="1"/>
  <c r="BY8264" i="3"/>
  <c r="BY8265" i="3" l="1"/>
  <c r="BX8264" i="3"/>
  <c r="BX8265" i="3" l="1"/>
  <c r="BY8266" i="3"/>
  <c r="BX8266" i="3" l="1"/>
  <c r="BY8267" i="3"/>
  <c r="BY8268" i="3" l="1"/>
  <c r="BX8267" i="3"/>
  <c r="BX8268" i="3" l="1"/>
  <c r="BY8269" i="3"/>
  <c r="BY8270" i="3" l="1"/>
  <c r="BX8269" i="3"/>
  <c r="BX8270" i="3" l="1"/>
  <c r="BY8271" i="3"/>
  <c r="BX8271" i="3" l="1"/>
  <c r="BY8272" i="3"/>
  <c r="BY8273" i="3" l="1"/>
  <c r="BX8272" i="3"/>
  <c r="BY8274" i="3" l="1"/>
  <c r="BX8273" i="3"/>
  <c r="BX8274" i="3" l="1"/>
  <c r="BY8275" i="3"/>
  <c r="BY8276" i="3" l="1"/>
  <c r="BX8275" i="3"/>
  <c r="BY8277" i="3" l="1"/>
  <c r="BX8276" i="3"/>
  <c r="BX8277" i="3" l="1"/>
  <c r="BY8278" i="3"/>
  <c r="BY8279" i="3" l="1"/>
  <c r="BX8278" i="3"/>
  <c r="BY8280" i="3" l="1"/>
  <c r="BX8279" i="3"/>
  <c r="BX8280" i="3" l="1"/>
  <c r="BY8281" i="3"/>
  <c r="BX8281" i="3" l="1"/>
  <c r="BY8282" i="3"/>
  <c r="BY8283" i="3" l="1"/>
  <c r="BX8282" i="3"/>
  <c r="BX8283" i="3" l="1"/>
  <c r="BY8284" i="3"/>
  <c r="BX8284" i="3" l="1"/>
  <c r="BY8285" i="3"/>
  <c r="BX8285" i="3" l="1"/>
  <c r="BY8286" i="3"/>
  <c r="BX8286" i="3" l="1"/>
  <c r="BY8287" i="3"/>
  <c r="BY8288" i="3" l="1"/>
  <c r="BX8287" i="3"/>
  <c r="BX8288" i="3" l="1"/>
  <c r="BY8289" i="3"/>
  <c r="BX8289" i="3" l="1"/>
  <c r="BY8290" i="3"/>
  <c r="BY8291" i="3" l="1"/>
  <c r="BX8290" i="3"/>
  <c r="BX8291" i="3" l="1"/>
  <c r="BY8292" i="3"/>
  <c r="BX8292" i="3" l="1"/>
  <c r="BY8293" i="3"/>
  <c r="BY8294" i="3" l="1"/>
  <c r="BX8293" i="3"/>
  <c r="BY8295" i="3" l="1"/>
  <c r="BX8294" i="3"/>
  <c r="BX8295" i="3" l="1"/>
  <c r="BY8296" i="3"/>
  <c r="BX8296" i="3" l="1"/>
  <c r="BY8297" i="3"/>
  <c r="BY8298" i="3" l="1"/>
  <c r="BX8297" i="3"/>
  <c r="BX8298" i="3" l="1"/>
  <c r="BY8299" i="3"/>
  <c r="BX8299" i="3" l="1"/>
  <c r="BY8300" i="3"/>
  <c r="BY8301" i="3" l="1"/>
  <c r="BX8300" i="3"/>
  <c r="BX8301" i="3" l="1"/>
  <c r="BY8302" i="3"/>
  <c r="BX8302" i="3" l="1"/>
  <c r="BY8303" i="3"/>
  <c r="BY8304" i="3" l="1"/>
  <c r="BX8303" i="3"/>
  <c r="BX8304" i="3" l="1"/>
  <c r="BY8305" i="3"/>
  <c r="BY8306" i="3" l="1"/>
  <c r="BX8305" i="3"/>
  <c r="BX8306" i="3" l="1"/>
  <c r="BY8307" i="3"/>
  <c r="BX8307" i="3" l="1"/>
  <c r="BY8308" i="3"/>
  <c r="BY8309" i="3" l="1"/>
  <c r="BX8308" i="3"/>
  <c r="BY8310" i="3" l="1"/>
  <c r="BX8309" i="3"/>
  <c r="BX8310" i="3" l="1"/>
  <c r="BY8311" i="3"/>
  <c r="BY8312" i="3" l="1"/>
  <c r="BX8311" i="3"/>
  <c r="BY8313" i="3" l="1"/>
  <c r="BX8312" i="3"/>
  <c r="BX8313" i="3" l="1"/>
  <c r="BY8314" i="3"/>
  <c r="BX8314" i="3" l="1"/>
  <c r="BY8315" i="3"/>
  <c r="BY8316" i="3" l="1"/>
  <c r="BX8315" i="3"/>
  <c r="BX8316" i="3" l="1"/>
  <c r="BY8317" i="3"/>
  <c r="BY8318" i="3" l="1"/>
  <c r="BX8317" i="3"/>
  <c r="BY8319" i="3" l="1"/>
  <c r="BX8318" i="3"/>
  <c r="BX8319" i="3" l="1"/>
  <c r="BY8320" i="3"/>
  <c r="BX8320" i="3" l="1"/>
  <c r="BY8321" i="3"/>
  <c r="BY8322" i="3" l="1"/>
  <c r="BX8321" i="3"/>
  <c r="BX8322" i="3" l="1"/>
  <c r="BY8323" i="3"/>
  <c r="BY8324" i="3" l="1"/>
  <c r="BX8323" i="3"/>
  <c r="BX8324" i="3" l="1"/>
  <c r="BY8325" i="3"/>
  <c r="BX8325" i="3" l="1"/>
  <c r="BY8326" i="3"/>
  <c r="BX8326" i="3" l="1"/>
  <c r="BY8327" i="3"/>
  <c r="BX8327" i="3" l="1"/>
  <c r="BY8328" i="3"/>
  <c r="BX8328" i="3" l="1"/>
  <c r="BY8329" i="3"/>
  <c r="BY8330" i="3" l="1"/>
  <c r="BX8329" i="3"/>
  <c r="BY8331" i="3" l="1"/>
  <c r="BX8330" i="3"/>
  <c r="BX8331" i="3" l="1"/>
  <c r="BY8332" i="3"/>
  <c r="BX8332" i="3" l="1"/>
  <c r="BY8333" i="3"/>
  <c r="BY8334" i="3" l="1"/>
  <c r="BX8333" i="3"/>
  <c r="BX8334" i="3" l="1"/>
  <c r="BY8335" i="3"/>
  <c r="BY8336" i="3" l="1"/>
  <c r="BX8335" i="3"/>
  <c r="BY8337" i="3" l="1"/>
  <c r="BX8336" i="3"/>
  <c r="BX8337" i="3" l="1"/>
  <c r="BY8338" i="3"/>
  <c r="BX8338" i="3" l="1"/>
  <c r="BY8339" i="3"/>
  <c r="BY8340" i="3" l="1"/>
  <c r="BX8339" i="3"/>
  <c r="BX8340" i="3" l="1"/>
  <c r="BY8341" i="3"/>
  <c r="BY8342" i="3" l="1"/>
  <c r="BX8341" i="3"/>
  <c r="BX8342" i="3" l="1"/>
  <c r="BY8343" i="3"/>
  <c r="BX8343" i="3" l="1"/>
  <c r="BY8344" i="3"/>
  <c r="BY8345" i="3" l="1"/>
  <c r="BX8344" i="3"/>
  <c r="BY8346" i="3" l="1"/>
  <c r="BX8345" i="3"/>
  <c r="BX8346" i="3" l="1"/>
  <c r="BY8347" i="3"/>
  <c r="BY8348" i="3" l="1"/>
  <c r="BX8347" i="3"/>
  <c r="BY8349" i="3" l="1"/>
  <c r="BX8348" i="3"/>
  <c r="BX8349" i="3" l="1"/>
  <c r="BY8350" i="3"/>
  <c r="BY8351" i="3" l="1"/>
  <c r="BX8350" i="3"/>
  <c r="BY8352" i="3" l="1"/>
  <c r="BX8351" i="3"/>
  <c r="BX8352" i="3" l="1"/>
  <c r="BY8353" i="3"/>
  <c r="BY8354" i="3" l="1"/>
  <c r="BX8353" i="3"/>
  <c r="BY8355" i="3" l="1"/>
  <c r="BX8354" i="3"/>
  <c r="BX8355" i="3" l="1"/>
  <c r="BY8356" i="3"/>
  <c r="BX8356" i="3" l="1"/>
  <c r="BY8357" i="3"/>
  <c r="BY8358" i="3" l="1"/>
  <c r="BX8357" i="3"/>
  <c r="BX8358" i="3" l="1"/>
  <c r="BY8359" i="3"/>
  <c r="BY8360" i="3" l="1"/>
  <c r="BX8359" i="3"/>
  <c r="BX8360" i="3" l="1"/>
  <c r="BY8361" i="3"/>
  <c r="BX8361" i="3" l="1"/>
  <c r="BY8362" i="3"/>
  <c r="BX8362" i="3" l="1"/>
  <c r="BY8363" i="3"/>
  <c r="BY8364" i="3" l="1"/>
  <c r="BX8363" i="3"/>
  <c r="BX8364" i="3" l="1"/>
  <c r="BY8365" i="3"/>
  <c r="BX8365" i="3" l="1"/>
  <c r="BY8366" i="3"/>
  <c r="BY8367" i="3" l="1"/>
  <c r="BX8366" i="3"/>
  <c r="BY8368" i="3" l="1"/>
  <c r="BX8367" i="3"/>
  <c r="BX8368" i="3" l="1"/>
  <c r="BY8369" i="3"/>
  <c r="BY8370" i="3" l="1"/>
  <c r="BX8369" i="3"/>
  <c r="BX8370" i="3" l="1"/>
  <c r="BY8371" i="3"/>
  <c r="BY8372" i="3" l="1"/>
  <c r="BX8371" i="3"/>
  <c r="BX8372" i="3" l="1"/>
  <c r="BY8373" i="3"/>
  <c r="BY8374" i="3" l="1"/>
  <c r="BX8373" i="3"/>
  <c r="BX8374" i="3" l="1"/>
  <c r="BY8375" i="3"/>
  <c r="BY8376" i="3" l="1"/>
  <c r="BX8375" i="3"/>
  <c r="BX8376" i="3" l="1"/>
  <c r="BY8377" i="3"/>
  <c r="BX8377" i="3" l="1"/>
  <c r="BY8378" i="3"/>
  <c r="BY8379" i="3" l="1"/>
  <c r="BX8378" i="3"/>
  <c r="BX8379" i="3" l="1"/>
  <c r="BY8380" i="3"/>
  <c r="BY8381" i="3" l="1"/>
  <c r="BX8380" i="3"/>
  <c r="BY8382" i="3" l="1"/>
  <c r="BX8381" i="3"/>
  <c r="BX8382" i="3" l="1"/>
  <c r="BY8383" i="3"/>
  <c r="BX8383" i="3" l="1"/>
  <c r="BY8384" i="3"/>
  <c r="BY8385" i="3" l="1"/>
  <c r="BX8384" i="3"/>
  <c r="BY8386" i="3" l="1"/>
  <c r="BX8385" i="3"/>
  <c r="BX8386" i="3" l="1"/>
  <c r="BY8387" i="3"/>
  <c r="BY8388" i="3" l="1"/>
  <c r="BX8387" i="3"/>
  <c r="BX8388" i="3" l="1"/>
  <c r="BY8389" i="3"/>
  <c r="BX8389" i="3" l="1"/>
  <c r="BY8390" i="3"/>
  <c r="BX8390" i="3" l="1"/>
  <c r="BY8391" i="3"/>
  <c r="BX8391" i="3" l="1"/>
  <c r="BY8392" i="3"/>
  <c r="BY8393" i="3" l="1"/>
  <c r="BX8392" i="3"/>
  <c r="BY8394" i="3" l="1"/>
  <c r="BX8393" i="3"/>
  <c r="BX8394" i="3" l="1"/>
  <c r="BY8395" i="3"/>
  <c r="BY8396" i="3" l="1"/>
  <c r="BX8395" i="3"/>
  <c r="BY8397" i="3" l="1"/>
  <c r="BX8396" i="3"/>
  <c r="BX8397" i="3" l="1"/>
  <c r="BY8398" i="3"/>
  <c r="BX8398" i="3" l="1"/>
  <c r="BY8399" i="3"/>
  <c r="BY8400" i="3" l="1"/>
  <c r="BX8399" i="3"/>
  <c r="BX8400" i="3" l="1"/>
  <c r="BY8401" i="3"/>
  <c r="BX8401" i="3" l="1"/>
  <c r="BY8402" i="3"/>
  <c r="BY8403" i="3" l="1"/>
  <c r="BX8402" i="3"/>
  <c r="BY8404" i="3" l="1"/>
  <c r="BX8403" i="3"/>
  <c r="BX8404" i="3" l="1"/>
  <c r="BY8405" i="3"/>
  <c r="BY8406" i="3" l="1"/>
  <c r="BX8405" i="3"/>
  <c r="BX8406" i="3" l="1"/>
  <c r="BY8407" i="3"/>
  <c r="BX8407" i="3" l="1"/>
  <c r="BY8408" i="3"/>
  <c r="BX8408" i="3" l="1"/>
  <c r="BY8409" i="3"/>
  <c r="BY8410" i="3" l="1"/>
  <c r="BX8409" i="3"/>
  <c r="BY8411" i="3" l="1"/>
  <c r="BX8410" i="3"/>
  <c r="BY8412" i="3" l="1"/>
  <c r="BX8411" i="3"/>
  <c r="BX8412" i="3" l="1"/>
  <c r="BY8413" i="3"/>
  <c r="BY8414" i="3" l="1"/>
  <c r="BX8413" i="3"/>
  <c r="BY8415" i="3" l="1"/>
  <c r="BX8414" i="3"/>
  <c r="BX8415" i="3" l="1"/>
  <c r="BY8416" i="3"/>
  <c r="BY8417" i="3" l="1"/>
  <c r="BX8416" i="3"/>
  <c r="BY8418" i="3" l="1"/>
  <c r="BX8417" i="3"/>
  <c r="BX8418" i="3" l="1"/>
  <c r="BY8419" i="3"/>
  <c r="BX8419" i="3" l="1"/>
  <c r="BY8420" i="3"/>
  <c r="BY8421" i="3" l="1"/>
  <c r="BX8420" i="3"/>
  <c r="BY8422" i="3" l="1"/>
  <c r="BX8421" i="3"/>
  <c r="BX8422" i="3" l="1"/>
  <c r="BY8423" i="3"/>
  <c r="BY8424" i="3" l="1"/>
  <c r="BX8423" i="3"/>
  <c r="BX8424" i="3" l="1"/>
  <c r="BY8425" i="3"/>
  <c r="BY8426" i="3" l="1"/>
  <c r="BX8425" i="3"/>
  <c r="BX8426" i="3" l="1"/>
  <c r="BY8427" i="3"/>
  <c r="BY8428" i="3" l="1"/>
  <c r="BX8427" i="3"/>
  <c r="BY8429" i="3" l="1"/>
  <c r="BX8428" i="3"/>
  <c r="BY8430" i="3" l="1"/>
  <c r="BX8429" i="3"/>
  <c r="BX8430" i="3" l="1"/>
  <c r="BY8431" i="3"/>
  <c r="BY8432" i="3" l="1"/>
  <c r="BX8431" i="3"/>
  <c r="BX8432" i="3" l="1"/>
  <c r="BY8433" i="3"/>
  <c r="BX8433" i="3" l="1"/>
  <c r="BY8434" i="3"/>
  <c r="BY8435" i="3" l="1"/>
  <c r="BX8434" i="3"/>
  <c r="BY8436" i="3" l="1"/>
  <c r="BX8435" i="3"/>
  <c r="BX8436" i="3" l="1"/>
  <c r="BY8437" i="3"/>
  <c r="BX8437" i="3" l="1"/>
  <c r="BY8438" i="3"/>
  <c r="BY8439" i="3" l="1"/>
  <c r="BX8438" i="3"/>
  <c r="BY8440" i="3" l="1"/>
  <c r="BX8439" i="3"/>
  <c r="BX8440" i="3" l="1"/>
  <c r="BY8441" i="3"/>
  <c r="BY8442" i="3" l="1"/>
  <c r="BX8441" i="3"/>
  <c r="BX8442" i="3" l="1"/>
  <c r="BY8443" i="3"/>
  <c r="BY8444" i="3" l="1"/>
  <c r="BX8443" i="3"/>
  <c r="BX8444" i="3" l="1"/>
  <c r="BY8445" i="3"/>
  <c r="BY8446" i="3" l="1"/>
  <c r="BX8445" i="3"/>
  <c r="BY8447" i="3" l="1"/>
  <c r="BX8446" i="3"/>
  <c r="BY8448" i="3" l="1"/>
  <c r="BX8447" i="3"/>
  <c r="BX8448" i="3" l="1"/>
  <c r="BY8449" i="3"/>
  <c r="BX8449" i="3" l="1"/>
  <c r="BY8450" i="3"/>
  <c r="BX8450" i="3" l="1"/>
  <c r="BY8451" i="3"/>
  <c r="BX8451" i="3" l="1"/>
  <c r="BY8452" i="3"/>
  <c r="BY8453" i="3" l="1"/>
  <c r="BX8452" i="3"/>
  <c r="BY8454" i="3" l="1"/>
  <c r="BX8453" i="3"/>
  <c r="BX8454" i="3" l="1"/>
  <c r="BY8455" i="3"/>
  <c r="BX8455" i="3" l="1"/>
  <c r="BY8456" i="3"/>
  <c r="BY8457" i="3" l="1"/>
  <c r="BX8456" i="3"/>
  <c r="BY8458" i="3" l="1"/>
  <c r="BX8457" i="3"/>
  <c r="BX8458" i="3" l="1"/>
  <c r="BY8459" i="3"/>
  <c r="BY8460" i="3" l="1"/>
  <c r="BX8459" i="3"/>
  <c r="BX8460" i="3" l="1"/>
  <c r="BY8461" i="3"/>
  <c r="BY8462" i="3" l="1"/>
  <c r="BX8461" i="3"/>
  <c r="BX8462" i="3" l="1"/>
  <c r="BY8463" i="3"/>
  <c r="BY8464" i="3" l="1"/>
  <c r="BX8463" i="3"/>
  <c r="BY8465" i="3" l="1"/>
  <c r="BX8464" i="3"/>
  <c r="BY8466" i="3" l="1"/>
  <c r="BX8465" i="3"/>
  <c r="BX8466" i="3" l="1"/>
  <c r="BY8467" i="3"/>
  <c r="BX8467" i="3" l="1"/>
  <c r="BY8468" i="3"/>
  <c r="BY8469" i="3" l="1"/>
  <c r="BX8468" i="3"/>
  <c r="BX8469" i="3" l="1"/>
  <c r="BY8470" i="3"/>
  <c r="BY8471" i="3" l="1"/>
  <c r="BX8470" i="3"/>
  <c r="BY8472" i="3" l="1"/>
  <c r="BX8471" i="3"/>
  <c r="BX8472" i="3" l="1"/>
  <c r="BY8473" i="3"/>
  <c r="BX8473" i="3" l="1"/>
  <c r="BY8474" i="3"/>
  <c r="BY8475" i="3" l="1"/>
  <c r="BX8474" i="3"/>
  <c r="BX8475" i="3" l="1"/>
  <c r="BY8476" i="3"/>
  <c r="BX8476" i="3" l="1"/>
  <c r="BY8477" i="3"/>
  <c r="BY8478" i="3" l="1"/>
  <c r="BX8477" i="3"/>
  <c r="BX8478" i="3" l="1"/>
  <c r="BY8479" i="3"/>
  <c r="BY8480" i="3" l="1"/>
  <c r="BX8479" i="3"/>
  <c r="BX8480" i="3" l="1"/>
  <c r="BY8481" i="3"/>
  <c r="BY8482" i="3" l="1"/>
  <c r="BX8481" i="3"/>
  <c r="BY8483" i="3" l="1"/>
  <c r="BX8482" i="3"/>
  <c r="BY8484" i="3" l="1"/>
  <c r="BX8483" i="3"/>
  <c r="BX8484" i="3" l="1"/>
  <c r="BY8485" i="3"/>
  <c r="BX8485" i="3" l="1"/>
  <c r="BY8486" i="3"/>
  <c r="BY8487" i="3" l="1"/>
  <c r="BX8486" i="3"/>
  <c r="BX8487" i="3" l="1"/>
  <c r="BY8488" i="3"/>
  <c r="BY8489" i="3" l="1"/>
  <c r="BX8488" i="3"/>
  <c r="BY8490" i="3" l="1"/>
  <c r="BX8489" i="3"/>
  <c r="BX8490" i="3" l="1"/>
  <c r="BY8491" i="3"/>
  <c r="BX8491" i="3" l="1"/>
  <c r="BY8492" i="3"/>
  <c r="BX8492" i="3" l="1"/>
  <c r="BY8493" i="3"/>
  <c r="BX8493" i="3" l="1"/>
  <c r="BY8494" i="3"/>
  <c r="BX8494" i="3" l="1"/>
  <c r="BY8495" i="3"/>
  <c r="BY8496" i="3" l="1"/>
  <c r="BX8495" i="3"/>
  <c r="BX8496" i="3" l="1"/>
  <c r="BY8497" i="3"/>
  <c r="BY8498" i="3" l="1"/>
  <c r="BX8497" i="3"/>
  <c r="BX8498" i="3" l="1"/>
  <c r="BY8499" i="3"/>
  <c r="BY8500" i="3" l="1"/>
  <c r="BX8499" i="3"/>
  <c r="BY8501" i="3" l="1"/>
  <c r="BX8500" i="3"/>
  <c r="BY8502" i="3" l="1"/>
  <c r="BX8501" i="3"/>
  <c r="BX8502" i="3" l="1"/>
  <c r="BY8503" i="3"/>
  <c r="BY8504" i="3" l="1"/>
  <c r="BX8503" i="3"/>
  <c r="BY8505" i="3" l="1"/>
  <c r="BX8504" i="3"/>
  <c r="BX8505" i="3" l="1"/>
  <c r="BY8506" i="3"/>
  <c r="BY8507" i="3" l="1"/>
  <c r="BX8506" i="3"/>
  <c r="BY8508" i="3" l="1"/>
  <c r="BX8507" i="3"/>
  <c r="BX8508" i="3" l="1"/>
  <c r="BY8509" i="3"/>
  <c r="BX8509" i="3" l="1"/>
  <c r="BY8510" i="3"/>
  <c r="BX8510" i="3" l="1"/>
  <c r="BY8511" i="3"/>
  <c r="BY8512" i="3" l="1"/>
  <c r="BX8511" i="3"/>
  <c r="BX8512" i="3" l="1"/>
  <c r="BY8513" i="3"/>
  <c r="BY8514" i="3" l="1"/>
  <c r="BX8513" i="3"/>
  <c r="BX8514" i="3" l="1"/>
  <c r="BY8515" i="3"/>
  <c r="BY8516" i="3" l="1"/>
  <c r="BX8515" i="3"/>
  <c r="BX8516" i="3" l="1"/>
  <c r="BY8517" i="3"/>
  <c r="BY8518" i="3" l="1"/>
  <c r="BX8517" i="3"/>
  <c r="BX8518" i="3" l="1"/>
  <c r="BY8519" i="3"/>
  <c r="BY8520" i="3" l="1"/>
  <c r="BX8519" i="3"/>
  <c r="BX8520" i="3" l="1"/>
  <c r="BY8521" i="3"/>
  <c r="BY8522" i="3" l="1"/>
  <c r="BX8521" i="3"/>
  <c r="BY8523" i="3" l="1"/>
  <c r="BX8522" i="3"/>
  <c r="BX8523" i="3" l="1"/>
  <c r="BY8524" i="3"/>
  <c r="BY8525" i="3" l="1"/>
  <c r="BX8524" i="3"/>
  <c r="BY8526" i="3" l="1"/>
  <c r="BX8525" i="3"/>
  <c r="BX8526" i="3" l="1"/>
  <c r="BY8527" i="3"/>
  <c r="BX8527" i="3" l="1"/>
  <c r="BY8528" i="3"/>
  <c r="BX8528" i="3" l="1"/>
  <c r="BY8529" i="3"/>
  <c r="BY8530" i="3" l="1"/>
  <c r="BX8529" i="3"/>
  <c r="BX8530" i="3" l="1"/>
  <c r="BY8531" i="3"/>
  <c r="BY8532" i="3" l="1"/>
  <c r="BX8531" i="3"/>
  <c r="BX8532" i="3" l="1"/>
  <c r="BY8533" i="3"/>
  <c r="BY8534" i="3" l="1"/>
  <c r="BX8533" i="3"/>
  <c r="BX8534" i="3" l="1"/>
  <c r="BY8535" i="3"/>
  <c r="BX8535" i="3" l="1"/>
  <c r="BY8536" i="3"/>
  <c r="BX8536" i="3" l="1"/>
  <c r="BY8537" i="3"/>
  <c r="BY8538" i="3" l="1"/>
  <c r="BX8537" i="3"/>
  <c r="BX8538" i="3" l="1"/>
  <c r="BY8539" i="3"/>
  <c r="BY8540" i="3" l="1"/>
  <c r="BX8539" i="3"/>
  <c r="BY8541" i="3" l="1"/>
  <c r="BX8540" i="3"/>
  <c r="BX8541" i="3" l="1"/>
  <c r="BY8542" i="3"/>
  <c r="BY8543" i="3" l="1"/>
  <c r="BX8542" i="3"/>
  <c r="BY8544" i="3" l="1"/>
  <c r="BX8543" i="3"/>
  <c r="BX8544" i="3" l="1"/>
  <c r="BY8545" i="3"/>
  <c r="BY8546" i="3" l="1"/>
  <c r="BX8545" i="3"/>
  <c r="BY8547" i="3" l="1"/>
  <c r="BX8546" i="3"/>
  <c r="BY8548" i="3" l="1"/>
  <c r="BX8547" i="3"/>
  <c r="BY8549" i="3" l="1"/>
  <c r="BX8548" i="3"/>
  <c r="BY8550" i="3" l="1"/>
  <c r="BX8549" i="3"/>
  <c r="BX8550" i="3" l="1"/>
  <c r="BY8551" i="3"/>
  <c r="BY8552" i="3" l="1"/>
  <c r="BX8551" i="3"/>
  <c r="BY8553" i="3" l="1"/>
  <c r="BX8552" i="3"/>
  <c r="BY8554" i="3" l="1"/>
  <c r="BX8553" i="3"/>
  <c r="BX8554" i="3" l="1"/>
  <c r="BY8555" i="3"/>
  <c r="BY8556" i="3" l="1"/>
  <c r="BX8555" i="3"/>
  <c r="BX8556" i="3" l="1"/>
  <c r="BY8557" i="3"/>
  <c r="BX8557" i="3" l="1"/>
  <c r="BY8558" i="3"/>
  <c r="BY8559" i="3" l="1"/>
  <c r="BX8558" i="3"/>
  <c r="BY8560" i="3" l="1"/>
  <c r="BX8559" i="3"/>
  <c r="BY8561" i="3" l="1"/>
  <c r="BX8560" i="3"/>
  <c r="BY8562" i="3" l="1"/>
  <c r="BX8561" i="3"/>
  <c r="BX8562" i="3" l="1"/>
  <c r="BY8563" i="3"/>
  <c r="BY8564" i="3" l="1"/>
  <c r="BX8563" i="3"/>
  <c r="BY8565" i="3" l="1"/>
  <c r="BX8564" i="3"/>
  <c r="BX8565" i="3" l="1"/>
  <c r="BY8566" i="3"/>
  <c r="BY8567" i="3" l="1"/>
  <c r="BX8566" i="3"/>
  <c r="BY8568" i="3" l="1"/>
  <c r="BX8567" i="3"/>
  <c r="BX8568" i="3" l="1"/>
  <c r="BY8569" i="3"/>
  <c r="BY8570" i="3" l="1"/>
  <c r="BX8569" i="3"/>
  <c r="BY8571" i="3" l="1"/>
  <c r="BX8570" i="3"/>
  <c r="BY8572" i="3" l="1"/>
  <c r="BX8571" i="3"/>
  <c r="BY8573" i="3" l="1"/>
  <c r="BX8572" i="3"/>
  <c r="BY8574" i="3" l="1"/>
  <c r="BX8573" i="3"/>
  <c r="BX8574" i="3" l="1"/>
  <c r="BY8575" i="3"/>
  <c r="BX8575" i="3" l="1"/>
  <c r="BY8576" i="3"/>
  <c r="BX8576" i="3" l="1"/>
  <c r="BY8577" i="3"/>
  <c r="BY8578" i="3" l="1"/>
  <c r="BX8577" i="3"/>
  <c r="BX8578" i="3" l="1"/>
  <c r="BY8579" i="3"/>
  <c r="BY8580" i="3" l="1"/>
  <c r="BX8579" i="3"/>
  <c r="BX8580" i="3" l="1"/>
  <c r="BY8581" i="3"/>
  <c r="BY8582" i="3" l="1"/>
  <c r="BX8581" i="3"/>
  <c r="BY8583" i="3" l="1"/>
  <c r="BX8582" i="3"/>
  <c r="BX8583" i="3" l="1"/>
  <c r="BY8584" i="3"/>
  <c r="BY8585" i="3" l="1"/>
  <c r="BX8584" i="3"/>
  <c r="BY8586" i="3" l="1"/>
  <c r="BX8585" i="3"/>
  <c r="BX8586" i="3" l="1"/>
  <c r="BY8587" i="3"/>
  <c r="BY8588" i="3" l="1"/>
  <c r="BX8587" i="3"/>
  <c r="BY8589" i="3" l="1"/>
  <c r="BX8588" i="3"/>
  <c r="BY8590" i="3" l="1"/>
  <c r="BX8589" i="3"/>
  <c r="BY8591" i="3" l="1"/>
  <c r="BX8590" i="3"/>
  <c r="BY8592" i="3" l="1"/>
  <c r="BX8591" i="3"/>
  <c r="BX8592" i="3" l="1"/>
  <c r="BY8593" i="3"/>
  <c r="BY8594" i="3" l="1"/>
  <c r="BX8593" i="3"/>
  <c r="BY8595" i="3" l="1"/>
  <c r="BX8594" i="3"/>
  <c r="BY8596" i="3" l="1"/>
  <c r="BX8595" i="3"/>
  <c r="BX8596" i="3" l="1"/>
  <c r="BY8597" i="3"/>
  <c r="BY8598" i="3" l="1"/>
  <c r="BX8597" i="3"/>
  <c r="BX8598" i="3" l="1"/>
  <c r="BY8599" i="3"/>
  <c r="BY8600" i="3" l="1"/>
  <c r="BX8599" i="3"/>
  <c r="BX8600" i="3" l="1"/>
  <c r="BY8601" i="3"/>
  <c r="BY8602" i="3" l="1"/>
  <c r="BX8601" i="3"/>
  <c r="BY8603" i="3" l="1"/>
  <c r="BX8602" i="3"/>
  <c r="BY8604" i="3" l="1"/>
  <c r="BX8603" i="3"/>
  <c r="BX8604" i="3" l="1"/>
  <c r="BY8605" i="3"/>
  <c r="BX8605" i="3" l="1"/>
  <c r="BY8606" i="3"/>
  <c r="BY8607" i="3" l="1"/>
  <c r="BX8606" i="3"/>
  <c r="BY8608" i="3" l="1"/>
  <c r="BX8607" i="3"/>
  <c r="BY8609" i="3" l="1"/>
  <c r="BX8608" i="3"/>
  <c r="BY8610" i="3" l="1"/>
  <c r="BX8609" i="3"/>
  <c r="BX8610" i="3" l="1"/>
  <c r="BY8611" i="3"/>
  <c r="BY8612" i="3" l="1"/>
  <c r="BX8611" i="3"/>
  <c r="BY8613" i="3" l="1"/>
  <c r="BX8612" i="3"/>
  <c r="BY8614" i="3" l="1"/>
  <c r="BX8613" i="3"/>
  <c r="BY8615" i="3" l="1"/>
  <c r="BX8614" i="3"/>
  <c r="BY8616" i="3" l="1"/>
  <c r="BX8615" i="3"/>
  <c r="BX8616" i="3" l="1"/>
  <c r="BY8617" i="3"/>
  <c r="BY8618" i="3" l="1"/>
  <c r="BX8617" i="3"/>
  <c r="BY8619" i="3" l="1"/>
  <c r="BX8618" i="3"/>
  <c r="BY8620" i="3" l="1"/>
  <c r="BX8619" i="3"/>
  <c r="BY8621" i="3" l="1"/>
  <c r="BX8620" i="3"/>
  <c r="BY8622" i="3" l="1"/>
  <c r="BX8621" i="3"/>
  <c r="BX8622" i="3" l="1"/>
  <c r="BY8623" i="3"/>
  <c r="BY8624" i="3" l="1"/>
  <c r="BX8623" i="3"/>
  <c r="BY8625" i="3" l="1"/>
  <c r="BX8624" i="3"/>
  <c r="BY8626" i="3" l="1"/>
  <c r="BX8625" i="3"/>
  <c r="BX8626" i="3" l="1"/>
  <c r="BY8627" i="3"/>
  <c r="BY8628" i="3" l="1"/>
  <c r="BX8627" i="3"/>
  <c r="BX8628" i="3" l="1"/>
  <c r="BY8629" i="3"/>
  <c r="BY8630" i="3" l="1"/>
  <c r="BX8629" i="3"/>
  <c r="BY8631" i="3" l="1"/>
  <c r="BX8630" i="3"/>
  <c r="BY8632" i="3" l="1"/>
  <c r="BX8631" i="3"/>
  <c r="BY8633" i="3" l="1"/>
  <c r="BX8632" i="3"/>
  <c r="BY8634" i="3" l="1"/>
  <c r="BX8633" i="3"/>
  <c r="BX8634" i="3" l="1"/>
  <c r="BY8635" i="3"/>
  <c r="BY8636" i="3" l="1"/>
  <c r="BX8635" i="3"/>
  <c r="BY8637" i="3" l="1"/>
  <c r="BX8636" i="3"/>
  <c r="BY8638" i="3" l="1"/>
  <c r="BX8637" i="3"/>
  <c r="BY8639" i="3" l="1"/>
  <c r="BX8638" i="3"/>
  <c r="BY8640" i="3" l="1"/>
  <c r="BX8639" i="3"/>
  <c r="BX8640" i="3" l="1"/>
  <c r="BY8641" i="3"/>
  <c r="BY8642" i="3" l="1"/>
  <c r="BX8641" i="3"/>
  <c r="BY8643" i="3" l="1"/>
  <c r="BX8642" i="3"/>
  <c r="BX8643" i="3" l="1"/>
  <c r="BY8644" i="3"/>
  <c r="BY8645" i="3" l="1"/>
  <c r="BX8644" i="3"/>
  <c r="BY8646" i="3" l="1"/>
  <c r="BX8645" i="3"/>
  <c r="BX8646" i="3" l="1"/>
  <c r="BY8647" i="3"/>
  <c r="BY8648" i="3" l="1"/>
  <c r="BX8647" i="3"/>
  <c r="BX8648" i="3" l="1"/>
  <c r="BY8649" i="3"/>
  <c r="BY8650" i="3" l="1"/>
  <c r="BX8649" i="3"/>
  <c r="BY8651" i="3" l="1"/>
  <c r="BX8650" i="3"/>
  <c r="BY8652" i="3" l="1"/>
  <c r="BX8651" i="3"/>
  <c r="BX8652" i="3" l="1"/>
  <c r="BY8653" i="3"/>
  <c r="BY8654" i="3" l="1"/>
  <c r="BX8653" i="3"/>
  <c r="BY8655" i="3" l="1"/>
  <c r="BX8654" i="3"/>
  <c r="BY8656" i="3" l="1"/>
  <c r="BX8655" i="3"/>
  <c r="BY8657" i="3" l="1"/>
  <c r="BX8656" i="3"/>
  <c r="BY8658" i="3" l="1"/>
  <c r="BX8657" i="3"/>
  <c r="BX8658" i="3" l="1"/>
  <c r="BY8659" i="3"/>
  <c r="BY8660" i="3" l="1"/>
  <c r="BX8659" i="3"/>
  <c r="BY8661" i="3" l="1"/>
  <c r="BX8660" i="3"/>
  <c r="BY8662" i="3" l="1"/>
  <c r="BX8661" i="3"/>
  <c r="BY8663" i="3" l="1"/>
  <c r="BX8662" i="3"/>
  <c r="BY8664" i="3" l="1"/>
  <c r="BX8663" i="3"/>
  <c r="BX8664" i="3" l="1"/>
  <c r="BY8665" i="3"/>
  <c r="BX8665" i="3" l="1"/>
  <c r="BY8666" i="3"/>
  <c r="BY8667" i="3" l="1"/>
  <c r="BX8666" i="3"/>
  <c r="BY8668" i="3" l="1"/>
  <c r="BX8667" i="3"/>
  <c r="BX8668" i="3" l="1"/>
  <c r="BY8669" i="3"/>
  <c r="BY8670" i="3" l="1"/>
  <c r="BX8669" i="3"/>
  <c r="BX8670" i="3" l="1"/>
  <c r="BY8671" i="3"/>
  <c r="BY8672" i="3" l="1"/>
  <c r="BX8671" i="3"/>
  <c r="BY8673" i="3" l="1"/>
  <c r="BX8672" i="3"/>
  <c r="BY8674" i="3" l="1"/>
  <c r="BX8673" i="3"/>
  <c r="BY8675" i="3" l="1"/>
  <c r="BX8674" i="3"/>
  <c r="BY8676" i="3" l="1"/>
  <c r="BX8675" i="3"/>
  <c r="BX8676" i="3" l="1"/>
  <c r="BY8677" i="3"/>
  <c r="BY8678" i="3" l="1"/>
  <c r="BX8677" i="3"/>
  <c r="BY8679" i="3" l="1"/>
  <c r="BX8678" i="3"/>
  <c r="BX8679" i="3" l="1"/>
  <c r="BY8680" i="3"/>
  <c r="BY8681" i="3" l="1"/>
  <c r="BX8680" i="3"/>
  <c r="BY8682" i="3" l="1"/>
  <c r="BX8681" i="3"/>
  <c r="BX8682" i="3" l="1"/>
  <c r="BY8683" i="3"/>
  <c r="BY8684" i="3" l="1"/>
  <c r="BX8683" i="3"/>
  <c r="BY8685" i="3" l="1"/>
  <c r="BX8684" i="3"/>
  <c r="BY8686" i="3" l="1"/>
  <c r="BX8685" i="3"/>
  <c r="BX8686" i="3" l="1"/>
  <c r="BY8687" i="3"/>
  <c r="BY8688" i="3" l="1"/>
  <c r="BX8687" i="3"/>
  <c r="BY8689" i="3" l="1"/>
  <c r="BX8688" i="3"/>
  <c r="BX8689" i="3" l="1"/>
  <c r="BY8690" i="3"/>
  <c r="BY8691" i="3" l="1"/>
  <c r="BX8690" i="3"/>
  <c r="BY8692" i="3" l="1"/>
  <c r="BX8691" i="3"/>
  <c r="BX8692" i="3" l="1"/>
  <c r="BY8693" i="3"/>
  <c r="BY8694" i="3" l="1"/>
  <c r="BX8693" i="3"/>
  <c r="BY8695" i="3" l="1"/>
  <c r="BX8694" i="3"/>
  <c r="BX8695" i="3" l="1"/>
  <c r="BY8696" i="3"/>
  <c r="BX8696" i="3" l="1"/>
  <c r="BY8697" i="3"/>
  <c r="BY8698" i="3" l="1"/>
  <c r="BX8697" i="3"/>
  <c r="BY8699" i="3" l="1"/>
  <c r="BX8698" i="3"/>
  <c r="BY8700" i="3" l="1"/>
  <c r="BX8699" i="3"/>
  <c r="BY8701" i="3" l="1"/>
  <c r="BX8700" i="3"/>
  <c r="BX8701" i="3" l="1"/>
  <c r="BY8702" i="3"/>
  <c r="BY8703" i="3" l="1"/>
  <c r="BX8702" i="3"/>
  <c r="BX8703" i="3" l="1"/>
  <c r="BY8704" i="3"/>
  <c r="BY8705" i="3" l="1"/>
  <c r="BX8704" i="3"/>
  <c r="BY8706" i="3" l="1"/>
  <c r="BX8705" i="3"/>
  <c r="BY8707" i="3" l="1"/>
  <c r="BX8706" i="3"/>
  <c r="BX8707" i="3" l="1"/>
  <c r="BY8708" i="3"/>
  <c r="BY8709" i="3" l="1"/>
  <c r="BX8708" i="3"/>
  <c r="BY8710" i="3" l="1"/>
  <c r="BX8709" i="3"/>
  <c r="BX8710" i="3" l="1"/>
  <c r="BY8711" i="3"/>
  <c r="BY8712" i="3" l="1"/>
  <c r="BX8711" i="3"/>
  <c r="BY8713" i="3" l="1"/>
  <c r="BX8712" i="3"/>
  <c r="BX8713" i="3" l="1"/>
  <c r="BY8714" i="3"/>
  <c r="BX8714" i="3" l="1"/>
  <c r="BY8715" i="3"/>
  <c r="BY8716" i="3" l="1"/>
  <c r="BX8715" i="3"/>
  <c r="BY8717" i="3" l="1"/>
  <c r="BX8716" i="3"/>
  <c r="BY8718" i="3" l="1"/>
  <c r="BX8717" i="3"/>
  <c r="BX8718" i="3" l="1"/>
  <c r="BY8719" i="3"/>
  <c r="BX8719" i="3" l="1"/>
  <c r="BY8720" i="3"/>
  <c r="BY8721" i="3" l="1"/>
  <c r="BX8720" i="3"/>
  <c r="BY8722" i="3" l="1"/>
  <c r="BX8721" i="3"/>
  <c r="BY8723" i="3" l="1"/>
  <c r="BX8722" i="3"/>
  <c r="BY8724" i="3" l="1"/>
  <c r="BX8723" i="3"/>
  <c r="BY8725" i="3" l="1"/>
  <c r="BX8724" i="3"/>
  <c r="BX8725" i="3" l="1"/>
  <c r="BY8726" i="3"/>
  <c r="BY8727" i="3" l="1"/>
  <c r="BX8726" i="3"/>
  <c r="BX8727" i="3" l="1"/>
  <c r="BY8728" i="3"/>
  <c r="BY8729" i="3" l="1"/>
  <c r="BX8728" i="3"/>
  <c r="BY8730" i="3" l="1"/>
  <c r="BX8729" i="3"/>
  <c r="BY8731" i="3" l="1"/>
  <c r="BX8730" i="3"/>
  <c r="BX8731" i="3" l="1"/>
  <c r="BY8732" i="3"/>
  <c r="BX8732" i="3" l="1"/>
  <c r="BY8733" i="3"/>
  <c r="BY8734" i="3" l="1"/>
  <c r="BX8733" i="3"/>
  <c r="BY8735" i="3" l="1"/>
  <c r="BX8734" i="3"/>
  <c r="BY8736" i="3" l="1"/>
  <c r="BX8735" i="3"/>
  <c r="BY8737" i="3" l="1"/>
  <c r="BX8736" i="3"/>
  <c r="BX8737" i="3" l="1"/>
  <c r="BY8738" i="3"/>
  <c r="BY8739" i="3" l="1"/>
  <c r="BX8738" i="3"/>
  <c r="BX8739" i="3" l="1"/>
  <c r="BY8740" i="3"/>
  <c r="BX8740" i="3" l="1"/>
  <c r="BY8741" i="3"/>
  <c r="BY8742" i="3" l="1"/>
  <c r="BX8741" i="3"/>
  <c r="BY8743" i="3" l="1"/>
  <c r="BX8742" i="3"/>
  <c r="BX8743" i="3" l="1"/>
  <c r="BY8744" i="3"/>
  <c r="BX8744" i="3" l="1"/>
  <c r="BY8745" i="3"/>
  <c r="BY8746" i="3" l="1"/>
  <c r="BX8745" i="3"/>
  <c r="BX8746" i="3" l="1"/>
  <c r="BY8747" i="3"/>
  <c r="BY8748" i="3" l="1"/>
  <c r="BX8747" i="3"/>
  <c r="BY8749" i="3" l="1"/>
  <c r="BX8748" i="3"/>
  <c r="BX8749" i="3" l="1"/>
  <c r="BY8750" i="3"/>
  <c r="BY8751" i="3" l="1"/>
  <c r="BX8750" i="3"/>
  <c r="BX8751" i="3" l="1"/>
  <c r="BY8752" i="3"/>
  <c r="BY8753" i="3" l="1"/>
  <c r="BX8752" i="3"/>
  <c r="BY8754" i="3" l="1"/>
  <c r="BX8753" i="3"/>
  <c r="BX8754" i="3" l="1"/>
  <c r="BY8755" i="3"/>
  <c r="BX8755" i="3" l="1"/>
  <c r="BY8756" i="3"/>
  <c r="BY8757" i="3" l="1"/>
  <c r="BX8756" i="3"/>
  <c r="BY8758" i="3" l="1"/>
  <c r="BX8757" i="3"/>
  <c r="BY8759" i="3" l="1"/>
  <c r="BX8758" i="3"/>
  <c r="BY8760" i="3" l="1"/>
  <c r="BX8759" i="3"/>
  <c r="BY8761" i="3" l="1"/>
  <c r="BX8760" i="3"/>
  <c r="BX8761" i="3" l="1"/>
  <c r="BY8762" i="3"/>
  <c r="BY8763" i="3" l="1"/>
  <c r="BX8762" i="3"/>
  <c r="BY8764" i="3" l="1"/>
  <c r="BX8763" i="3"/>
  <c r="BX8764" i="3" l="1"/>
  <c r="BY8765" i="3"/>
  <c r="BY8766" i="3" l="1"/>
  <c r="BX8765" i="3"/>
  <c r="BY8767" i="3" l="1"/>
  <c r="BX8766" i="3"/>
  <c r="BX8767" i="3" l="1"/>
  <c r="BY8768" i="3"/>
  <c r="BX8768" i="3" l="1"/>
  <c r="BY8769" i="3"/>
  <c r="BY8770" i="3" l="1"/>
  <c r="BX8769" i="3"/>
  <c r="BX8770" i="3" l="1"/>
  <c r="BY8771" i="3"/>
  <c r="BY8772" i="3" l="1"/>
  <c r="BX8771" i="3"/>
  <c r="BY8773" i="3" l="1"/>
  <c r="BX8772" i="3"/>
  <c r="BX8773" i="3" l="1"/>
  <c r="BY8774" i="3"/>
  <c r="BY8775" i="3" l="1"/>
  <c r="BX8774" i="3"/>
  <c r="BX8775" i="3" l="1"/>
  <c r="BY8776" i="3"/>
  <c r="BY8777" i="3" l="1"/>
  <c r="BX8776" i="3"/>
  <c r="BY8778" i="3" l="1"/>
  <c r="BX8777" i="3"/>
  <c r="BY8779" i="3" l="1"/>
  <c r="BX8778" i="3"/>
  <c r="BX8779" i="3" l="1"/>
  <c r="BY8780" i="3"/>
  <c r="BY8781" i="3" l="1"/>
  <c r="BX8780" i="3"/>
  <c r="BY8782" i="3" l="1"/>
  <c r="BX8781" i="3"/>
  <c r="BX8782" i="3" l="1"/>
  <c r="BY8783" i="3"/>
  <c r="BY8784" i="3" l="1"/>
  <c r="BX8783" i="3"/>
  <c r="BY8785" i="3" l="1"/>
  <c r="BX8784" i="3"/>
  <c r="BX8785" i="3" l="1"/>
  <c r="BY8786" i="3"/>
  <c r="BY8787" i="3" l="1"/>
  <c r="BX8786" i="3"/>
  <c r="BY8788" i="3" l="1"/>
  <c r="BX8787" i="3"/>
  <c r="BY8789" i="3" l="1"/>
  <c r="BX8788" i="3"/>
  <c r="BY8790" i="3" l="1"/>
  <c r="BX8789" i="3"/>
  <c r="BY8791" i="3" l="1"/>
  <c r="BX8790" i="3"/>
  <c r="BX8791" i="3" l="1"/>
  <c r="BY8792" i="3"/>
  <c r="BY8793" i="3" l="1"/>
  <c r="BX8792" i="3"/>
  <c r="BY8794" i="3" l="1"/>
  <c r="BX8793" i="3"/>
  <c r="BY8795" i="3" l="1"/>
  <c r="BX8794" i="3"/>
  <c r="BY8796" i="3" l="1"/>
  <c r="BX8795" i="3"/>
  <c r="BY8797" i="3" l="1"/>
  <c r="BX8796" i="3"/>
  <c r="BX8797" i="3" l="1"/>
  <c r="BY8798" i="3"/>
  <c r="BY8799" i="3" l="1"/>
  <c r="BX8798" i="3"/>
  <c r="BY8800" i="3" l="1"/>
  <c r="BX8799" i="3"/>
  <c r="BY8801" i="3" l="1"/>
  <c r="BX8800" i="3"/>
  <c r="BY8802" i="3" l="1"/>
  <c r="BX8801" i="3"/>
  <c r="BY8803" i="3" l="1"/>
  <c r="BX8802" i="3"/>
  <c r="BX8803" i="3" l="1"/>
  <c r="BY8804" i="3"/>
  <c r="BX8804" i="3" l="1"/>
  <c r="BY8805" i="3"/>
  <c r="BY8806" i="3" l="1"/>
  <c r="BX8805" i="3"/>
  <c r="BY8807" i="3" l="1"/>
  <c r="BX8806" i="3"/>
  <c r="BY8808" i="3" l="1"/>
  <c r="BX8807" i="3"/>
  <c r="BY8809" i="3" l="1"/>
  <c r="BX8808" i="3"/>
  <c r="BX8809" i="3" l="1"/>
  <c r="BY8810" i="3"/>
  <c r="BY8811" i="3" l="1"/>
  <c r="BX8810" i="3"/>
  <c r="BX8811" i="3" l="1"/>
  <c r="BY8812" i="3"/>
  <c r="BY8813" i="3" l="1"/>
  <c r="BX8812" i="3"/>
  <c r="BY8814" i="3" l="1"/>
  <c r="BX8813" i="3"/>
  <c r="BX8814" i="3" l="1"/>
  <c r="BY8815" i="3"/>
  <c r="BX8815" i="3" l="1"/>
  <c r="BY8816" i="3"/>
  <c r="BX8816" i="3" l="1"/>
  <c r="BY8817" i="3"/>
  <c r="BY8818" i="3" l="1"/>
  <c r="BX8817" i="3"/>
  <c r="BX8818" i="3" l="1"/>
  <c r="BY8819" i="3"/>
  <c r="BY8820" i="3" l="1"/>
  <c r="BX8819" i="3"/>
  <c r="BY8821" i="3" l="1"/>
  <c r="BX8820" i="3"/>
  <c r="BX8821" i="3" l="1"/>
  <c r="BY8822" i="3"/>
  <c r="BX8822" i="3" l="1"/>
  <c r="BY8823" i="3"/>
  <c r="BY8824" i="3" l="1"/>
  <c r="BX8823" i="3"/>
  <c r="BY8825" i="3" l="1"/>
  <c r="BX8824" i="3"/>
  <c r="BY8826" i="3" l="1"/>
  <c r="BX8825" i="3"/>
  <c r="BY8827" i="3" l="1"/>
  <c r="BX8826" i="3"/>
  <c r="BX8827" i="3" l="1"/>
  <c r="BY8828" i="3"/>
  <c r="BY8829" i="3" l="1"/>
  <c r="BX8828" i="3"/>
  <c r="BY8830" i="3" l="1"/>
  <c r="BX8829" i="3"/>
  <c r="BY8831" i="3" l="1"/>
  <c r="BX8830" i="3"/>
  <c r="BY8832" i="3" l="1"/>
  <c r="BX8831" i="3"/>
  <c r="BY8833" i="3" l="1"/>
  <c r="BX8832" i="3"/>
  <c r="BX8833" i="3" l="1"/>
  <c r="BY8834" i="3"/>
  <c r="BY8835" i="3" l="1"/>
  <c r="BX8834" i="3"/>
  <c r="BY8836" i="3" l="1"/>
  <c r="BX8835" i="3"/>
  <c r="BY8837" i="3" l="1"/>
  <c r="BX8836" i="3"/>
  <c r="BY8838" i="3" l="1"/>
  <c r="BX8837" i="3"/>
  <c r="BY8839" i="3" l="1"/>
  <c r="BX8838" i="3"/>
  <c r="BX8839" i="3" l="1"/>
  <c r="BY8840" i="3"/>
  <c r="BX8840" i="3" l="1"/>
  <c r="BY8841" i="3"/>
  <c r="BY8842" i="3" l="1"/>
  <c r="BX8841" i="3"/>
  <c r="BX8842" i="3" l="1"/>
  <c r="BY8843" i="3"/>
  <c r="BY8844" i="3" l="1"/>
  <c r="BX8843" i="3"/>
  <c r="BY8845" i="3" l="1"/>
  <c r="BX8844" i="3"/>
  <c r="BX8845" i="3" l="1"/>
  <c r="BY8846" i="3"/>
  <c r="BY8847" i="3" l="1"/>
  <c r="BX8846" i="3"/>
  <c r="BX8847" i="3" l="1"/>
  <c r="BY8848" i="3"/>
  <c r="BX8848" i="3" l="1"/>
  <c r="BY8849" i="3"/>
  <c r="BY8850" i="3" l="1"/>
  <c r="BX8849" i="3"/>
  <c r="BY8851" i="3" l="1"/>
  <c r="BX8850" i="3"/>
  <c r="BX8851" i="3" l="1"/>
  <c r="BY8852" i="3"/>
  <c r="BX8852" i="3" l="1"/>
  <c r="BY8853" i="3"/>
  <c r="BY8854" i="3" l="1"/>
  <c r="BX8853" i="3"/>
  <c r="BX8854" i="3" l="1"/>
  <c r="BY8855" i="3"/>
  <c r="BY8856" i="3" l="1"/>
  <c r="BX8855" i="3"/>
  <c r="BY8857" i="3" l="1"/>
  <c r="BX8856" i="3"/>
  <c r="BX8857" i="3" l="1"/>
  <c r="BY8858" i="3"/>
  <c r="BY8859" i="3" l="1"/>
  <c r="BX8858" i="3"/>
  <c r="BY8860" i="3" l="1"/>
  <c r="BX8859" i="3"/>
  <c r="BY8861" i="3" l="1"/>
  <c r="BX8860" i="3"/>
  <c r="BY8862" i="3" l="1"/>
  <c r="BX8861" i="3"/>
  <c r="BY8863" i="3" l="1"/>
  <c r="BX8862" i="3"/>
  <c r="BX8863" i="3" l="1"/>
  <c r="BY8864" i="3"/>
  <c r="BX8864" i="3" l="1"/>
  <c r="BY8865" i="3"/>
  <c r="BX8865" i="3" l="1"/>
  <c r="BY8866" i="3"/>
  <c r="BY8867" i="3" l="1"/>
  <c r="BX8866" i="3"/>
  <c r="BY8868" i="3" l="1"/>
  <c r="BX8867" i="3"/>
  <c r="BY8869" i="3" l="1"/>
  <c r="BX8868" i="3"/>
  <c r="BX8869" i="3" l="1"/>
  <c r="BY8870" i="3"/>
  <c r="BY8871" i="3" l="1"/>
  <c r="BX8870" i="3"/>
  <c r="BY8872" i="3" l="1"/>
  <c r="BX8871" i="3"/>
  <c r="BY8873" i="3" l="1"/>
  <c r="BX8872" i="3"/>
  <c r="BY8874" i="3" l="1"/>
  <c r="BX8873" i="3"/>
  <c r="BY8875" i="3" l="1"/>
  <c r="BX8874" i="3"/>
  <c r="BX8875" i="3" l="1"/>
  <c r="BY8876" i="3"/>
  <c r="BX8876" i="3" l="1"/>
  <c r="BY8877" i="3"/>
  <c r="BY8878" i="3" l="1"/>
  <c r="BX8877" i="3"/>
  <c r="BY8879" i="3" l="1"/>
  <c r="BX8878" i="3"/>
  <c r="BY8880" i="3" l="1"/>
  <c r="BX8879" i="3"/>
  <c r="BY8881" i="3" l="1"/>
  <c r="BX8880" i="3"/>
  <c r="BX8881" i="3" l="1"/>
  <c r="BY8882" i="3"/>
  <c r="BY8883" i="3" l="1"/>
  <c r="BX8882" i="3"/>
  <c r="BX8883" i="3" l="1"/>
  <c r="BY8884" i="3"/>
  <c r="BY8885" i="3" l="1"/>
  <c r="BX8884" i="3"/>
  <c r="BY8886" i="3" l="1"/>
  <c r="BX8885" i="3"/>
  <c r="BY8887" i="3" l="1"/>
  <c r="BX8886" i="3"/>
  <c r="BX8887" i="3" l="1"/>
  <c r="BY8888" i="3"/>
  <c r="BY8889" i="3" l="1"/>
  <c r="BX8888" i="3"/>
  <c r="BY8890" i="3" l="1"/>
  <c r="BX8889" i="3"/>
  <c r="BX8890" i="3" l="1"/>
  <c r="BY8891" i="3"/>
  <c r="BY8892" i="3" l="1"/>
  <c r="BX8891" i="3"/>
  <c r="BY8893" i="3" l="1"/>
  <c r="BX8892" i="3"/>
  <c r="BX8893" i="3" l="1"/>
  <c r="BY8894" i="3"/>
  <c r="BX8894" i="3" l="1"/>
  <c r="BY8895" i="3"/>
  <c r="BY8896" i="3" l="1"/>
  <c r="BX8895" i="3"/>
  <c r="BY8897" i="3" l="1"/>
  <c r="BX8896" i="3"/>
  <c r="BY8898" i="3" l="1"/>
  <c r="BX8897" i="3"/>
  <c r="BY8899" i="3" l="1"/>
  <c r="BX8898" i="3"/>
  <c r="BX8899" i="3" l="1"/>
  <c r="BY8900" i="3"/>
  <c r="BX8900" i="3" l="1"/>
  <c r="BY8901" i="3"/>
  <c r="BY8902" i="3" l="1"/>
  <c r="BX8901" i="3"/>
  <c r="BY8903" i="3" l="1"/>
  <c r="BX8902" i="3"/>
  <c r="BY8904" i="3" l="1"/>
  <c r="BX8903" i="3"/>
  <c r="BY8905" i="3" l="1"/>
  <c r="BX8904" i="3"/>
  <c r="BX8905" i="3" l="1"/>
  <c r="BY8906" i="3"/>
  <c r="BY8907" i="3" l="1"/>
  <c r="BX8906" i="3"/>
  <c r="BY8908" i="3" l="1"/>
  <c r="BX8907" i="3"/>
  <c r="BY8909" i="3" l="1"/>
  <c r="BX8908" i="3"/>
  <c r="BY8910" i="3" l="1"/>
  <c r="BX8909" i="3"/>
  <c r="BY8911" i="3" l="1"/>
  <c r="BX8910" i="3"/>
  <c r="BX8911" i="3" l="1"/>
  <c r="BY8912" i="3"/>
  <c r="BX8912" i="3" l="1"/>
  <c r="BY8913" i="3"/>
  <c r="BY8914" i="3" l="1"/>
  <c r="BX8913" i="3"/>
  <c r="BY8915" i="3" l="1"/>
  <c r="BX8914" i="3"/>
  <c r="BY8916" i="3" l="1"/>
  <c r="BX8915" i="3"/>
  <c r="BY8917" i="3" l="1"/>
  <c r="BX8916" i="3"/>
  <c r="BX8917" i="3" l="1"/>
  <c r="BY8918" i="3"/>
  <c r="BY8919" i="3" l="1"/>
  <c r="BX8918" i="3"/>
  <c r="BX8919" i="3" l="1"/>
  <c r="BY8920" i="3"/>
  <c r="BX8920" i="3" l="1"/>
  <c r="BY8921" i="3"/>
  <c r="BY8922" i="3" l="1"/>
  <c r="BX8921" i="3"/>
  <c r="BY8923" i="3" l="1"/>
  <c r="BX8922" i="3"/>
  <c r="BX8923" i="3" l="1"/>
  <c r="BY8924" i="3"/>
  <c r="BY8925" i="3" l="1"/>
  <c r="BX8924" i="3"/>
  <c r="BY8926" i="3" l="1"/>
  <c r="BX8925" i="3"/>
  <c r="BX8926" i="3" l="1"/>
  <c r="BY8927" i="3"/>
  <c r="BY8928" i="3" l="1"/>
  <c r="BX8927" i="3"/>
  <c r="BY8929" i="3" l="1"/>
  <c r="BX8928" i="3"/>
  <c r="BX8929" i="3" l="1"/>
  <c r="BY8930" i="3"/>
  <c r="BY8931" i="3" l="1"/>
  <c r="BX8930" i="3"/>
  <c r="BY8932" i="3" l="1"/>
  <c r="BX8931" i="3"/>
  <c r="BY8933" i="3" l="1"/>
  <c r="BX8932" i="3"/>
  <c r="BY8934" i="3" l="1"/>
  <c r="BX8933" i="3"/>
  <c r="BY8935" i="3" l="1"/>
  <c r="BX8934" i="3"/>
  <c r="BX8935" i="3" l="1"/>
  <c r="BY8936" i="3"/>
  <c r="BY8937" i="3" l="1"/>
  <c r="BX8936" i="3"/>
  <c r="BY8938" i="3" l="1"/>
  <c r="BX8937" i="3"/>
  <c r="BY8939" i="3" l="1"/>
  <c r="BX8938" i="3"/>
  <c r="BY8940" i="3" l="1"/>
  <c r="BX8939" i="3"/>
  <c r="BY8941" i="3" l="1"/>
  <c r="BX8940" i="3"/>
  <c r="BX8941" i="3" l="1"/>
  <c r="BY8942" i="3"/>
  <c r="BY8943" i="3" l="1"/>
  <c r="BX8942" i="3"/>
  <c r="BY8944" i="3" l="1"/>
  <c r="BX8943" i="3"/>
  <c r="BY8945" i="3" l="1"/>
  <c r="BX8944" i="3"/>
  <c r="BY8946" i="3" l="1"/>
  <c r="BX8945" i="3"/>
  <c r="BY8947" i="3" l="1"/>
  <c r="BX8946" i="3"/>
  <c r="BX8947" i="3" l="1"/>
  <c r="BY8948" i="3"/>
  <c r="BX8948" i="3" l="1"/>
  <c r="BY8949" i="3"/>
  <c r="BY8950" i="3" l="1"/>
  <c r="BX8949" i="3"/>
  <c r="BY8951" i="3" l="1"/>
  <c r="BX8950" i="3"/>
  <c r="BY8952" i="3" l="1"/>
  <c r="BX8951" i="3"/>
  <c r="BY8953" i="3" l="1"/>
  <c r="BX8952" i="3"/>
  <c r="BX8953" i="3" l="1"/>
  <c r="BY8954" i="3"/>
  <c r="BY8955" i="3" l="1"/>
  <c r="BX8954" i="3"/>
  <c r="BX8955" i="3" l="1"/>
  <c r="BY8956" i="3"/>
  <c r="BY8957" i="3" l="1"/>
  <c r="BX8956" i="3"/>
  <c r="BY8958" i="3" l="1"/>
  <c r="BX8957" i="3"/>
  <c r="BY8959" i="3" l="1"/>
  <c r="BX8958" i="3"/>
  <c r="BX8959" i="3" l="1"/>
  <c r="BY8960" i="3"/>
  <c r="BY8961" i="3" l="1"/>
  <c r="BX8960" i="3"/>
  <c r="BY8962" i="3" l="1"/>
  <c r="BX8961" i="3"/>
  <c r="BX8962" i="3" l="1"/>
  <c r="BY8963" i="3"/>
  <c r="BY8964" i="3" l="1"/>
  <c r="BX8963" i="3"/>
  <c r="BX8964" i="3" l="1"/>
  <c r="BY8965" i="3"/>
  <c r="BX8965" i="3" l="1"/>
  <c r="BY8966" i="3"/>
  <c r="BY8967" i="3" l="1"/>
  <c r="BX8966" i="3"/>
  <c r="BY8968" i="3" l="1"/>
  <c r="BX8967" i="3"/>
  <c r="BY8969" i="3" l="1"/>
  <c r="BX8968" i="3"/>
  <c r="BY8970" i="3" l="1"/>
  <c r="BX8969" i="3"/>
  <c r="BY8971" i="3" l="1"/>
  <c r="BX8970" i="3"/>
  <c r="BX8971" i="3" l="1"/>
  <c r="BY8972" i="3"/>
  <c r="BX8972" i="3" l="1"/>
  <c r="BY8973" i="3"/>
  <c r="BY8974" i="3" l="1"/>
  <c r="BX8973" i="3"/>
  <c r="BY8975" i="3" l="1"/>
  <c r="BX8974" i="3"/>
  <c r="BY8976" i="3" l="1"/>
  <c r="BX8975" i="3"/>
  <c r="BY8977" i="3" l="1"/>
  <c r="BX8976" i="3"/>
  <c r="BX8977" i="3" l="1"/>
  <c r="BY8978" i="3"/>
  <c r="BX8978" i="3" l="1"/>
  <c r="BY8979" i="3"/>
  <c r="BY8980" i="3" l="1"/>
  <c r="BX8979" i="3"/>
  <c r="BY8981" i="3" l="1"/>
  <c r="BX8980" i="3"/>
  <c r="BY8982" i="3" l="1"/>
  <c r="BX8981" i="3"/>
  <c r="BY8983" i="3" l="1"/>
  <c r="BX8982" i="3"/>
  <c r="BX8983" i="3" l="1"/>
  <c r="BY8984" i="3"/>
  <c r="BX8984" i="3" l="1"/>
  <c r="BY8985" i="3"/>
  <c r="BY8986" i="3" l="1"/>
  <c r="BX8985" i="3"/>
  <c r="BY8987" i="3" l="1"/>
  <c r="BX8986" i="3"/>
  <c r="BY8988" i="3" l="1"/>
  <c r="BX8987" i="3"/>
  <c r="BY8989" i="3" l="1"/>
  <c r="BX8988" i="3"/>
  <c r="BX8989" i="3" l="1"/>
  <c r="BY8990" i="3"/>
  <c r="BY8991" i="3" l="1"/>
  <c r="BX8990" i="3"/>
  <c r="BX8991" i="3" l="1"/>
  <c r="BY8992" i="3"/>
  <c r="BY8993" i="3" l="1"/>
  <c r="BX8992" i="3"/>
  <c r="BY8994" i="3" l="1"/>
  <c r="BX8993" i="3"/>
  <c r="BY8995" i="3" l="1"/>
  <c r="BX8994" i="3"/>
  <c r="BX8995" i="3" l="1"/>
  <c r="BY8996" i="3"/>
  <c r="BY8997" i="3" l="1"/>
  <c r="BX8996" i="3"/>
  <c r="BY8998" i="3" l="1"/>
  <c r="BX8997" i="3"/>
  <c r="BX8998" i="3" l="1"/>
  <c r="BY8999" i="3"/>
  <c r="BY9000" i="3" l="1"/>
  <c r="BX8999" i="3"/>
  <c r="BY9001" i="3" l="1"/>
  <c r="BX9000" i="3"/>
  <c r="BX9001" i="3" l="1"/>
  <c r="BY9002" i="3"/>
  <c r="BY9003" i="3" l="1"/>
  <c r="BX9002" i="3"/>
  <c r="BX9003" i="3" l="1"/>
  <c r="BY9004" i="3"/>
  <c r="BY9005" i="3" l="1"/>
  <c r="BX9004" i="3"/>
  <c r="BY9006" i="3" l="1"/>
  <c r="BX9005" i="3"/>
  <c r="BY9007" i="3" l="1"/>
  <c r="BX9006" i="3"/>
  <c r="BX9007" i="3" l="1"/>
  <c r="BY9008" i="3"/>
  <c r="BY9009" i="3" l="1"/>
  <c r="BX9008" i="3"/>
  <c r="BY9010" i="3" l="1"/>
  <c r="BX9009" i="3"/>
  <c r="BY9011" i="3" l="1"/>
  <c r="BX9010" i="3"/>
  <c r="BY9012" i="3" l="1"/>
  <c r="BX9011" i="3"/>
  <c r="BY9013" i="3" l="1"/>
  <c r="BX9012" i="3"/>
  <c r="BX9013" i="3" l="1"/>
  <c r="BY9014" i="3"/>
  <c r="BY9015" i="3" l="1"/>
  <c r="BX9014" i="3"/>
  <c r="BY9016" i="3" l="1"/>
  <c r="BX9015" i="3"/>
  <c r="BX9016" i="3" l="1"/>
  <c r="BY9017" i="3"/>
  <c r="BY9018" i="3" l="1"/>
  <c r="BX9017" i="3"/>
  <c r="BY9019" i="3" l="1"/>
  <c r="BX9018" i="3"/>
  <c r="BX9019" i="3" l="1"/>
  <c r="BY9020" i="3"/>
  <c r="BX9020" i="3" l="1"/>
  <c r="BY9021" i="3"/>
  <c r="BY9022" i="3" l="1"/>
  <c r="BX9021" i="3"/>
  <c r="BY9023" i="3" l="1"/>
  <c r="BX9022" i="3"/>
  <c r="BY9024" i="3" l="1"/>
  <c r="BX9023" i="3"/>
  <c r="BY9025" i="3" l="1"/>
  <c r="BX9024" i="3"/>
  <c r="BX9025" i="3" l="1"/>
  <c r="BY9026" i="3"/>
  <c r="BY9027" i="3" l="1"/>
  <c r="BX9026" i="3"/>
  <c r="BX9027" i="3" l="1"/>
  <c r="BY9028" i="3"/>
  <c r="BY9029" i="3" l="1"/>
  <c r="BX9028" i="3"/>
  <c r="BY9030" i="3" l="1"/>
  <c r="BX9029" i="3"/>
  <c r="BY9031" i="3" l="1"/>
  <c r="BX9030" i="3"/>
  <c r="BX9031" i="3" l="1"/>
  <c r="BY9032" i="3"/>
  <c r="BY9033" i="3" l="1"/>
  <c r="BX9032" i="3"/>
  <c r="BY9034" i="3" l="1"/>
  <c r="BX9033" i="3"/>
  <c r="BX9034" i="3" l="1"/>
  <c r="BY9035" i="3"/>
  <c r="BY9036" i="3" l="1"/>
  <c r="BX9035" i="3"/>
  <c r="BY9037" i="3" l="1"/>
  <c r="BX9036" i="3"/>
  <c r="BX9037" i="3" l="1"/>
  <c r="BY9038" i="3"/>
  <c r="BX9038" i="3" l="1"/>
  <c r="BY9039" i="3"/>
  <c r="BY9040" i="3" l="1"/>
  <c r="BX9039" i="3"/>
  <c r="BY9041" i="3" l="1"/>
  <c r="BX9040" i="3"/>
  <c r="BY9042" i="3" l="1"/>
  <c r="BX9041" i="3"/>
  <c r="BY9043" i="3" l="1"/>
  <c r="BX9042" i="3"/>
  <c r="BX9043" i="3" l="1"/>
  <c r="BY9044" i="3"/>
  <c r="BY9045" i="3" l="1"/>
  <c r="BX9044" i="3"/>
  <c r="BX9045" i="3" l="1"/>
  <c r="BY9046" i="3"/>
  <c r="BY9047" i="3" l="1"/>
  <c r="BX9046" i="3"/>
  <c r="BY9048" i="3" l="1"/>
  <c r="BX9047" i="3"/>
  <c r="BY9049" i="3" l="1"/>
  <c r="BX9048" i="3"/>
  <c r="BX9049" i="3" l="1"/>
  <c r="BY9050" i="3"/>
  <c r="BY9051" i="3" l="1"/>
  <c r="BX9050" i="3"/>
  <c r="BY9052" i="3" l="1"/>
  <c r="BX9051" i="3"/>
  <c r="BX9052" i="3" l="1"/>
  <c r="BY9053" i="3"/>
  <c r="BY9054" i="3" l="1"/>
  <c r="BX9053" i="3"/>
  <c r="BY9055" i="3" l="1"/>
  <c r="BX9054" i="3"/>
  <c r="BX9055" i="3" l="1"/>
  <c r="BY9056" i="3"/>
  <c r="BX9056" i="3" l="1"/>
  <c r="BY9057" i="3"/>
  <c r="BY9058" i="3" l="1"/>
  <c r="BX9057" i="3"/>
  <c r="BX9058" i="3" l="1"/>
  <c r="BY9059" i="3"/>
  <c r="BY9060" i="3" l="1"/>
  <c r="BX9059" i="3"/>
  <c r="BX9060" i="3" l="1"/>
  <c r="BY9061" i="3"/>
  <c r="BX9061" i="3" l="1"/>
  <c r="BY9062" i="3"/>
  <c r="BY9063" i="3" l="1"/>
  <c r="BX9062" i="3"/>
  <c r="BX9063" i="3" l="1"/>
  <c r="BY9064" i="3"/>
  <c r="BY9065" i="3" l="1"/>
  <c r="BX9064" i="3"/>
  <c r="BY9066" i="3" l="1"/>
  <c r="BX9065" i="3"/>
  <c r="BY9067" i="3" l="1"/>
  <c r="BX9066" i="3"/>
  <c r="BX9067" i="3" l="1"/>
  <c r="BY9068" i="3"/>
  <c r="BY9069" i="3" l="1"/>
  <c r="BX9068" i="3"/>
  <c r="BY9070" i="3" l="1"/>
  <c r="BX9069" i="3"/>
  <c r="BX9070" i="3" l="1"/>
  <c r="BY9071" i="3"/>
  <c r="BY9072" i="3" l="1"/>
  <c r="BX9071" i="3"/>
  <c r="BY9073" i="3" l="1"/>
  <c r="BX9072" i="3"/>
  <c r="BX9073" i="3" l="1"/>
  <c r="BY9074" i="3"/>
  <c r="BY9075" i="3" l="1"/>
  <c r="BX9074" i="3"/>
  <c r="BY9076" i="3" l="1"/>
  <c r="BX9075" i="3"/>
  <c r="BY9077" i="3" l="1"/>
  <c r="BX9076" i="3"/>
  <c r="BY9078" i="3" l="1"/>
  <c r="BX9077" i="3"/>
  <c r="BX9078" i="3" l="1"/>
  <c r="BY9079" i="3"/>
  <c r="BX9079" i="3" l="1"/>
  <c r="BY9080" i="3"/>
  <c r="BY9081" i="3" l="1"/>
  <c r="BX9080" i="3"/>
  <c r="BX9081" i="3" l="1"/>
  <c r="BY9082" i="3"/>
  <c r="BY9083" i="3" l="1"/>
  <c r="BX9082" i="3"/>
  <c r="BY9084" i="3" l="1"/>
  <c r="BX9083" i="3"/>
  <c r="BY9085" i="3" l="1"/>
  <c r="BX9084" i="3"/>
  <c r="BX9085" i="3" l="1"/>
  <c r="BY9086" i="3"/>
  <c r="BY9087" i="3" l="1"/>
  <c r="BX9086" i="3"/>
  <c r="BY9088" i="3" l="1"/>
  <c r="BX9087" i="3"/>
  <c r="BY9089" i="3" l="1"/>
  <c r="BX9088" i="3"/>
  <c r="BY9090" i="3" l="1"/>
  <c r="BX9089" i="3"/>
  <c r="BY9091" i="3" l="1"/>
  <c r="BX9090" i="3"/>
  <c r="BX9091" i="3" l="1"/>
  <c r="BY9092" i="3"/>
  <c r="BX9092" i="3" l="1"/>
  <c r="BY9093" i="3"/>
  <c r="BY9094" i="3" l="1"/>
  <c r="BX9093" i="3"/>
  <c r="BY9095" i="3" l="1"/>
  <c r="BX9094" i="3"/>
  <c r="BY9096" i="3" l="1"/>
  <c r="BX9095" i="3"/>
  <c r="BX9096" i="3" l="1"/>
  <c r="BY9097" i="3"/>
  <c r="BX9097" i="3" l="1"/>
  <c r="BY9098" i="3"/>
  <c r="BY9099" i="3" l="1"/>
  <c r="BX9098" i="3"/>
  <c r="BX9099" i="3" l="1"/>
  <c r="BY9100" i="3"/>
  <c r="BY9101" i="3" l="1"/>
  <c r="BX9100" i="3"/>
  <c r="BY9102" i="3" l="1"/>
  <c r="BX9101" i="3"/>
  <c r="BX9102" i="3" l="1"/>
  <c r="BY9103" i="3"/>
  <c r="BX9103" i="3" l="1"/>
  <c r="BY9104" i="3"/>
  <c r="BY9105" i="3" l="1"/>
  <c r="BX9104" i="3"/>
  <c r="BY9106" i="3" l="1"/>
  <c r="BX9105" i="3"/>
  <c r="BX9106" i="3" l="1"/>
  <c r="BY9107" i="3"/>
  <c r="BY9108" i="3" l="1"/>
  <c r="BX9107" i="3"/>
  <c r="BY9109" i="3" l="1"/>
  <c r="BX9108" i="3"/>
  <c r="BX9109" i="3" l="1"/>
  <c r="BY9110" i="3"/>
  <c r="BY9111" i="3" l="1"/>
  <c r="BX9110" i="3"/>
  <c r="BY9112" i="3" l="1"/>
  <c r="BX9111" i="3"/>
  <c r="BY9113" i="3" l="1"/>
  <c r="BX9112" i="3"/>
  <c r="BY9114" i="3" l="1"/>
  <c r="BX9113" i="3"/>
  <c r="BY9115" i="3" l="1"/>
  <c r="BX9114" i="3"/>
  <c r="BX9115" i="3" l="1"/>
  <c r="BY9116" i="3"/>
  <c r="BY9117" i="3" l="1"/>
  <c r="BX9116" i="3"/>
  <c r="BX9117" i="3" l="1"/>
  <c r="BY9118" i="3"/>
  <c r="BY9119" i="3" l="1"/>
  <c r="BX9118" i="3"/>
  <c r="BY9120" i="3" l="1"/>
  <c r="BX9119" i="3"/>
  <c r="BY9121" i="3" l="1"/>
  <c r="BX9120" i="3"/>
  <c r="BX9121" i="3" l="1"/>
  <c r="BY9122" i="3"/>
  <c r="BY9123" i="3" l="1"/>
  <c r="BX9122" i="3"/>
  <c r="BX9123" i="3" l="1"/>
  <c r="BY9124" i="3"/>
  <c r="BX9124" i="3" l="1"/>
  <c r="BY9125" i="3"/>
  <c r="BY9126" i="3" l="1"/>
  <c r="BX9125" i="3"/>
  <c r="BY9127" i="3" l="1"/>
  <c r="BX9126" i="3"/>
  <c r="BX9127" i="3" l="1"/>
  <c r="BY9128" i="3"/>
  <c r="BX9128" i="3" l="1"/>
  <c r="BY9129" i="3"/>
  <c r="BY9130" i="3" l="1"/>
  <c r="BX9129" i="3"/>
  <c r="BX9130" i="3" l="1"/>
  <c r="BY9131" i="3"/>
  <c r="BY9132" i="3" l="1"/>
  <c r="BX9131" i="3"/>
  <c r="BY9133" i="3" l="1"/>
  <c r="BX9132" i="3"/>
  <c r="BX9133" i="3" l="1"/>
  <c r="BY9134" i="3"/>
  <c r="BY9135" i="3" l="1"/>
  <c r="BX9134" i="3"/>
  <c r="BX9135" i="3" l="1"/>
  <c r="BY9136" i="3"/>
  <c r="BY9137" i="3" l="1"/>
  <c r="BX9136" i="3"/>
  <c r="BY9138" i="3" l="1"/>
  <c r="BX9137" i="3"/>
  <c r="BY9139" i="3" l="1"/>
  <c r="BX9138" i="3"/>
  <c r="BX9139" i="3" l="1"/>
  <c r="BY9140" i="3"/>
  <c r="BY9141" i="3" l="1"/>
  <c r="BX9140" i="3"/>
  <c r="BY9142" i="3" l="1"/>
  <c r="BX9141" i="3"/>
  <c r="BX9142" i="3" l="1"/>
  <c r="BY9143" i="3"/>
  <c r="BY9144" i="3" l="1"/>
  <c r="BX9143" i="3"/>
  <c r="BY9145" i="3" l="1"/>
  <c r="BX9144" i="3"/>
  <c r="BX9145" i="3" l="1"/>
  <c r="BY9146" i="3"/>
  <c r="BX9146" i="3" l="1"/>
  <c r="BY9147" i="3"/>
  <c r="BY9148" i="3" l="1"/>
  <c r="BX9147" i="3"/>
  <c r="BY9149" i="3" l="1"/>
  <c r="BX9148" i="3"/>
  <c r="BY9150" i="3" l="1"/>
  <c r="BX9149" i="3"/>
  <c r="BY9151" i="3" l="1"/>
  <c r="BX9150" i="3"/>
  <c r="BX9151" i="3" l="1"/>
  <c r="BY9152" i="3"/>
  <c r="BY9153" i="3" l="1"/>
  <c r="BX9152" i="3"/>
  <c r="BY9154" i="3" l="1"/>
  <c r="BX9153" i="3"/>
  <c r="BY9155" i="3" l="1"/>
  <c r="BX9154" i="3"/>
  <c r="BY9156" i="3" l="1"/>
  <c r="BX9155" i="3"/>
  <c r="BY9157" i="3" l="1"/>
  <c r="BX9156" i="3"/>
  <c r="BX9157" i="3" l="1"/>
  <c r="BY9158" i="3"/>
  <c r="BY9159" i="3" l="1"/>
  <c r="BX9158" i="3"/>
  <c r="BY9160" i="3" l="1"/>
  <c r="BX9159" i="3"/>
  <c r="BY9161" i="3" l="1"/>
  <c r="BX9160" i="3"/>
  <c r="BY9162" i="3" l="1"/>
  <c r="BX9161" i="3"/>
  <c r="BY9163" i="3" l="1"/>
  <c r="BX9162" i="3"/>
  <c r="BX9163" i="3" l="1"/>
  <c r="BY9164" i="3"/>
  <c r="BX9164" i="3" l="1"/>
  <c r="BY9165" i="3"/>
  <c r="BY9166" i="3" l="1"/>
  <c r="BX9165" i="3"/>
  <c r="BY9167" i="3" l="1"/>
  <c r="BX9166" i="3"/>
  <c r="BY9168" i="3" l="1"/>
  <c r="BX9167" i="3"/>
  <c r="BX9168" i="3" l="1"/>
  <c r="BY9169" i="3"/>
  <c r="BX9169" i="3" l="1"/>
  <c r="BY9170" i="3"/>
  <c r="BY9171" i="3" l="1"/>
  <c r="BX9170" i="3"/>
  <c r="BX9171" i="3" l="1"/>
  <c r="BY9172" i="3"/>
  <c r="BY9173" i="3" l="1"/>
  <c r="BX9172" i="3"/>
  <c r="BY9174" i="3" l="1"/>
  <c r="BX9173" i="3"/>
  <c r="BY9175" i="3" l="1"/>
  <c r="BX9174" i="3"/>
  <c r="BX9175" i="3" l="1"/>
  <c r="BY9176" i="3"/>
  <c r="BY9177" i="3" l="1"/>
  <c r="BX9176" i="3"/>
  <c r="BY9178" i="3" l="1"/>
  <c r="BX9177" i="3"/>
  <c r="BX9178" i="3" l="1"/>
  <c r="BY9179" i="3"/>
  <c r="BY9180" i="3" l="1"/>
  <c r="BX9179" i="3"/>
  <c r="BY9181" i="3" l="1"/>
  <c r="BX9180" i="3"/>
  <c r="BX9181" i="3" l="1"/>
  <c r="BY9182" i="3"/>
  <c r="BX9182" i="3" l="1"/>
  <c r="BY9183" i="3"/>
  <c r="BY9184" i="3" l="1"/>
  <c r="BX9183" i="3"/>
  <c r="BY9185" i="3" l="1"/>
  <c r="BX9184" i="3"/>
  <c r="BY9186" i="3" l="1"/>
  <c r="BX9185" i="3"/>
  <c r="BY9187" i="3" l="1"/>
  <c r="BX9186" i="3"/>
  <c r="BX9187" i="3" l="1"/>
  <c r="BY9188" i="3"/>
  <c r="BX9188" i="3" l="1"/>
  <c r="BY9189" i="3"/>
  <c r="BX9189" i="3" l="1"/>
  <c r="BY9190" i="3"/>
  <c r="BY9191" i="3" l="1"/>
  <c r="BX9190" i="3"/>
  <c r="BY9192" i="3" l="1"/>
  <c r="BX9191" i="3"/>
  <c r="BY9193" i="3" l="1"/>
  <c r="BX9192" i="3"/>
  <c r="BX9193" i="3" l="1"/>
  <c r="BY9194" i="3"/>
  <c r="BY9195" i="3" l="1"/>
  <c r="BX9194" i="3"/>
  <c r="BX9195" i="3" l="1"/>
  <c r="BY9196" i="3"/>
  <c r="BY9197" i="3" l="1"/>
  <c r="BX9196" i="3"/>
  <c r="BY9198" i="3" l="1"/>
  <c r="BX9197" i="3"/>
  <c r="BY9199" i="3" l="1"/>
  <c r="BX9198" i="3"/>
  <c r="BX9199" i="3" l="1"/>
  <c r="BY9200" i="3"/>
  <c r="BX9200" i="3" l="1"/>
  <c r="BY9201" i="3"/>
  <c r="BY9202" i="3" l="1"/>
  <c r="BX9201" i="3"/>
  <c r="BY9203" i="3" l="1"/>
  <c r="BX9202" i="3"/>
  <c r="BY9204" i="3" l="1"/>
  <c r="BX9203" i="3"/>
  <c r="BX9204" i="3" l="1"/>
  <c r="BY9205" i="3"/>
  <c r="BX9205" i="3" l="1"/>
  <c r="BY9206" i="3"/>
  <c r="BY9207" i="3" l="1"/>
  <c r="BX9206" i="3"/>
  <c r="BX9207" i="3" l="1"/>
  <c r="BY9208" i="3"/>
  <c r="BY9209" i="3" l="1"/>
  <c r="BX9208" i="3"/>
  <c r="BY9210" i="3" l="1"/>
  <c r="BX9209" i="3"/>
  <c r="BX9210" i="3" l="1"/>
  <c r="BY9211" i="3"/>
  <c r="BX9211" i="3" l="1"/>
  <c r="BY9212" i="3"/>
  <c r="BY9213" i="3" l="1"/>
  <c r="BX9212" i="3"/>
  <c r="BY9214" i="3" l="1"/>
  <c r="BX9213" i="3"/>
  <c r="BX9214" i="3" l="1"/>
  <c r="BY9215" i="3"/>
  <c r="BY9216" i="3" l="1"/>
  <c r="BX9215" i="3"/>
  <c r="BY9217" i="3" l="1"/>
  <c r="BX9216" i="3"/>
  <c r="BX9217" i="3" l="1"/>
  <c r="BY9218" i="3"/>
  <c r="BY9219" i="3" l="1"/>
  <c r="BX9218" i="3"/>
  <c r="BY9220" i="3" l="1"/>
  <c r="BX9219" i="3"/>
  <c r="BY9221" i="3" l="1"/>
  <c r="BX9220" i="3"/>
  <c r="BY9222" i="3" l="1"/>
  <c r="BX9221" i="3"/>
  <c r="BY9223" i="3" l="1"/>
  <c r="BX9222" i="3"/>
  <c r="BX9223" i="3" l="1"/>
  <c r="BY9224" i="3"/>
  <c r="BY9225" i="3" l="1"/>
  <c r="BX9224" i="3"/>
  <c r="BY9226" i="3" l="1"/>
  <c r="BX9225" i="3"/>
  <c r="BY9227" i="3" l="1"/>
  <c r="BX9226" i="3"/>
  <c r="BY9228" i="3" l="1"/>
  <c r="BX9227" i="3"/>
  <c r="BY9229" i="3" l="1"/>
  <c r="BX9228" i="3"/>
  <c r="BX9229" i="3" l="1"/>
  <c r="BY9230" i="3"/>
  <c r="BY9231" i="3" l="1"/>
  <c r="BX9230" i="3"/>
  <c r="BY9232" i="3" l="1"/>
  <c r="BX9231" i="3"/>
  <c r="BX9232" i="3" l="1"/>
  <c r="BY9233" i="3"/>
  <c r="BY9234" i="3" l="1"/>
  <c r="BX9233" i="3"/>
  <c r="BY9235" i="3" l="1"/>
  <c r="BX9234" i="3"/>
  <c r="BX9235" i="3" l="1"/>
  <c r="BY9236" i="3"/>
  <c r="BX9236" i="3" l="1"/>
  <c r="BY9237" i="3"/>
  <c r="BY9238" i="3" l="1"/>
  <c r="BX9237" i="3"/>
  <c r="BY9239" i="3" l="1"/>
  <c r="BX9238" i="3"/>
  <c r="BY9240" i="3" l="1"/>
  <c r="BX9239" i="3"/>
  <c r="BY9241" i="3" l="1"/>
  <c r="BX9240" i="3"/>
  <c r="BX9241" i="3" l="1"/>
  <c r="BY9242" i="3"/>
  <c r="BY9243" i="3" l="1"/>
  <c r="BX9242" i="3"/>
  <c r="BX9243" i="3" l="1"/>
  <c r="BY9244" i="3"/>
  <c r="BY9245" i="3" l="1"/>
  <c r="BX9244" i="3"/>
  <c r="BY9246" i="3" l="1"/>
  <c r="BX9245" i="3"/>
  <c r="BX9246" i="3" l="1"/>
  <c r="BY9247" i="3"/>
  <c r="BX9247" i="3" l="1"/>
  <c r="BY9248" i="3"/>
  <c r="BY9249" i="3" l="1"/>
  <c r="BX9248" i="3"/>
  <c r="BY9250" i="3" l="1"/>
  <c r="BX9249" i="3"/>
  <c r="BX9250" i="3" l="1"/>
  <c r="BY9251" i="3"/>
  <c r="BY9252" i="3" l="1"/>
  <c r="BX9251" i="3"/>
  <c r="BY9253" i="3" l="1"/>
  <c r="BX9252" i="3"/>
  <c r="BX9253" i="3" l="1"/>
  <c r="BY9254" i="3"/>
  <c r="BX9254" i="3" l="1"/>
  <c r="BY9255" i="3"/>
  <c r="BY9256" i="3" l="1"/>
  <c r="BX9255" i="3"/>
  <c r="BY9257" i="3" l="1"/>
  <c r="BX9256" i="3"/>
  <c r="BY9258" i="3" l="1"/>
  <c r="BX9257" i="3"/>
  <c r="BY9259" i="3" l="1"/>
  <c r="BX9258" i="3"/>
  <c r="BX9259" i="3" l="1"/>
  <c r="BY9260" i="3"/>
  <c r="BX9260" i="3" l="1"/>
  <c r="BY9261" i="3"/>
  <c r="BY9262" i="3" l="1"/>
  <c r="BX9261" i="3"/>
  <c r="BY9263" i="3" l="1"/>
  <c r="BX9262" i="3"/>
  <c r="BY9264" i="3" l="1"/>
  <c r="BX9263" i="3"/>
  <c r="BY9265" i="3" l="1"/>
  <c r="BX9264" i="3"/>
  <c r="BX9265" i="3" l="1"/>
  <c r="BY9266" i="3"/>
  <c r="BY9267" i="3" l="1"/>
  <c r="BX9266" i="3"/>
  <c r="BX9267" i="3" l="1"/>
  <c r="BY9268" i="3"/>
  <c r="BY9269" i="3" l="1"/>
  <c r="BX9268" i="3"/>
  <c r="BY9270" i="3" l="1"/>
  <c r="BX9269" i="3"/>
  <c r="BY9271" i="3" l="1"/>
  <c r="BX9270" i="3"/>
  <c r="BX9271" i="3" l="1"/>
  <c r="BY9272" i="3"/>
  <c r="BY9273" i="3" l="1"/>
  <c r="BX9272" i="3"/>
  <c r="BY9274" i="3" l="1"/>
  <c r="BX9273" i="3"/>
  <c r="BX9274" i="3" l="1"/>
  <c r="BY9275" i="3"/>
  <c r="BY9276" i="3" l="1"/>
  <c r="BX9275" i="3"/>
  <c r="BY9277" i="3" l="1"/>
  <c r="BX9276" i="3"/>
  <c r="BX9277" i="3" l="1"/>
  <c r="BY9278" i="3"/>
  <c r="BY9279" i="3" l="1"/>
  <c r="BX9278" i="3"/>
  <c r="BY9280" i="3" l="1"/>
  <c r="BX9279" i="3"/>
  <c r="BY9281" i="3" l="1"/>
  <c r="BX9280" i="3"/>
  <c r="BY9282" i="3" l="1"/>
  <c r="BX9281" i="3"/>
  <c r="BX9282" i="3" l="1"/>
  <c r="BY9283" i="3"/>
  <c r="BX9283" i="3" l="1"/>
  <c r="BY9284" i="3"/>
  <c r="BY9285" i="3" l="1"/>
  <c r="BX9284" i="3"/>
  <c r="BX9285" i="3" l="1"/>
  <c r="BY9286" i="3"/>
  <c r="BY9287" i="3" l="1"/>
  <c r="BX9286" i="3"/>
  <c r="BX9287" i="3" l="1"/>
  <c r="BY9288" i="3"/>
  <c r="BX9288" i="3" l="1"/>
  <c r="BY9289" i="3"/>
  <c r="BY9290" i="3" l="1"/>
  <c r="BX9289" i="3"/>
  <c r="BX9290" i="3" l="1"/>
  <c r="BY9291" i="3"/>
  <c r="BY9292" i="3" l="1"/>
  <c r="BX9291" i="3"/>
  <c r="BY9293" i="3" l="1"/>
  <c r="BX9292" i="3"/>
  <c r="BX9293" i="3" l="1"/>
  <c r="BY9294" i="3"/>
  <c r="BX9294" i="3" l="1"/>
  <c r="BY9295" i="3"/>
  <c r="BY9296" i="3" l="1"/>
  <c r="BX9295" i="3"/>
  <c r="BY9297" i="3" l="1"/>
  <c r="BX9296" i="3"/>
  <c r="BX9297" i="3" l="1"/>
  <c r="BY9298" i="3"/>
  <c r="BY9299" i="3" l="1"/>
  <c r="BX9298" i="3"/>
  <c r="BY9300" i="3" l="1"/>
  <c r="BX9299" i="3"/>
  <c r="BX9300" i="3" l="1"/>
  <c r="BY9301" i="3"/>
  <c r="BX9301" i="3" l="1"/>
  <c r="BY9302" i="3"/>
  <c r="BY9303" i="3" l="1"/>
  <c r="BX9302" i="3"/>
  <c r="BY9304" i="3" l="1"/>
  <c r="BX9303" i="3"/>
  <c r="BY9305" i="3" l="1"/>
  <c r="BX9304" i="3"/>
  <c r="BY9306" i="3" l="1"/>
  <c r="BX9305" i="3"/>
  <c r="BX9306" i="3" l="1"/>
  <c r="BY9307" i="3"/>
  <c r="BY9308" i="3" l="1"/>
  <c r="BX9307" i="3"/>
  <c r="BX9308" i="3" l="1"/>
  <c r="BY9309" i="3"/>
  <c r="BY9310" i="3" l="1"/>
  <c r="BX9309" i="3"/>
  <c r="BY9311" i="3" l="1"/>
  <c r="BX9310" i="3"/>
  <c r="BY9312" i="3" l="1"/>
  <c r="BX9311" i="3"/>
  <c r="BX9312" i="3" l="1"/>
  <c r="BY9313" i="3"/>
  <c r="BY9314" i="3" l="1"/>
  <c r="BX9313" i="3"/>
  <c r="BY9315" i="3" l="1"/>
  <c r="BX9314" i="3"/>
  <c r="BY9316" i="3" l="1"/>
  <c r="BX9315" i="3"/>
  <c r="BY9317" i="3" l="1"/>
  <c r="BX9316" i="3"/>
  <c r="BY9318" i="3" l="1"/>
  <c r="BX9317" i="3"/>
  <c r="BX9318" i="3" l="1"/>
  <c r="BY9319" i="3"/>
  <c r="BX9319" i="3" l="1"/>
  <c r="BY9320" i="3"/>
  <c r="BY9321" i="3" l="1"/>
  <c r="BX9320" i="3"/>
  <c r="BX9321" i="3" l="1"/>
  <c r="BY9322" i="3"/>
  <c r="BY9323" i="3" l="1"/>
  <c r="BX9322" i="3"/>
  <c r="BX9323" i="3" l="1"/>
  <c r="BY9324" i="3"/>
  <c r="BX9324" i="3" l="1"/>
  <c r="BY9325" i="3"/>
  <c r="BY9326" i="3" l="1"/>
  <c r="BX9325" i="3"/>
  <c r="BX9326" i="3" l="1"/>
  <c r="BY9327" i="3"/>
  <c r="BY9328" i="3" l="1"/>
  <c r="BX9327" i="3"/>
  <c r="BY9329" i="3" l="1"/>
  <c r="BX9328" i="3"/>
  <c r="BX9329" i="3" l="1"/>
  <c r="BY9330" i="3"/>
  <c r="BX9330" i="3" l="1"/>
  <c r="BY9331" i="3"/>
  <c r="BY9332" i="3" l="1"/>
  <c r="BX9331" i="3"/>
  <c r="BY9333" i="3" l="1"/>
  <c r="BX9332" i="3"/>
  <c r="BX9333" i="3" l="1"/>
  <c r="BY9334" i="3"/>
  <c r="BY9335" i="3" l="1"/>
  <c r="BX9334" i="3"/>
  <c r="BY9336" i="3" l="1"/>
  <c r="BX9335" i="3"/>
  <c r="BX9336" i="3" l="1"/>
  <c r="BY9337" i="3"/>
  <c r="BX9337" i="3" l="1"/>
  <c r="BY9338" i="3"/>
  <c r="BY9339" i="3" l="1"/>
  <c r="BX9338" i="3"/>
  <c r="BY9340" i="3" l="1"/>
  <c r="BX9339" i="3"/>
  <c r="BY9341" i="3" l="1"/>
  <c r="BX9340" i="3"/>
  <c r="BY9342" i="3" l="1"/>
  <c r="BX9341" i="3"/>
  <c r="BX9342" i="3" l="1"/>
  <c r="BY9343" i="3"/>
  <c r="BX9343" i="3" l="1"/>
  <c r="BY9344" i="3"/>
  <c r="BX9344" i="3" l="1"/>
  <c r="BY9345" i="3"/>
  <c r="BY9346" i="3" l="1"/>
  <c r="BX9345" i="3"/>
  <c r="BY9347" i="3" l="1"/>
  <c r="BX9346" i="3"/>
  <c r="BY9348" i="3" l="1"/>
  <c r="BX9347" i="3"/>
  <c r="BX9348" i="3" l="1"/>
  <c r="BY9349" i="3"/>
  <c r="BY9350" i="3" l="1"/>
  <c r="BX9349" i="3"/>
  <c r="BY9351" i="3" l="1"/>
  <c r="BX9350" i="3"/>
  <c r="BX9351" i="3" l="1"/>
  <c r="BY9352" i="3"/>
  <c r="BY9353" i="3" l="1"/>
  <c r="BX9352" i="3"/>
  <c r="BY9354" i="3" l="1"/>
  <c r="BX9353" i="3"/>
  <c r="BX9354" i="3" l="1"/>
  <c r="BY9355" i="3"/>
  <c r="BX9355" i="3" l="1"/>
  <c r="BY9356" i="3"/>
  <c r="BY9357" i="3" l="1"/>
  <c r="BX9356" i="3"/>
  <c r="BX9357" i="3" l="1"/>
  <c r="BY9358" i="3"/>
  <c r="BY9359" i="3" l="1"/>
  <c r="BX9358" i="3"/>
  <c r="BX9359" i="3" l="1"/>
  <c r="BY9360" i="3"/>
  <c r="BX9360" i="3" l="1"/>
  <c r="BY9361" i="3"/>
  <c r="BY9362" i="3" l="1"/>
  <c r="BX9361" i="3"/>
  <c r="BX9362" i="3" l="1"/>
  <c r="BY9363" i="3"/>
  <c r="BY9364" i="3" l="1"/>
  <c r="BX9363" i="3"/>
  <c r="BY9365" i="3" l="1"/>
  <c r="BX9364" i="3"/>
  <c r="BX9365" i="3" l="1"/>
  <c r="BY9366" i="3"/>
  <c r="BX9366" i="3" l="1"/>
  <c r="BY9367" i="3"/>
  <c r="BY9368" i="3" l="1"/>
  <c r="BX9367" i="3"/>
  <c r="BY9369" i="3" l="1"/>
  <c r="BX9368" i="3"/>
  <c r="BX9369" i="3" l="1"/>
  <c r="BY9370" i="3"/>
  <c r="BY9371" i="3" l="1"/>
  <c r="BX9370" i="3"/>
  <c r="BY9372" i="3" l="1"/>
  <c r="BX9371" i="3"/>
  <c r="BX9372" i="3" l="1"/>
  <c r="BY9373" i="3"/>
  <c r="BX9373" i="3" l="1"/>
  <c r="BY9374" i="3"/>
  <c r="BY9375" i="3" l="1"/>
  <c r="BX9374" i="3"/>
  <c r="BY9376" i="3" l="1"/>
  <c r="BX9375" i="3"/>
  <c r="BY9377" i="3" l="1"/>
  <c r="BX9376" i="3"/>
  <c r="BY9378" i="3" l="1"/>
  <c r="BX9377" i="3"/>
  <c r="BX9378" i="3" l="1"/>
  <c r="BY9379" i="3"/>
  <c r="BY9380" i="3" l="1"/>
  <c r="BX9379" i="3"/>
  <c r="BY9381" i="3" l="1"/>
  <c r="BX9380" i="3"/>
  <c r="BY9382" i="3" l="1"/>
  <c r="BX9381" i="3"/>
  <c r="BY9383" i="3" l="1"/>
  <c r="BX9382" i="3"/>
  <c r="BY9384" i="3" l="1"/>
  <c r="BX9383" i="3"/>
  <c r="BX9384" i="3" l="1"/>
  <c r="BY9385" i="3"/>
  <c r="BY9386" i="3" l="1"/>
  <c r="BX9385" i="3"/>
  <c r="BY9387" i="3" l="1"/>
  <c r="BX9386" i="3"/>
  <c r="BX9387" i="3" l="1"/>
  <c r="BY9388" i="3"/>
  <c r="BY9389" i="3" l="1"/>
  <c r="BX9388" i="3"/>
  <c r="BY9390" i="3" l="1"/>
  <c r="BX9389" i="3"/>
  <c r="BX9390" i="3" l="1"/>
  <c r="BY9391" i="3"/>
  <c r="BX9391" i="3" l="1"/>
  <c r="BY9392" i="3"/>
  <c r="BY9393" i="3" l="1"/>
  <c r="BX9392" i="3"/>
  <c r="BX9393" i="3" l="1"/>
  <c r="BY9394" i="3"/>
  <c r="BY9395" i="3" l="1"/>
  <c r="BX9394" i="3"/>
  <c r="BY9396" i="3" l="1"/>
  <c r="BX9395" i="3"/>
  <c r="BX9396" i="3" l="1"/>
  <c r="BY9397" i="3"/>
  <c r="BY9398" i="3" l="1"/>
  <c r="BX9397" i="3"/>
  <c r="BX9398" i="3" l="1"/>
  <c r="BY9399" i="3"/>
  <c r="BY9400" i="3" l="1"/>
  <c r="BX9399" i="3"/>
  <c r="BY9401" i="3" l="1"/>
  <c r="BX9400" i="3"/>
  <c r="BX9401" i="3" l="1"/>
  <c r="BY9402" i="3"/>
  <c r="BX9402" i="3" l="1"/>
  <c r="BY9403" i="3"/>
  <c r="BY9404" i="3" l="1"/>
  <c r="BX9403" i="3"/>
  <c r="BY9405" i="3" l="1"/>
  <c r="BX9404" i="3"/>
  <c r="BX9405" i="3" l="1"/>
  <c r="BY9406" i="3"/>
  <c r="BY9407" i="3" l="1"/>
  <c r="BX9406" i="3"/>
  <c r="BY9408" i="3" l="1"/>
  <c r="BX9407" i="3"/>
  <c r="BX9408" i="3" l="1"/>
  <c r="BY9409" i="3"/>
  <c r="BX9409" i="3" l="1"/>
  <c r="BY9410" i="3"/>
  <c r="BY9411" i="3" l="1"/>
  <c r="BX9410" i="3"/>
  <c r="BY9412" i="3" l="1"/>
  <c r="BX9411" i="3"/>
  <c r="BY9413" i="3" l="1"/>
  <c r="BX9412" i="3"/>
  <c r="BY9414" i="3" l="1"/>
  <c r="BX9413" i="3"/>
  <c r="BX9414" i="3" l="1"/>
  <c r="BY9415" i="3"/>
  <c r="BX9415" i="3" l="1"/>
  <c r="BY9416" i="3"/>
  <c r="BX9416" i="3" l="1"/>
  <c r="BY9417" i="3"/>
  <c r="BY9418" i="3" l="1"/>
  <c r="BX9417" i="3"/>
  <c r="BY9419" i="3" l="1"/>
  <c r="BX9418" i="3"/>
  <c r="BY9420" i="3" l="1"/>
  <c r="BX9419" i="3"/>
  <c r="BX9420" i="3" l="1"/>
  <c r="BY9421" i="3"/>
  <c r="BY9422" i="3" l="1"/>
  <c r="BX9421" i="3"/>
  <c r="BY9423" i="3" l="1"/>
  <c r="BX9422" i="3"/>
  <c r="BY9424" i="3" l="1"/>
  <c r="BX9423" i="3"/>
  <c r="BY9425" i="3" l="1"/>
  <c r="BX9424" i="3"/>
  <c r="BY9426" i="3" l="1"/>
  <c r="BX9425" i="3"/>
  <c r="BX9426" i="3" l="1"/>
  <c r="BY9427" i="3"/>
  <c r="BX9427" i="3" l="1"/>
  <c r="BY9428" i="3"/>
  <c r="BY9429" i="3" l="1"/>
  <c r="BX9428" i="3"/>
  <c r="BY9430" i="3" l="1"/>
  <c r="BX9429" i="3"/>
  <c r="BY9431" i="3" l="1"/>
  <c r="BX9430" i="3"/>
  <c r="BY9432" i="3" l="1"/>
  <c r="BX9431" i="3"/>
  <c r="BX9432" i="3" l="1"/>
  <c r="BY9433" i="3"/>
  <c r="BY9434" i="3" l="1"/>
  <c r="BX9433" i="3"/>
  <c r="BX9434" i="3" l="1"/>
  <c r="BY9435" i="3"/>
  <c r="BY9436" i="3" l="1"/>
  <c r="BX9435" i="3"/>
  <c r="BY9437" i="3" l="1"/>
  <c r="BX9436" i="3"/>
  <c r="BX9437" i="3" l="1"/>
  <c r="BY9438" i="3"/>
  <c r="BX9438" i="3" l="1"/>
  <c r="BY9439" i="3"/>
  <c r="BY9440" i="3" l="1"/>
  <c r="BX9439" i="3"/>
  <c r="BY9441" i="3" l="1"/>
  <c r="BX9440" i="3"/>
  <c r="BX9441" i="3" l="1"/>
  <c r="BY9442" i="3"/>
  <c r="BY9443" i="3" l="1"/>
  <c r="BX9442" i="3"/>
  <c r="BY9444" i="3" l="1"/>
  <c r="BX9443" i="3"/>
  <c r="BX9444" i="3" l="1"/>
  <c r="BY9445" i="3"/>
  <c r="BY9446" i="3" l="1"/>
  <c r="BX9445" i="3"/>
  <c r="BY9447" i="3" l="1"/>
  <c r="BX9446" i="3"/>
  <c r="BY9448" i="3" l="1"/>
  <c r="BX9447" i="3"/>
  <c r="BY9449" i="3" l="1"/>
  <c r="BX9448" i="3"/>
  <c r="BY9450" i="3" l="1"/>
  <c r="BX9449" i="3"/>
  <c r="BX9450" i="3" l="1"/>
  <c r="BY9451" i="3"/>
  <c r="BY9452" i="3" l="1"/>
  <c r="BX9451" i="3"/>
  <c r="BY9453" i="3" l="1"/>
  <c r="BX9452" i="3"/>
  <c r="BY9454" i="3" l="1"/>
  <c r="BX9453" i="3"/>
  <c r="BY9455" i="3" l="1"/>
  <c r="BX9454" i="3"/>
  <c r="BY9456" i="3" l="1"/>
  <c r="BX9455" i="3"/>
  <c r="BX9456" i="3" l="1"/>
  <c r="BY9457" i="3"/>
  <c r="BY9458" i="3" l="1"/>
  <c r="BX9457" i="3"/>
  <c r="BX9458" i="3" l="1"/>
  <c r="BY9459" i="3"/>
  <c r="BX9459" i="3" l="1"/>
  <c r="BY9460" i="3"/>
  <c r="BY9461" i="3" l="1"/>
  <c r="BX9460" i="3"/>
  <c r="BY9462" i="3" l="1"/>
  <c r="BX9461" i="3"/>
  <c r="BX9462" i="3" l="1"/>
  <c r="BY9463" i="3"/>
  <c r="BX9463" i="3" l="1"/>
  <c r="BY9464" i="3"/>
  <c r="BY9465" i="3" l="1"/>
  <c r="BX9464" i="3"/>
  <c r="BY9466" i="3" l="1"/>
  <c r="BX9465" i="3"/>
  <c r="BY9467" i="3" l="1"/>
  <c r="BX9466" i="3"/>
  <c r="BY9468" i="3" l="1"/>
  <c r="BX9467" i="3"/>
  <c r="BX9468" i="3" l="1"/>
  <c r="BY9469" i="3"/>
  <c r="BY9470" i="3" l="1"/>
  <c r="BX9469" i="3"/>
  <c r="BX9470" i="3" l="1"/>
  <c r="BY9471" i="3"/>
  <c r="BY9472" i="3" l="1"/>
  <c r="BX9471" i="3"/>
  <c r="BY9473" i="3" l="1"/>
  <c r="BX9472" i="3"/>
  <c r="BY9474" i="3" l="1"/>
  <c r="BX9473" i="3"/>
  <c r="BX9474" i="3" l="1"/>
  <c r="BY9475" i="3"/>
  <c r="BY9476" i="3" l="1"/>
  <c r="BX9475" i="3"/>
  <c r="BY9477" i="3" l="1"/>
  <c r="BX9476" i="3"/>
  <c r="BX9477" i="3" l="1"/>
  <c r="BY9478" i="3"/>
  <c r="BY9479" i="3" l="1"/>
  <c r="BX9478" i="3"/>
  <c r="BY9480" i="3" l="1"/>
  <c r="BX9479" i="3"/>
  <c r="BX9480" i="3" l="1"/>
  <c r="BY9481" i="3"/>
  <c r="BX9481" i="3" l="1"/>
  <c r="BY9482" i="3"/>
  <c r="BY9483" i="3" l="1"/>
  <c r="BX9482" i="3"/>
  <c r="BY9484" i="3" l="1"/>
  <c r="BX9483" i="3"/>
  <c r="BY9485" i="3" l="1"/>
  <c r="BX9484" i="3"/>
  <c r="BY9486" i="3" l="1"/>
  <c r="BX9485" i="3"/>
  <c r="BX9486" i="3" l="1"/>
  <c r="BY9487" i="3"/>
  <c r="BY9488" i="3" l="1"/>
  <c r="BX9487" i="3"/>
  <c r="BY9489" i="3" l="1"/>
  <c r="BX9488" i="3"/>
  <c r="BY9490" i="3" l="1"/>
  <c r="BX9489" i="3"/>
  <c r="BY9491" i="3" l="1"/>
  <c r="BX9490" i="3"/>
  <c r="BY9492" i="3" l="1"/>
  <c r="BX9491" i="3"/>
  <c r="BX9492" i="3" l="1"/>
  <c r="BY9493" i="3"/>
  <c r="BY9494" i="3" l="1"/>
  <c r="BX9493" i="3"/>
  <c r="BY9495" i="3" l="1"/>
  <c r="BX9494" i="3"/>
  <c r="BY9496" i="3" l="1"/>
  <c r="BX9495" i="3"/>
  <c r="BY9497" i="3" l="1"/>
  <c r="BX9496" i="3"/>
  <c r="BY9498" i="3" l="1"/>
  <c r="BX9497" i="3"/>
  <c r="BY9499" i="3" l="1"/>
  <c r="BX9498" i="3"/>
  <c r="BY9500" i="3" l="1"/>
  <c r="BX9499" i="3"/>
  <c r="BX9500" i="3" l="1"/>
  <c r="BY9501" i="3"/>
  <c r="BX9501" i="3" l="1"/>
  <c r="BY9502" i="3"/>
  <c r="BY9503" i="3" l="1"/>
  <c r="BX9502" i="3"/>
  <c r="BY9504" i="3" l="1"/>
  <c r="BX9503" i="3"/>
  <c r="BX9504" i="3" l="1"/>
  <c r="BY9505" i="3"/>
  <c r="BY9506" i="3" l="1"/>
  <c r="BX9505" i="3"/>
  <c r="BX9506" i="3" l="1"/>
  <c r="BY9507" i="3"/>
  <c r="BX9507" i="3" l="1"/>
  <c r="BY9508" i="3"/>
  <c r="BY9509" i="3" l="1"/>
  <c r="BX9508" i="3"/>
  <c r="BX9509" i="3" l="1"/>
  <c r="BY9510" i="3"/>
  <c r="BX9510" i="3" l="1"/>
  <c r="BY9511" i="3"/>
  <c r="BY9512" i="3" l="1"/>
  <c r="BX9511" i="3"/>
  <c r="BY9513" i="3" l="1"/>
  <c r="BX9512" i="3"/>
  <c r="BY9514" i="3" l="1"/>
  <c r="BX9513" i="3"/>
  <c r="BY9515" i="3" l="1"/>
  <c r="BX9514" i="3"/>
  <c r="BY9516" i="3" l="1"/>
  <c r="BX9515" i="3"/>
  <c r="BY9517" i="3" l="1"/>
  <c r="BX9516" i="3"/>
  <c r="BY9518" i="3" l="1"/>
  <c r="BX9517" i="3"/>
  <c r="BX9518" i="3" l="1"/>
  <c r="BY9519" i="3"/>
  <c r="BY9520" i="3" l="1"/>
  <c r="BX9519" i="3"/>
  <c r="BY9521" i="3" l="1"/>
  <c r="BX9520" i="3"/>
  <c r="BX9521" i="3" l="1"/>
  <c r="BY9522" i="3"/>
  <c r="BX9522" i="3" l="1"/>
  <c r="BY9523" i="3"/>
  <c r="BY9524" i="3" l="1"/>
  <c r="BX9523" i="3"/>
  <c r="BY9525" i="3" l="1"/>
  <c r="BX9524" i="3"/>
  <c r="BY9526" i="3" l="1"/>
  <c r="BX9525" i="3"/>
  <c r="BY9527" i="3" l="1"/>
  <c r="BX9526" i="3"/>
  <c r="BY9528" i="3" l="1"/>
  <c r="BX9527" i="3"/>
  <c r="BX9528" i="3" l="1"/>
  <c r="BY9529" i="3"/>
  <c r="BY9530" i="3" l="1"/>
  <c r="BX9529" i="3"/>
  <c r="BX9530" i="3" l="1"/>
  <c r="BY9531" i="3"/>
  <c r="BX9531" i="3" l="1"/>
  <c r="BY9532" i="3"/>
  <c r="BY9533" i="3" l="1"/>
  <c r="BX9532" i="3"/>
  <c r="BY9534" i="3" l="1"/>
  <c r="BX9533" i="3"/>
  <c r="BY9535" i="3" l="1"/>
  <c r="BX9534" i="3"/>
  <c r="BY9536" i="3" l="1"/>
  <c r="BX9535" i="3"/>
  <c r="BX9536" i="3" l="1"/>
  <c r="BY9537" i="3"/>
  <c r="BY9538" i="3" l="1"/>
  <c r="BX9537" i="3"/>
  <c r="BY9539" i="3" l="1"/>
  <c r="BX9538" i="3"/>
  <c r="BY9540" i="3" l="1"/>
  <c r="BX9539" i="3"/>
  <c r="BY9541" i="3" l="1"/>
  <c r="BX9540" i="3"/>
  <c r="BY9542" i="3" l="1"/>
  <c r="BX9541" i="3"/>
  <c r="BX9542" i="3" l="1"/>
  <c r="BY9543" i="3"/>
  <c r="BX9543" i="3" l="1"/>
  <c r="BY9544" i="3"/>
  <c r="BY9545" i="3" l="1"/>
  <c r="BX9544" i="3"/>
  <c r="BY9546" i="3" l="1"/>
  <c r="BX9545" i="3"/>
  <c r="BY9547" i="3" l="1"/>
  <c r="BX9546" i="3"/>
  <c r="BY9548" i="3" l="1"/>
  <c r="BX9547" i="3"/>
  <c r="BY9549" i="3" l="1"/>
  <c r="BX9548" i="3"/>
  <c r="BY9550" i="3" l="1"/>
  <c r="BX9549" i="3"/>
  <c r="BY9551" i="3" l="1"/>
  <c r="BX9550" i="3"/>
  <c r="BY9552" i="3" l="1"/>
  <c r="BX9551" i="3"/>
  <c r="BX9552" i="3" l="1"/>
  <c r="BY9553" i="3"/>
  <c r="BY9554" i="3" l="1"/>
  <c r="BX9553" i="3"/>
  <c r="BY9555" i="3" l="1"/>
  <c r="BX9554" i="3"/>
  <c r="BY9556" i="3" l="1"/>
  <c r="BX9555" i="3"/>
  <c r="BY9557" i="3" l="1"/>
  <c r="BX9556" i="3"/>
  <c r="BX9557" i="3" l="1"/>
  <c r="BY9558" i="3"/>
  <c r="BY9559" i="3" l="1"/>
  <c r="BX9558" i="3"/>
  <c r="BY9560" i="3" l="1"/>
  <c r="BX9559" i="3"/>
  <c r="BX9560" i="3" l="1"/>
  <c r="BY9561" i="3"/>
  <c r="BX9561" i="3" l="1"/>
  <c r="BY9562" i="3"/>
  <c r="BY9563" i="3" l="1"/>
  <c r="BX9562" i="3"/>
  <c r="BY9564" i="3" l="1"/>
  <c r="BX9563" i="3"/>
  <c r="BX9564" i="3" l="1"/>
  <c r="BY9565" i="3"/>
  <c r="BY9566" i="3" l="1"/>
  <c r="BX9565" i="3"/>
  <c r="BY9567" i="3" l="1"/>
  <c r="BX9566" i="3"/>
  <c r="BY9568" i="3" l="1"/>
  <c r="BX9567" i="3"/>
  <c r="BY9569" i="3" l="1"/>
  <c r="BX9568" i="3"/>
  <c r="BX9569" i="3" l="1"/>
  <c r="BY9570" i="3"/>
  <c r="BY9571" i="3" l="1"/>
  <c r="BX9570" i="3"/>
  <c r="BY9572" i="3" l="1"/>
  <c r="BX9571" i="3"/>
  <c r="BY9573" i="3" l="1"/>
  <c r="BX9572" i="3"/>
  <c r="BY9574" i="3" l="1"/>
  <c r="BX9573" i="3"/>
  <c r="BY9575" i="3" l="1"/>
  <c r="BX9574" i="3"/>
  <c r="BY9576" i="3" l="1"/>
  <c r="BX9575" i="3"/>
  <c r="BY9577" i="3" l="1"/>
  <c r="BX9576" i="3"/>
  <c r="BY9578" i="3" l="1"/>
  <c r="BX9577" i="3"/>
  <c r="BX9578" i="3" l="1"/>
  <c r="BY9579" i="3"/>
  <c r="BX9579" i="3" l="1"/>
  <c r="BY9580" i="3"/>
  <c r="BY9581" i="3" l="1"/>
  <c r="BX9580" i="3"/>
  <c r="BY9582" i="3" l="1"/>
  <c r="BX9581" i="3"/>
  <c r="BX9582" i="3" l="1"/>
  <c r="BY9583" i="3"/>
  <c r="BY9584" i="3" l="1"/>
  <c r="BX9583" i="3"/>
  <c r="BY9585" i="3" l="1"/>
  <c r="BX9584" i="3"/>
  <c r="BY9586" i="3" l="1"/>
  <c r="BX9585" i="3"/>
  <c r="BY9587" i="3" l="1"/>
  <c r="BX9586" i="3"/>
  <c r="BX9587" i="3" l="1"/>
  <c r="BY9588" i="3"/>
  <c r="BX9588" i="3" l="1"/>
  <c r="BY9589" i="3"/>
  <c r="BY9590" i="3" l="1"/>
  <c r="BX9589" i="3"/>
  <c r="BX9590" i="3" l="1"/>
  <c r="BY9591" i="3"/>
  <c r="BY9592" i="3" l="1"/>
  <c r="BX9591" i="3"/>
  <c r="BY9593" i="3" l="1"/>
  <c r="BX9592" i="3"/>
  <c r="BX9593" i="3" l="1"/>
  <c r="BY9594" i="3"/>
  <c r="BY9595" i="3" l="1"/>
  <c r="BX9594" i="3"/>
  <c r="BY9596" i="3" l="1"/>
  <c r="BX9595" i="3"/>
  <c r="BX9596" i="3" l="1"/>
  <c r="BY9597" i="3"/>
  <c r="BY9598" i="3" l="1"/>
  <c r="BX9597" i="3"/>
  <c r="BY9599" i="3" l="1"/>
  <c r="BX9598" i="3"/>
  <c r="BY9600" i="3" l="1"/>
  <c r="BX9599" i="3"/>
  <c r="BX9600" i="3" l="1"/>
  <c r="BY9601" i="3"/>
  <c r="BY9602" i="3" l="1"/>
  <c r="BX9601" i="3"/>
  <c r="BY9603" i="3" l="1"/>
  <c r="BX9602" i="3"/>
  <c r="BY9604" i="3" l="1"/>
  <c r="BX9603" i="3"/>
  <c r="BY9605" i="3" l="1"/>
  <c r="BX9604" i="3"/>
  <c r="BY9606" i="3" l="1"/>
  <c r="BX9605" i="3"/>
  <c r="BY9607" i="3" l="1"/>
  <c r="BX9606" i="3"/>
  <c r="BY9608" i="3" l="1"/>
  <c r="BX9607" i="3"/>
  <c r="BX9608" i="3" l="1"/>
  <c r="BY9609" i="3"/>
  <c r="BX9609" i="3" l="1"/>
  <c r="BY9610" i="3"/>
  <c r="BY9611" i="3" l="1"/>
  <c r="BX9610" i="3"/>
  <c r="BY9612" i="3" l="1"/>
  <c r="BX9611" i="3"/>
  <c r="BX9612" i="3" l="1"/>
  <c r="BY9613" i="3"/>
  <c r="BY9614" i="3" l="1"/>
  <c r="BX9613" i="3"/>
  <c r="BX9614" i="3" l="1"/>
  <c r="BY9615" i="3"/>
  <c r="BX9615" i="3" l="1"/>
  <c r="BY9616" i="3"/>
  <c r="BY9617" i="3" l="1"/>
  <c r="BX9616" i="3"/>
  <c r="BY9618" i="3" l="1"/>
  <c r="BX9617" i="3"/>
  <c r="BY9619" i="3" l="1"/>
  <c r="BX9618" i="3"/>
  <c r="BY9620" i="3" l="1"/>
  <c r="BX9619" i="3"/>
  <c r="BY9621" i="3" l="1"/>
  <c r="BX9620" i="3"/>
  <c r="BY9622" i="3" l="1"/>
  <c r="BX9621" i="3"/>
  <c r="BY9623" i="3" l="1"/>
  <c r="BX9622" i="3"/>
  <c r="BY9624" i="3" l="1"/>
  <c r="BX9623" i="3"/>
  <c r="BY9625" i="3" l="1"/>
  <c r="BX9624" i="3"/>
  <c r="BY9626" i="3" l="1"/>
  <c r="BX9625" i="3"/>
  <c r="BY9627" i="3" l="1"/>
  <c r="BX9626" i="3"/>
  <c r="BY9628" i="3" l="1"/>
  <c r="BX9627" i="3"/>
  <c r="BY9629" i="3" l="1"/>
  <c r="BX9628" i="3"/>
  <c r="BX9629" i="3" l="1"/>
  <c r="BY9630" i="3"/>
  <c r="BX9630" i="3" l="1"/>
  <c r="BY9631" i="3"/>
  <c r="BY9632" i="3" l="1"/>
  <c r="BX9631" i="3"/>
  <c r="BY9633" i="3" l="1"/>
  <c r="BX9632" i="3"/>
  <c r="BX9633" i="3" l="1"/>
  <c r="BY9634" i="3"/>
  <c r="BY9635" i="3" l="1"/>
  <c r="BX9634" i="3"/>
  <c r="BY9636" i="3" l="1"/>
  <c r="BX9635" i="3"/>
  <c r="BX9636" i="3" l="1"/>
  <c r="BY9637" i="3"/>
  <c r="BY9638" i="3" l="1"/>
  <c r="BX9637" i="3"/>
  <c r="BX9638" i="3" l="1"/>
  <c r="BY9639" i="3"/>
  <c r="BX9639" i="3" l="1"/>
  <c r="BY9640" i="3"/>
  <c r="BY9641" i="3" l="1"/>
  <c r="BX9640" i="3"/>
  <c r="BY9642" i="3" l="1"/>
  <c r="BX9641" i="3"/>
  <c r="BY9643" i="3" l="1"/>
  <c r="BX9642" i="3"/>
  <c r="BY9644" i="3" l="1"/>
  <c r="BX9643" i="3"/>
  <c r="BY9645" i="3" l="1"/>
  <c r="BX9644" i="3"/>
  <c r="BY9646" i="3" l="1"/>
  <c r="BX9645" i="3"/>
  <c r="BY9647" i="3" l="1"/>
  <c r="BX9646" i="3"/>
  <c r="BX9647" i="3" l="1"/>
  <c r="BY9648" i="3"/>
  <c r="BX9648" i="3" l="1"/>
  <c r="BY9649" i="3"/>
  <c r="BY9650" i="3" l="1"/>
  <c r="BX9649" i="3"/>
  <c r="BX9650" i="3" l="1"/>
  <c r="BY9651" i="3"/>
  <c r="BX9651" i="3" l="1"/>
  <c r="BY9652" i="3"/>
  <c r="BY9653" i="3" l="1"/>
  <c r="BX9652" i="3"/>
  <c r="BY9654" i="3" l="1"/>
  <c r="BX9653" i="3"/>
  <c r="BY9655" i="3" l="1"/>
  <c r="BX9654" i="3"/>
  <c r="BY9656" i="3" l="1"/>
  <c r="BX9655" i="3"/>
  <c r="BY9657" i="3" l="1"/>
  <c r="BX9656" i="3"/>
  <c r="BY9658" i="3" l="1"/>
  <c r="BX9657" i="3"/>
  <c r="BY9659" i="3" l="1"/>
  <c r="BX9658" i="3"/>
  <c r="BY9660" i="3" l="1"/>
  <c r="BX9659" i="3"/>
  <c r="BX9660" i="3" l="1"/>
  <c r="BY9661" i="3"/>
  <c r="BY9662" i="3" l="1"/>
  <c r="BX9661" i="3"/>
  <c r="BY9663" i="3" l="1"/>
  <c r="BX9662" i="3"/>
  <c r="BY9664" i="3" l="1"/>
  <c r="BX9663" i="3"/>
  <c r="BY9665" i="3" l="1"/>
  <c r="BX9664" i="3"/>
  <c r="BX9665" i="3" l="1"/>
  <c r="BY9666" i="3"/>
  <c r="BX9666" i="3" l="1"/>
  <c r="BY9667" i="3"/>
  <c r="BY9668" i="3" l="1"/>
  <c r="BX9667" i="3"/>
  <c r="BX9668" i="3" l="1"/>
  <c r="BY9669" i="3"/>
  <c r="BY9670" i="3" l="1"/>
  <c r="BX9669" i="3"/>
  <c r="BY9671" i="3" l="1"/>
  <c r="BX9670" i="3"/>
  <c r="BY9672" i="3" l="1"/>
  <c r="BX9671" i="3"/>
  <c r="BX9672" i="3" l="1"/>
  <c r="BY9673" i="3"/>
  <c r="BY9674" i="3" l="1"/>
  <c r="BX9673" i="3"/>
  <c r="BX9674" i="3" l="1"/>
  <c r="BY9675" i="3"/>
  <c r="BY9676" i="3" l="1"/>
  <c r="BX9675" i="3"/>
  <c r="BY9677" i="3" l="1"/>
  <c r="BX9676" i="3"/>
  <c r="BY9678" i="3" l="1"/>
  <c r="BX9677" i="3"/>
  <c r="BY9679" i="3" l="1"/>
  <c r="BX9678" i="3"/>
  <c r="BY9680" i="3" l="1"/>
  <c r="BX9679" i="3"/>
  <c r="BY9681" i="3" l="1"/>
  <c r="BX9680" i="3"/>
  <c r="BY9682" i="3" l="1"/>
  <c r="BX9681" i="3"/>
  <c r="BY9683" i="3" l="1"/>
  <c r="BX9682" i="3"/>
  <c r="BY9684" i="3" l="1"/>
  <c r="BX9683" i="3"/>
  <c r="BY9685" i="3" l="1"/>
  <c r="BX9684" i="3"/>
  <c r="BY9686" i="3" l="1"/>
  <c r="BX9685" i="3"/>
  <c r="BX9686" i="3" l="1"/>
  <c r="BY9687" i="3"/>
  <c r="BX9687" i="3" l="1"/>
  <c r="BY9688" i="3"/>
  <c r="BY9689" i="3" l="1"/>
  <c r="BX9688" i="3"/>
  <c r="BY9690" i="3" l="1"/>
  <c r="BX9689" i="3"/>
  <c r="BX9690" i="3" l="1"/>
  <c r="BY9691" i="3"/>
  <c r="BY9692" i="3" l="1"/>
  <c r="BX9691" i="3"/>
  <c r="BY9693" i="3" l="1"/>
  <c r="BX9692" i="3"/>
  <c r="BY9694" i="3" l="1"/>
  <c r="BX9693" i="3"/>
  <c r="BY9695" i="3" l="1"/>
  <c r="BX9694" i="3"/>
  <c r="BY9696" i="3" l="1"/>
  <c r="BX9695" i="3"/>
  <c r="BY9697" i="3" l="1"/>
  <c r="BX9696" i="3"/>
  <c r="BY9698" i="3" l="1"/>
  <c r="BX9697" i="3"/>
  <c r="BX9698" i="3" l="1"/>
  <c r="BY9699" i="3"/>
  <c r="BY9700" i="3" l="1"/>
  <c r="BX9699" i="3"/>
  <c r="BY9701" i="3" l="1"/>
  <c r="BX9700" i="3"/>
  <c r="BX9701" i="3" l="1"/>
  <c r="BY9702" i="3"/>
  <c r="BY9703" i="3" l="1"/>
  <c r="BX9702" i="3"/>
  <c r="BY9704" i="3" l="1"/>
  <c r="BX9703" i="3"/>
  <c r="BY9705" i="3" l="1"/>
  <c r="BX9704" i="3"/>
  <c r="BY9706" i="3" l="1"/>
  <c r="BX9705" i="3"/>
  <c r="BY9707" i="3" l="1"/>
  <c r="BX9706" i="3"/>
  <c r="BY9708" i="3" l="1"/>
  <c r="BX9707" i="3"/>
  <c r="BX9708" i="3" l="1"/>
  <c r="BY9709" i="3"/>
  <c r="BY9710" i="3" l="1"/>
  <c r="BX9709" i="3"/>
  <c r="BY9711" i="3" l="1"/>
  <c r="BX9710" i="3"/>
  <c r="BX9711" i="3" l="1"/>
  <c r="BY9712" i="3"/>
  <c r="BY9713" i="3" l="1"/>
  <c r="BX9712" i="3"/>
  <c r="BY9714" i="3" l="1"/>
  <c r="BX9713" i="3"/>
  <c r="BY9715" i="3" l="1"/>
  <c r="BX9714" i="3"/>
  <c r="BY9716" i="3" l="1"/>
  <c r="BX9715" i="3"/>
  <c r="BX9716" i="3" l="1"/>
  <c r="BY9717" i="3"/>
  <c r="BX9717" i="3" l="1"/>
  <c r="BY9718" i="3"/>
  <c r="BY9719" i="3" l="1"/>
  <c r="BX9718" i="3"/>
  <c r="BY9720" i="3" l="1"/>
  <c r="BX9719" i="3"/>
  <c r="BX9720" i="3" l="1"/>
  <c r="BY9721" i="3"/>
  <c r="BY9722" i="3" l="1"/>
  <c r="BX9721" i="3"/>
  <c r="BX9722" i="3" l="1"/>
  <c r="BY9723" i="3"/>
  <c r="BX9723" i="3" l="1"/>
  <c r="BY9724" i="3"/>
  <c r="BY9725" i="3" l="1"/>
  <c r="BX9724" i="3"/>
  <c r="BX9725" i="3" l="1"/>
  <c r="BY9726" i="3"/>
  <c r="BX9726" i="3" l="1"/>
  <c r="BY9727" i="3"/>
  <c r="BY9728" i="3" l="1"/>
  <c r="BX9727" i="3"/>
  <c r="BY9729" i="3" l="1"/>
  <c r="BX9728" i="3"/>
  <c r="BY9730" i="3" l="1"/>
  <c r="BX9729" i="3"/>
  <c r="BY9731" i="3" l="1"/>
  <c r="BX9730" i="3"/>
  <c r="BY9732" i="3" l="1"/>
  <c r="BX9731" i="3"/>
  <c r="BY9733" i="3" l="1"/>
  <c r="BX9732" i="3"/>
  <c r="BY9734" i="3" l="1"/>
  <c r="BX9733" i="3"/>
  <c r="BX9734" i="3" l="1"/>
  <c r="BY9735" i="3"/>
  <c r="BY9736" i="3" l="1"/>
  <c r="BX9735" i="3"/>
  <c r="BY9737" i="3" l="1"/>
  <c r="BX9736" i="3"/>
  <c r="BX9737" i="3" l="1"/>
  <c r="BY9738" i="3"/>
  <c r="BX9738" i="3" l="1"/>
  <c r="BY9739" i="3"/>
  <c r="BY9740" i="3" l="1"/>
  <c r="BX9739" i="3"/>
  <c r="BY9741" i="3" l="1"/>
  <c r="BX9740" i="3"/>
  <c r="BY9742" i="3" l="1"/>
  <c r="BX9741" i="3"/>
  <c r="BY9743" i="3" l="1"/>
  <c r="BX9742" i="3"/>
  <c r="BX9743" i="3" l="1"/>
  <c r="BY9744" i="3"/>
  <c r="BX9744" i="3" l="1"/>
  <c r="BY9745" i="3"/>
  <c r="BY9746" i="3" l="1"/>
  <c r="BX9745" i="3"/>
  <c r="BY9747" i="3" l="1"/>
  <c r="BX9746" i="3"/>
  <c r="BY9748" i="3" l="1"/>
  <c r="BX9747" i="3"/>
  <c r="BY9749" i="3" l="1"/>
  <c r="BX9748" i="3"/>
  <c r="BY9750" i="3" l="1"/>
  <c r="BX9749" i="3"/>
  <c r="BX9750" i="3" l="1"/>
  <c r="BY9751" i="3"/>
  <c r="BY9752" i="3" l="1"/>
  <c r="BX9751" i="3"/>
  <c r="BY9753" i="3" l="1"/>
  <c r="BX9752" i="3"/>
  <c r="BX9753" i="3" l="1"/>
  <c r="BY9754" i="3"/>
  <c r="BY9755" i="3" l="1"/>
  <c r="BX9754" i="3"/>
  <c r="BY9756" i="3" l="1"/>
  <c r="BX9755" i="3"/>
  <c r="BX9756" i="3" l="1"/>
  <c r="BY9757" i="3"/>
  <c r="BY9758" i="3" l="1"/>
  <c r="BX9757" i="3"/>
  <c r="BY9759" i="3" l="1"/>
  <c r="BX9758" i="3"/>
  <c r="BY9760" i="3" l="1"/>
  <c r="BX9759" i="3"/>
  <c r="BY9761" i="3" l="1"/>
  <c r="BX9760" i="3"/>
  <c r="BX9761" i="3" l="1"/>
  <c r="BY9762" i="3"/>
  <c r="BX9762" i="3" l="1"/>
  <c r="BY9763" i="3"/>
  <c r="BY9764" i="3" l="1"/>
  <c r="BX9763" i="3"/>
  <c r="BY9765" i="3" l="1"/>
  <c r="BX9764" i="3"/>
  <c r="BY9766" i="3" l="1"/>
  <c r="BX9765" i="3"/>
  <c r="BY9767" i="3" l="1"/>
  <c r="BX9766" i="3"/>
  <c r="BX9767" i="3" l="1"/>
  <c r="BY9768" i="3"/>
  <c r="BX9768" i="3" l="1"/>
  <c r="BY9769" i="3"/>
  <c r="BY9770" i="3" l="1"/>
  <c r="BX9769" i="3"/>
  <c r="BY9771" i="3" l="1"/>
  <c r="BX9770" i="3"/>
  <c r="BY9772" i="3" l="1"/>
  <c r="BX9771" i="3"/>
  <c r="BY9773" i="3" l="1"/>
  <c r="BX9772" i="3"/>
  <c r="BY9774" i="3" l="1"/>
  <c r="BX9773" i="3"/>
  <c r="BX9774" i="3" l="1"/>
  <c r="BY9775" i="3"/>
  <c r="BY9776" i="3" l="1"/>
  <c r="BX9775" i="3"/>
  <c r="BY9777" i="3" l="1"/>
  <c r="BX9776" i="3"/>
  <c r="BY9778" i="3" l="1"/>
  <c r="BX9777" i="3"/>
  <c r="BY9779" i="3" l="1"/>
  <c r="BX9778" i="3"/>
  <c r="BY9780" i="3" l="1"/>
  <c r="BX9779" i="3"/>
  <c r="BX9780" i="3" l="1"/>
  <c r="BY9781" i="3"/>
  <c r="BY9782" i="3" l="1"/>
  <c r="BX9781" i="3"/>
  <c r="BY9783" i="3" l="1"/>
  <c r="BX9782" i="3"/>
  <c r="BY9784" i="3" l="1"/>
  <c r="BX9783" i="3"/>
  <c r="BY9785" i="3" l="1"/>
  <c r="BX9784" i="3"/>
  <c r="BY9786" i="3" l="1"/>
  <c r="BX9785" i="3"/>
  <c r="BX9786" i="3" l="1"/>
  <c r="BY9787" i="3"/>
  <c r="BY9788" i="3" l="1"/>
  <c r="BX9787" i="3"/>
  <c r="BY9789" i="3" l="1"/>
  <c r="BX9788" i="3"/>
  <c r="BY9790" i="3" l="1"/>
  <c r="BX9789" i="3"/>
  <c r="BY9791" i="3" l="1"/>
  <c r="BX9790" i="3"/>
  <c r="BY9792" i="3" l="1"/>
  <c r="BX9791" i="3"/>
  <c r="BX9792" i="3" l="1"/>
  <c r="BY9793" i="3"/>
  <c r="BY9794" i="3" l="1"/>
  <c r="BX9793" i="3"/>
  <c r="BY9795" i="3" l="1"/>
  <c r="BX9794" i="3"/>
  <c r="BY9796" i="3" l="1"/>
  <c r="BX9795" i="3"/>
  <c r="BY9797" i="3" l="1"/>
  <c r="BX9796" i="3"/>
  <c r="BY9798" i="3" l="1"/>
  <c r="BX9797" i="3"/>
  <c r="BX9798" i="3" l="1"/>
  <c r="BY9799" i="3"/>
  <c r="BY9800" i="3" l="1"/>
  <c r="BX9799" i="3"/>
  <c r="BY9801" i="3" l="1"/>
  <c r="BX9800" i="3"/>
  <c r="BX9801" i="3" l="1"/>
  <c r="BY9802" i="3"/>
  <c r="BY9803" i="3" l="1"/>
  <c r="BX9802" i="3"/>
  <c r="BY9804" i="3" l="1"/>
  <c r="BX9803" i="3"/>
  <c r="BX9804" i="3" l="1"/>
  <c r="BY9805" i="3"/>
  <c r="BY9806" i="3" l="1"/>
  <c r="BX9805" i="3"/>
  <c r="BY9807" i="3" l="1"/>
  <c r="BX9806" i="3"/>
  <c r="BY9808" i="3" l="1"/>
  <c r="BX9807" i="3"/>
  <c r="BY9809" i="3" l="1"/>
  <c r="BX9808" i="3"/>
  <c r="BY9810" i="3" l="1"/>
  <c r="BX9809" i="3"/>
  <c r="BX9810" i="3" l="1"/>
  <c r="BY9811" i="3"/>
  <c r="BY9812" i="3" l="1"/>
  <c r="BX9811" i="3"/>
  <c r="BY9813" i="3" l="1"/>
  <c r="BX9812" i="3"/>
  <c r="BY9814" i="3" l="1"/>
  <c r="BX9813" i="3"/>
  <c r="BY9815" i="3" l="1"/>
  <c r="BX9814" i="3"/>
  <c r="BY9816" i="3" l="1"/>
  <c r="BX9815" i="3"/>
  <c r="BX9816" i="3" l="1"/>
  <c r="BY9817" i="3"/>
  <c r="BY9818" i="3" l="1"/>
  <c r="BX9817" i="3"/>
  <c r="BY9819" i="3" l="1"/>
  <c r="BX9818" i="3"/>
  <c r="BY9820" i="3" l="1"/>
  <c r="BX9819" i="3"/>
  <c r="BY9821" i="3" l="1"/>
  <c r="BX9820" i="3"/>
  <c r="BY9822" i="3" l="1"/>
  <c r="BX9821" i="3"/>
  <c r="BY9823" i="3" l="1"/>
  <c r="BX9822" i="3"/>
  <c r="BY9824" i="3" l="1"/>
  <c r="BX9823" i="3"/>
  <c r="BY9825" i="3" l="1"/>
  <c r="BX9824" i="3"/>
  <c r="BY9826" i="3" l="1"/>
  <c r="BX9825" i="3"/>
  <c r="BY9827" i="3" l="1"/>
  <c r="BX9826" i="3"/>
  <c r="BY9828" i="3" l="1"/>
  <c r="BX9827" i="3"/>
  <c r="BY9829" i="3" l="1"/>
  <c r="BX9828" i="3"/>
  <c r="BY9830" i="3" l="1"/>
  <c r="BX9829" i="3"/>
  <c r="BY9831" i="3" l="1"/>
  <c r="BX9830" i="3"/>
  <c r="BY9832" i="3" l="1"/>
  <c r="BX9831" i="3"/>
  <c r="BY9833" i="3" l="1"/>
  <c r="BX9832" i="3"/>
  <c r="BY9834" i="3" l="1"/>
  <c r="BX9833" i="3"/>
  <c r="BY9835" i="3" l="1"/>
  <c r="BX9834" i="3"/>
  <c r="BY9836" i="3" l="1"/>
  <c r="BX9835" i="3"/>
  <c r="BY9837" i="3" l="1"/>
  <c r="BX9836" i="3"/>
  <c r="BY9838" i="3" l="1"/>
  <c r="BX9837" i="3"/>
  <c r="BY9839" i="3" l="1"/>
  <c r="BX9838" i="3"/>
  <c r="BY9840" i="3" l="1"/>
  <c r="BX9839" i="3"/>
  <c r="BY9841" i="3" l="1"/>
  <c r="BX9840" i="3"/>
  <c r="BY9842" i="3" l="1"/>
  <c r="BX9841" i="3"/>
  <c r="BY9843" i="3" l="1"/>
  <c r="BX9842" i="3"/>
  <c r="BY9844" i="3" l="1"/>
  <c r="BX9843" i="3"/>
  <c r="BY9845" i="3" l="1"/>
  <c r="BX9844" i="3"/>
  <c r="BY9846" i="3" l="1"/>
  <c r="BX9845" i="3"/>
  <c r="BY9847" i="3" l="1"/>
  <c r="BX9846" i="3"/>
  <c r="BY9848" i="3" l="1"/>
  <c r="BX9847" i="3"/>
  <c r="BY9849" i="3" l="1"/>
  <c r="BX9848" i="3"/>
  <c r="BY9850" i="3" l="1"/>
  <c r="BX9849" i="3"/>
  <c r="BY9851" i="3" l="1"/>
  <c r="BX9850" i="3"/>
  <c r="BY9852" i="3" l="1"/>
  <c r="BX9851" i="3"/>
  <c r="BY9853" i="3" l="1"/>
  <c r="BX9852" i="3"/>
  <c r="BY9854" i="3" l="1"/>
  <c r="BX9853" i="3"/>
  <c r="BY9855" i="3" l="1"/>
  <c r="BX9854" i="3"/>
  <c r="BY9856" i="3" l="1"/>
  <c r="BX9855" i="3"/>
  <c r="BY9857" i="3" l="1"/>
  <c r="BX9856" i="3"/>
  <c r="BY9858" i="3" l="1"/>
  <c r="BX9857" i="3"/>
  <c r="BY9859" i="3" l="1"/>
  <c r="BX9858" i="3"/>
  <c r="BY9860" i="3" l="1"/>
  <c r="BX9859" i="3"/>
  <c r="BY9861" i="3" l="1"/>
  <c r="BX9860" i="3"/>
  <c r="BY9862" i="3" l="1"/>
  <c r="BX9861" i="3"/>
  <c r="BY9863" i="3" l="1"/>
  <c r="BX9862" i="3"/>
  <c r="BY9864" i="3" l="1"/>
  <c r="BX9863" i="3"/>
  <c r="BY9865" i="3" l="1"/>
  <c r="BX9864" i="3"/>
  <c r="BY9866" i="3" l="1"/>
  <c r="BX9865" i="3"/>
  <c r="BY9867" i="3" l="1"/>
  <c r="BX9866" i="3"/>
  <c r="BY9868" i="3" l="1"/>
  <c r="BX9867" i="3"/>
  <c r="BY9869" i="3" l="1"/>
  <c r="BX9868" i="3"/>
  <c r="BY9870" i="3" l="1"/>
  <c r="BX9869" i="3"/>
  <c r="BY9871" i="3" l="1"/>
  <c r="BX9870" i="3"/>
  <c r="BY9872" i="3" l="1"/>
  <c r="BX9871" i="3"/>
  <c r="BY9873" i="3" l="1"/>
  <c r="BX9872" i="3"/>
  <c r="BY9874" i="3" l="1"/>
  <c r="BX9873" i="3"/>
  <c r="BY9875" i="3" l="1"/>
  <c r="BX9874" i="3"/>
  <c r="BY9876" i="3" l="1"/>
  <c r="BX9875" i="3"/>
  <c r="BY9877" i="3" l="1"/>
  <c r="BX9876" i="3"/>
  <c r="BY9878" i="3" l="1"/>
  <c r="BX9877" i="3"/>
  <c r="BY9879" i="3" l="1"/>
  <c r="BX9878" i="3"/>
  <c r="BY9880" i="3" l="1"/>
  <c r="BX9879" i="3"/>
  <c r="BY9881" i="3" l="1"/>
  <c r="BX9880" i="3"/>
  <c r="BY9882" i="3" l="1"/>
  <c r="BX9881" i="3"/>
  <c r="BY9883" i="3" l="1"/>
  <c r="BX9882" i="3"/>
  <c r="BY9884" i="3" l="1"/>
  <c r="BX9883" i="3"/>
  <c r="BY9885" i="3" l="1"/>
  <c r="BX9884" i="3"/>
  <c r="BY9886" i="3" l="1"/>
  <c r="BX9885" i="3"/>
  <c r="BY9887" i="3" l="1"/>
  <c r="BX9886" i="3"/>
  <c r="BY9888" i="3" l="1"/>
  <c r="BX9887" i="3"/>
  <c r="BY9889" i="3" l="1"/>
  <c r="BX9888" i="3"/>
  <c r="BY9890" i="3" l="1"/>
  <c r="BX9889" i="3"/>
  <c r="BY9891" i="3" l="1"/>
  <c r="BX9890" i="3"/>
  <c r="BY9892" i="3" l="1"/>
  <c r="BX9891" i="3"/>
  <c r="BY9893" i="3" l="1"/>
  <c r="BX9892" i="3"/>
  <c r="BY9894" i="3" l="1"/>
  <c r="BX9893" i="3"/>
  <c r="BY9895" i="3" l="1"/>
  <c r="BX9894" i="3"/>
  <c r="BY9896" i="3" l="1"/>
  <c r="BX9895" i="3"/>
  <c r="BY9897" i="3" l="1"/>
  <c r="BX9896" i="3"/>
  <c r="BY9898" i="3" l="1"/>
  <c r="BX9897" i="3"/>
  <c r="BY9899" i="3" l="1"/>
  <c r="BX9898" i="3"/>
  <c r="BY9900" i="3" l="1"/>
  <c r="BX9899" i="3"/>
  <c r="BY9901" i="3" l="1"/>
  <c r="BX9900" i="3"/>
  <c r="BY9902" i="3" l="1"/>
  <c r="BX9901" i="3"/>
  <c r="BY9903" i="3" l="1"/>
  <c r="BX9902" i="3"/>
  <c r="BY9904" i="3" l="1"/>
  <c r="BX9903" i="3"/>
  <c r="BY9905" i="3" l="1"/>
  <c r="BX9904" i="3"/>
  <c r="BY9906" i="3" l="1"/>
  <c r="BX9905" i="3"/>
  <c r="BY9907" i="3" l="1"/>
  <c r="BX9906" i="3"/>
  <c r="BY9908" i="3" l="1"/>
  <c r="BX9907" i="3"/>
  <c r="BY9909" i="3" l="1"/>
  <c r="BX9908" i="3"/>
  <c r="BY9910" i="3" l="1"/>
  <c r="BX9909" i="3"/>
  <c r="BY9911" i="3" l="1"/>
  <c r="BX9910" i="3"/>
  <c r="BY9912" i="3" l="1"/>
  <c r="BX9911" i="3"/>
  <c r="BY9913" i="3" l="1"/>
  <c r="BX9912" i="3"/>
  <c r="BY9914" i="3" l="1"/>
  <c r="BX9913" i="3"/>
  <c r="BY9915" i="3" l="1"/>
  <c r="BX9914" i="3"/>
  <c r="BY9916" i="3" l="1"/>
  <c r="BX9915" i="3"/>
  <c r="BX9916" i="3" l="1"/>
  <c r="BY9917" i="3"/>
  <c r="BY9918" i="3" l="1"/>
  <c r="BX9917" i="3"/>
  <c r="BY9919" i="3" l="1"/>
  <c r="BX9918" i="3"/>
  <c r="BY9920" i="3" l="1"/>
  <c r="BX9919" i="3"/>
  <c r="BY9921" i="3" l="1"/>
  <c r="BX9920" i="3"/>
  <c r="BY9922" i="3" l="1"/>
  <c r="BX9921" i="3"/>
  <c r="BX9922" i="3" l="1"/>
  <c r="BY9923" i="3"/>
  <c r="BY9924" i="3" l="1"/>
  <c r="BX9923" i="3"/>
  <c r="BY9925" i="3" l="1"/>
  <c r="BX9924" i="3"/>
  <c r="BY9926" i="3" l="1"/>
  <c r="BX9925" i="3"/>
  <c r="BY9927" i="3" l="1"/>
  <c r="BX9926" i="3"/>
  <c r="BY9928" i="3" l="1"/>
  <c r="BX9927" i="3"/>
  <c r="BX9928" i="3" l="1"/>
  <c r="BY9929" i="3"/>
  <c r="BY9930" i="3" l="1"/>
  <c r="BX9929" i="3"/>
  <c r="BY9931" i="3" l="1"/>
  <c r="BX9930" i="3"/>
  <c r="BY9932" i="3" l="1"/>
  <c r="BX9931" i="3"/>
  <c r="BY9933" i="3" l="1"/>
  <c r="BX9932" i="3"/>
  <c r="BY9934" i="3" l="1"/>
  <c r="BX9933" i="3"/>
  <c r="BX9934" i="3" l="1"/>
  <c r="BY9935" i="3"/>
  <c r="BY9936" i="3" l="1"/>
  <c r="BX9935" i="3"/>
  <c r="BY9937" i="3" l="1"/>
  <c r="BX9936" i="3"/>
  <c r="BY9938" i="3" l="1"/>
  <c r="BX9937" i="3"/>
  <c r="BY9939" i="3" l="1"/>
  <c r="BX9938" i="3"/>
  <c r="BY9940" i="3" l="1"/>
  <c r="BX9939" i="3"/>
  <c r="BX9940" i="3" l="1"/>
  <c r="BY9941" i="3"/>
  <c r="BY9942" i="3" l="1"/>
  <c r="BX9941" i="3"/>
  <c r="BY9943" i="3" l="1"/>
  <c r="BX9942" i="3"/>
  <c r="BY9944" i="3" l="1"/>
  <c r="BX9943" i="3"/>
  <c r="BY9945" i="3" l="1"/>
  <c r="BX9944" i="3"/>
  <c r="BY9946" i="3" l="1"/>
  <c r="BX9945" i="3"/>
  <c r="BX9946" i="3" l="1"/>
  <c r="BY9947" i="3"/>
  <c r="BY9948" i="3" l="1"/>
  <c r="BX9947" i="3"/>
  <c r="BY9949" i="3" l="1"/>
  <c r="BX9948" i="3"/>
  <c r="BY9950" i="3" l="1"/>
  <c r="BX9949" i="3"/>
  <c r="BY9951" i="3" l="1"/>
  <c r="BX9950" i="3"/>
  <c r="BY9952" i="3" l="1"/>
  <c r="BX9951" i="3"/>
  <c r="BX9952" i="3" l="1"/>
  <c r="BY9953" i="3"/>
  <c r="BY9954" i="3" l="1"/>
  <c r="BX9953" i="3"/>
  <c r="BY9955" i="3" l="1"/>
  <c r="BX9954" i="3"/>
  <c r="BY9956" i="3" l="1"/>
  <c r="BX9955" i="3"/>
  <c r="BY9957" i="3" l="1"/>
  <c r="BX9956" i="3"/>
  <c r="BY9958" i="3" l="1"/>
  <c r="BX9957" i="3"/>
  <c r="BX9958" i="3" l="1"/>
  <c r="BY9959" i="3"/>
  <c r="BY9960" i="3" l="1"/>
  <c r="BX9959" i="3"/>
  <c r="BY9961" i="3" l="1"/>
  <c r="BX9960" i="3"/>
  <c r="BY9962" i="3" l="1"/>
  <c r="BX9961" i="3"/>
  <c r="BY9963" i="3" l="1"/>
  <c r="BX9962" i="3"/>
  <c r="BY9964" i="3" l="1"/>
  <c r="BX9963" i="3"/>
  <c r="BX9964" i="3" l="1"/>
  <c r="BY9965" i="3"/>
  <c r="BY9966" i="3" l="1"/>
  <c r="BX9965" i="3"/>
  <c r="BY9967" i="3" l="1"/>
  <c r="BX9966" i="3"/>
  <c r="BY9968" i="3" l="1"/>
  <c r="BX9967" i="3"/>
  <c r="BY9969" i="3" l="1"/>
  <c r="BX9968" i="3"/>
  <c r="BY9970" i="3" l="1"/>
  <c r="BX9969" i="3"/>
  <c r="BX9970" i="3" l="1"/>
  <c r="BY9971" i="3"/>
  <c r="BY9972" i="3" l="1"/>
  <c r="BX9971" i="3"/>
  <c r="BY9973" i="3" l="1"/>
  <c r="BX9972" i="3"/>
  <c r="BY9974" i="3" l="1"/>
  <c r="BX9973" i="3"/>
  <c r="BY9975" i="3" l="1"/>
  <c r="BX9974" i="3"/>
  <c r="BY9976" i="3" l="1"/>
  <c r="BX9975" i="3"/>
  <c r="BX9976" i="3" l="1"/>
  <c r="BY9977" i="3"/>
  <c r="BY9978" i="3" l="1"/>
  <c r="BX9977" i="3"/>
  <c r="BY9979" i="3" l="1"/>
  <c r="BX9978" i="3"/>
  <c r="BY9980" i="3" l="1"/>
  <c r="BX9979" i="3"/>
  <c r="BY9981" i="3" l="1"/>
  <c r="BX9980" i="3"/>
  <c r="BY9982" i="3" l="1"/>
  <c r="BX9981" i="3"/>
  <c r="BX9982" i="3" l="1"/>
  <c r="BY9983" i="3"/>
  <c r="BY9984" i="3" l="1"/>
  <c r="BX9983" i="3"/>
  <c r="BY9985" i="3" l="1"/>
  <c r="BX9984" i="3"/>
  <c r="BY9986" i="3" l="1"/>
  <c r="BX9985" i="3"/>
  <c r="BY9987" i="3" l="1"/>
  <c r="BX9986" i="3"/>
  <c r="BY9988" i="3" l="1"/>
  <c r="BX9987" i="3"/>
  <c r="BX9988" i="3" l="1"/>
  <c r="BY9989" i="3"/>
  <c r="BY9990" i="3" l="1"/>
  <c r="BX9989" i="3"/>
  <c r="BY9991" i="3" l="1"/>
  <c r="BX9990" i="3"/>
  <c r="BY9992" i="3" l="1"/>
  <c r="BX9991" i="3"/>
  <c r="BY9993" i="3" l="1"/>
  <c r="BX9992" i="3"/>
  <c r="BY9994" i="3" l="1"/>
  <c r="BX9993" i="3"/>
  <c r="BX9994" i="3" l="1"/>
  <c r="BY9995" i="3"/>
  <c r="BY9996" i="3" l="1"/>
  <c r="BX9995" i="3"/>
  <c r="BY9997" i="3" l="1"/>
  <c r="BX9996" i="3"/>
  <c r="BY9998" i="3" l="1"/>
  <c r="BX9997" i="3"/>
  <c r="BY9999" i="3" l="1"/>
  <c r="BX9998" i="3"/>
  <c r="BY10000" i="3" l="1"/>
  <c r="BX9999" i="3"/>
  <c r="BX10000" i="3" l="1"/>
  <c r="BY9" i="3"/>
  <c r="BR63" i="3" s="1"/>
  <c r="BT64" i="3" l="1"/>
  <c r="BL68" i="3" l="1"/>
  <c r="BQ66" i="3"/>
  <c r="BL67" i="3"/>
  <c r="BL65" i="3"/>
  <c r="BL58" i="3" s="1" a="1"/>
  <c r="BL58" i="3" s="1"/>
  <c r="BL30" i="3" s="1"/>
  <c r="A17" i="3" s="1"/>
  <c r="BI150" i="1" s="1"/>
  <c r="C14" i="1" s="1"/>
  <c r="A17" i="1" s="1"/>
  <c r="J10" i="1" s="1"/>
  <c r="BI156" i="1" s="1"/>
</calcChain>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<sst xmlns="http://schemas.openxmlformats.org/spreadsheetml/2006/main" count="2660" uniqueCount="1250">
  <si>
    <t>University Name</t>
  </si>
  <si>
    <t>Email Address</t>
  </si>
  <si>
    <t>Faculty Advisor</t>
  </si>
  <si>
    <t>Round</t>
  </si>
  <si>
    <t xml:space="preserve">SES forms must be completed and submitted by all teams no later than the date specified in the Action Deadlines on the specific event website.  </t>
  </si>
  <si>
    <t>Team Name</t>
  </si>
  <si>
    <t>Email Address(es)</t>
  </si>
  <si>
    <t>IN.8.1</t>
  </si>
  <si>
    <t>Ready to submit for review?</t>
  </si>
  <si>
    <t>Document is ready for review. Double check triangulation.</t>
  </si>
  <si>
    <t>DR.3.1.3</t>
  </si>
  <si>
    <t>DR.3.2.1</t>
  </si>
  <si>
    <t>Team Contact(s)</t>
  </si>
  <si>
    <t>Some entries require additional tubes or documentation.</t>
  </si>
  <si>
    <t xml:space="preserve">Once these are added, document is ready for review. </t>
  </si>
  <si>
    <t>Locate all violations and bring the design into compliance before submitting.</t>
  </si>
  <si>
    <t>The status of some cells depends on entries in other cells.</t>
  </si>
  <si>
    <t>Units</t>
  </si>
  <si>
    <t>Wall thickness:</t>
  </si>
  <si>
    <t>'X' or 'V' FHB configurations are discouraged.</t>
  </si>
  <si>
    <t>Front Hoop (FH)</t>
  </si>
  <si>
    <t>degrees</t>
  </si>
  <si>
    <t>FH to Steering Wheel gap &lt;=250mm (9.8in)</t>
  </si>
  <si>
    <t>Turned Steering Wheel minimum below FH top:</t>
  </si>
  <si>
    <t>FBHS configuration:</t>
  </si>
  <si>
    <t>A.</t>
  </si>
  <si>
    <t>B.</t>
  </si>
  <si>
    <t>C.</t>
  </si>
  <si>
    <t>FH rearward lean above Upper SIS &lt;= 10, or braced:</t>
  </si>
  <si>
    <t>Main Hoop (MH)</t>
  </si>
  <si>
    <t>Minimum tube centerline radius:</t>
  </si>
  <si>
    <t>Outer Diameter (OD):</t>
  </si>
  <si>
    <t>'X' or 'V' MHB configurations are strongly discouraged.</t>
  </si>
  <si>
    <t>Main Hoop brace direction:</t>
  </si>
  <si>
    <t>Angle between MH and MHB &gt;=30 degrees:</t>
  </si>
  <si>
    <t>Helmet &gt;=50mm (2in) below Roll Hoop plane:</t>
  </si>
  <si>
    <t>Main Hoop Braces protecting Helmet:</t>
  </si>
  <si>
    <t>Helmet Clearance, Head Restraint,</t>
  </si>
  <si>
    <t>Rear Wing chassis mounting locations:</t>
  </si>
  <si>
    <t>Incomplete submissions will incur a penalty.</t>
  </si>
  <si>
    <t>Designate the Main Hoop Braces.</t>
  </si>
  <si>
    <t>Designate the Front Hoop Braces.</t>
  </si>
  <si>
    <t>Highlight/trace/color code required tubes.</t>
  </si>
  <si>
    <t>Use different colors for square and round.</t>
  </si>
  <si>
    <t>Include a legend that shows each color and size.</t>
  </si>
  <si>
    <t>Fuel tank or HV systems must be shown in orange.</t>
  </si>
  <si>
    <t>Front Hoop CAD with dimensions required.</t>
  </si>
  <si>
    <t>FBHS, FHB CAD with dimensions required.</t>
  </si>
  <si>
    <t>SIS CAD with dimensions required.</t>
  </si>
  <si>
    <t>MH + SH CAD with dimensions required.</t>
  </si>
  <si>
    <t>MHB, MHBS CAD with dimensions required.</t>
  </si>
  <si>
    <t>Clearance CAD with dimensions required.</t>
  </si>
  <si>
    <t>Multiple or detail images may be used anywhere in the SES.</t>
  </si>
  <si>
    <t>Front 3/4 3D CAD with color coded tube sizes required.</t>
  </si>
  <si>
    <t>Rear 3/4 3D CAD with color coded tube sizes required.</t>
  </si>
  <si>
    <t>This will not change until all required entries are filled out. Check all tabs.</t>
  </si>
  <si>
    <t>EQ</t>
  </si>
  <si>
    <t>BLUE: NO. BLANK ENTRY. INCOMPLETE. CHECK ALL TABS.</t>
  </si>
  <si>
    <t>SKY: YES. RULES EQUIVALENCE.</t>
  </si>
  <si>
    <t>YELLOW: YES. CHECK ADDITIONAL EQUIVALENCIES.</t>
  </si>
  <si>
    <t>Grounds for rejection could be considered incomplete and incur a penalty.</t>
  </si>
  <si>
    <t>FBHS: Some examples and explanations for configurations A, B, and C.</t>
  </si>
  <si>
    <t>The plane of the bend is defined by the straight axes on either side of the bend.</t>
  </si>
  <si>
    <t>The plane and 30 degree requirement must be considered in 3 dimensions.</t>
  </si>
  <si>
    <t>There is no limit to the number or size of triangles used between an Upper and Lower.</t>
  </si>
  <si>
    <t>There is no limit to the number bends.</t>
  </si>
  <si>
    <t>The bottom of the MHB is the only exception to this requirement.</t>
  </si>
  <si>
    <t>X-geometry may be used instead of diagonals.</t>
  </si>
  <si>
    <t>MHBS</t>
  </si>
  <si>
    <t>FBHS</t>
  </si>
  <si>
    <t>SIS</t>
  </si>
  <si>
    <t>SIS Examples</t>
  </si>
  <si>
    <t>MHBS examples and explanations.</t>
  </si>
  <si>
    <t>Using Shoulder Harness Bar/Braces</t>
  </si>
  <si>
    <t>Brace angle to plane of SH side view &gt;= 30:</t>
  </si>
  <si>
    <t>Car Numbers</t>
  </si>
  <si>
    <t>Competitions</t>
  </si>
  <si>
    <t>The Upper and Lower must maintain spacing and not share a load path.</t>
  </si>
  <si>
    <t>ACRONYMS</t>
  </si>
  <si>
    <t>AI</t>
  </si>
  <si>
    <t>Anti Intrusion Plate</t>
  </si>
  <si>
    <t>EV</t>
  </si>
  <si>
    <t>Electric Vehicle</t>
  </si>
  <si>
    <t>Rules Equivalence Achieved</t>
  </si>
  <si>
    <t>FB</t>
  </si>
  <si>
    <t>Front Bulkhead</t>
  </si>
  <si>
    <t>Front Bulkhead Support</t>
  </si>
  <si>
    <t>FH</t>
  </si>
  <si>
    <t>Front Roll Hoop</t>
  </si>
  <si>
    <t>FHB</t>
  </si>
  <si>
    <t>Front Hoop Brace</t>
  </si>
  <si>
    <t>HV</t>
  </si>
  <si>
    <t>High Voltage</t>
  </si>
  <si>
    <t>IA</t>
  </si>
  <si>
    <t>MH</t>
  </si>
  <si>
    <t>Main Roll Hoop</t>
  </si>
  <si>
    <t>MHB</t>
  </si>
  <si>
    <t>Main Hoop Brace</t>
  </si>
  <si>
    <t>Main Hoop Brace Support</t>
  </si>
  <si>
    <t>N/A</t>
  </si>
  <si>
    <t>Not Applicable (Not required.)</t>
  </si>
  <si>
    <t>SH</t>
  </si>
  <si>
    <t>Shoulder Harness Structure</t>
  </si>
  <si>
    <t>SES</t>
  </si>
  <si>
    <t>Structural Equivalency Spreadsheet</t>
  </si>
  <si>
    <t>Side Impact Structure</t>
  </si>
  <si>
    <t>Submission of late, blank, incomplete, or previous car's SES will incur a competition point penalty.</t>
  </si>
  <si>
    <r>
      <rPr>
        <b/>
        <sz val="11"/>
        <color theme="9"/>
        <rFont val="Calibri"/>
        <family val="2"/>
        <scheme val="minor"/>
      </rPr>
      <t>THE YELLOW LINE</t>
    </r>
    <r>
      <rPr>
        <sz val="11"/>
        <rFont val="Calibri"/>
        <family val="2"/>
        <scheme val="minor"/>
      </rPr>
      <t xml:space="preserve"> is the lower tube</t>
    </r>
  </si>
  <si>
    <r>
      <rPr>
        <b/>
        <sz val="11"/>
        <color theme="4"/>
        <rFont val="Calibri"/>
        <family val="2"/>
        <scheme val="minor"/>
      </rPr>
      <t>THE SKY BLUE LINE</t>
    </r>
    <r>
      <rPr>
        <sz val="11"/>
        <rFont val="Calibri"/>
        <family val="2"/>
        <scheme val="minor"/>
      </rPr>
      <t xml:space="preserve"> is the upper tube</t>
    </r>
  </si>
  <si>
    <r>
      <rPr>
        <b/>
        <sz val="11"/>
        <rFont val="Calibri"/>
        <family val="2"/>
        <scheme val="minor"/>
      </rPr>
      <t>BLACK LINES</t>
    </r>
    <r>
      <rPr>
        <sz val="11"/>
        <rFont val="Calibri"/>
        <family val="2"/>
        <scheme val="minor"/>
      </rPr>
      <t xml:space="preserve"> are additional related tubes</t>
    </r>
  </si>
  <si>
    <t>represent potential design changes to an orange area to allow it to pass.</t>
  </si>
  <si>
    <t xml:space="preserve"> White dotted lines</t>
  </si>
  <si>
    <t>In the examples to the right:</t>
  </si>
  <si>
    <t xml:space="preserve">Using this 7-color palette will accommodate color blind students or reviewers:
</t>
  </si>
  <si>
    <t>SIS with Rear FHB (or Forward MHB)</t>
  </si>
  <si>
    <t>Tubes may be added for leg and foot protection.</t>
  </si>
  <si>
    <t>Steel can be used for any part of the frame in the Monocoque/Hybrid/Non-Ferrous SES.</t>
  </si>
  <si>
    <t xml:space="preserve">Approval of an SES does not guarantee passing Tech Inspection. The final decision about all designs will be made at Tech Inspection. </t>
  </si>
  <si>
    <r>
      <t xml:space="preserve">Replace example images with your own clear, undistorted CAD, showing all required dimensions in a moderate filesize. </t>
    </r>
    <r>
      <rPr>
        <b/>
        <sz val="11"/>
        <rFont val="Calibri"/>
        <family val="2"/>
        <scheme val="minor"/>
      </rPr>
      <t>Each SES file 25Mb max.</t>
    </r>
  </si>
  <si>
    <t>SELECT YOUR UNITS. The entire SES will be completed in either mm or Inch. Inch tubing can be entered in mm, and vice versa.</t>
  </si>
  <si>
    <t>Keep a copy of the rules open to reference rule numbers directly while filling out the SES.</t>
  </si>
  <si>
    <t>Impact Attenuator</t>
  </si>
  <si>
    <t>A</t>
  </si>
  <si>
    <t>The rollover plane is defined by the direction of the main hoop braces, shown above.</t>
  </si>
  <si>
    <t>The row numbers are for reference only.</t>
  </si>
  <si>
    <t>The other column letters are for reference only.</t>
  </si>
  <si>
    <t>Drop down options can be identified by the heavy border. Delete will clear the entry.</t>
  </si>
  <si>
    <t>Powertrain</t>
  </si>
  <si>
    <t>BLANK</t>
  </si>
  <si>
    <t xml:space="preserve">Fill in all </t>
  </si>
  <si>
    <t>Aluminum equivalance may be used in the Steel Tube SES for Anti-Intrusion, EV Rear Impact, or Accumulator Containers and Mounting.</t>
  </si>
  <si>
    <t>Chassis Rules</t>
  </si>
  <si>
    <t>Steel Tube</t>
  </si>
  <si>
    <t>FSAE Structural Equivalency Spreadsheet (SES), includes Impact Attenuator Document (IAD)</t>
  </si>
  <si>
    <t>Do not submit an updated document after the deadline without having the previous document rejected.</t>
  </si>
  <si>
    <t>Each entry, each category, each tab, and the entire sheet are coded as one of the following:</t>
  </si>
  <si>
    <t>CHECK</t>
  </si>
  <si>
    <t>REJECT</t>
  </si>
  <si>
    <t>F.2.2.1</t>
  </si>
  <si>
    <t>Overall</t>
  </si>
  <si>
    <t>F.10-11 EV Accumulator</t>
  </si>
  <si>
    <t>mm</t>
  </si>
  <si>
    <t>Minimum</t>
  </si>
  <si>
    <t>Tube Used</t>
  </si>
  <si>
    <t>mm^2</t>
  </si>
  <si>
    <t>mm^4</t>
  </si>
  <si>
    <t>Tube cross sectional area (A):</t>
  </si>
  <si>
    <t>Tube second moment of inertia (I):</t>
  </si>
  <si>
    <t>F.6.3.5</t>
  </si>
  <si>
    <t>F.6.2</t>
  </si>
  <si>
    <t>Front Bulkhead Support (FBHS)</t>
  </si>
  <si>
    <t>F.6.3.4</t>
  </si>
  <si>
    <t>F.6.3</t>
  </si>
  <si>
    <t>Forward Front Hoop Braces (FHB)</t>
  </si>
  <si>
    <t>Size B</t>
  </si>
  <si>
    <t>Size C</t>
  </si>
  <si>
    <t>Size A</t>
  </si>
  <si>
    <t>Upper Side Impact Structure (SIS)</t>
  </si>
  <si>
    <t>Shoulder Harness Braces</t>
  </si>
  <si>
    <t>F.6.5</t>
  </si>
  <si>
    <t>Main Hoop Brace (MHB)</t>
  </si>
  <si>
    <t>Shoulder Harness Bar (SH)</t>
  </si>
  <si>
    <t>Main Hoop Brace Support (MHBS)</t>
  </si>
  <si>
    <t>F.6.6</t>
  </si>
  <si>
    <t>Designate the Upper MHBS along its entire length.</t>
  </si>
  <si>
    <t>Designate the Lower MHBS along its entire length.</t>
  </si>
  <si>
    <t>F.5.8.2</t>
  </si>
  <si>
    <t>F.5.8.4</t>
  </si>
  <si>
    <t>Upper FBHS from the top of the FB to the Upper SIS, with a tolerance.</t>
  </si>
  <si>
    <t>Lower FBHS from the bottom of the FB to the Lower SIS.</t>
  </si>
  <si>
    <t>Lower FBHS from the bottom of the FB to the Upper SIS, with a tolerance.</t>
  </si>
  <si>
    <t>Upper FBHS from the top of FB  to above the Upper SIS, braced rearward.</t>
  </si>
  <si>
    <t>A second Lower FBHS path from the bottom of the FB to the Lower SIS.</t>
  </si>
  <si>
    <t>F.5.7.4</t>
  </si>
  <si>
    <t>F.5.2.1</t>
  </si>
  <si>
    <t>V-braces meet at the center at one end, and cannot be used for Upper FBHS in Types B or C.</t>
  </si>
  <si>
    <t>A straight Upper SIS may be intersected by triangulated tubes without being considered bent.</t>
  </si>
  <si>
    <t>The MHB may act as braces for a bent Shoulder Harness Bar. See column 'F' to the right.</t>
  </si>
  <si>
    <t xml:space="preserve">X-braces form two segments in side view, and cannot be used for Upper FBHS </t>
  </si>
  <si>
    <t>in Types B or C without additional triangulation to the center node.</t>
  </si>
  <si>
    <t>TRIANGULATION</t>
  </si>
  <si>
    <t>IC</t>
  </si>
  <si>
    <t>Internal Combustion</t>
  </si>
  <si>
    <t>The SES examples show that quadrilateral openings are unacceptable.</t>
  </si>
  <si>
    <t>Exception One:</t>
  </si>
  <si>
    <t>1a. All bends on the lowest tube must still be braced to the corner of another triangle.</t>
  </si>
  <si>
    <t>Exception Two:</t>
  </si>
  <si>
    <t>2a. The brace for the bent tube must form part of a triangle on both sides.</t>
  </si>
  <si>
    <t>b. This is also what is meant by “properly triangulated”.</t>
  </si>
  <si>
    <t>An arrangement of Frame Members where all members and segments of members</t>
  </si>
  <si>
    <t>between bends or nodes with other structural tubes form a structure composed entirely of triangles.</t>
  </si>
  <si>
    <t>a. This is generally required between an upper member and a lower member, both of which</t>
  </si>
  <si>
    <t>may have multiple segments requiring a diagonal to form multiple triangles.</t>
  </si>
  <si>
    <t>Non structural tubing will be ignored.</t>
  </si>
  <si>
    <t>Tubes with Wall thinner than 1.2mm (0.047in) will be ignored.</t>
  </si>
  <si>
    <t>Tubes with smaller than 25mm (1in) Outer Diamter will be ignored.</t>
  </si>
  <si>
    <t>2. A diagonal that ends on the Upper and Lower tube may be replaced by a tube with a single bend,</t>
  </si>
  <si>
    <t>Bent Tubes</t>
  </si>
  <si>
    <t>The top of the impactor will not be raised above the maximum Upper SIS height permitted by rules.</t>
  </si>
  <si>
    <t>GR.1.4 - Good Engineering Practice</t>
  </si>
  <si>
    <t>No openings up to Upper SIS Height may allow a 254mm diameter impactor to pass through.</t>
  </si>
  <si>
    <t>GR.1.4 Chassis catch all:</t>
  </si>
  <si>
    <t>1. The space between the two lower paths of a Type-C FBHS is not required to be triangulated.</t>
  </si>
  <si>
    <t>leaving one quadrilateral opening.</t>
  </si>
  <si>
    <r>
      <t xml:space="preserve">All bends and multiple segment members must be braced according to </t>
    </r>
    <r>
      <rPr>
        <b/>
        <sz val="11"/>
        <rFont val="Calibri"/>
        <family val="2"/>
        <scheme val="minor"/>
      </rPr>
      <t>F.5.2.</t>
    </r>
  </si>
  <si>
    <t>Rear Impact CAD with dimensions required.</t>
  </si>
  <si>
    <t>Additional images may be placed below each section.</t>
  </si>
  <si>
    <t>Bolted joints must be documented if a removable panel or tube is used.</t>
  </si>
  <si>
    <t>The SES will permanently REJECT for removing any tab. Fill out a fresh copy.</t>
  </si>
  <si>
    <t>Place rear wing mounts at nodes, or away from the MH and MHB.</t>
  </si>
  <si>
    <t>F.6.6.2</t>
  </si>
  <si>
    <t>If the brace has a path to the SIS and is triangulated underneath, it could be the MHBS.</t>
  </si>
  <si>
    <t>Wing Mount Braces</t>
  </si>
  <si>
    <t>F.3.4.1</t>
  </si>
  <si>
    <t>F.3.2.1</t>
  </si>
  <si>
    <t>F.3.1-4 Tube Chassis</t>
  </si>
  <si>
    <t>Does the steering rack interrupt any required tubes?</t>
  </si>
  <si>
    <t>Designating the FBHS as A,B, or C needed to check rule</t>
  </si>
  <si>
    <t>F.3.4.2</t>
  </si>
  <si>
    <t>Calculation of buckling strength of MHB tube.</t>
  </si>
  <si>
    <t>Main Hoop Brace second moment of inertia (I):</t>
  </si>
  <si>
    <t>Main Hoop Brace Outer Diameter (OD):</t>
  </si>
  <si>
    <t>Main Hoop Brace Length (Main Hoop to MHBS) (L):</t>
  </si>
  <si>
    <t>Accumulator Side Protection</t>
  </si>
  <si>
    <t>F.11.1.1</t>
  </si>
  <si>
    <t>Accumulators must be within the Primary Structure.</t>
  </si>
  <si>
    <t>F.11.1.3</t>
  </si>
  <si>
    <t>F.11.1.2</t>
  </si>
  <si>
    <t>HV Components must be within the Rollover Protection Envelope.</t>
  </si>
  <si>
    <t>The examples to the right cover the tube location requirements for the FBHS, SIS, and MHBS. There are many solutions not shown that can meet the documentation, triangulation, and bracing requirements.
The examples to the left need to be replaced with your own CAD. Images should be clear, undistorted, moderate filesize. Each SES file 25MB max.</t>
  </si>
  <si>
    <t>Other - Edit</t>
  </si>
  <si>
    <t>Sheet protection must still be active when submitted, or the SES will be rejected.</t>
  </si>
  <si>
    <t>F.5.6.2</t>
  </si>
  <si>
    <t>F.6.4.4</t>
  </si>
  <si>
    <t>Designate the Upper FBHS along its entire length.</t>
  </si>
  <si>
    <t>Designate the Lower FBHS along its entire length.</t>
  </si>
  <si>
    <t>The area between the Upper and Lower FBHS must be completely triangulated</t>
  </si>
  <si>
    <t>F.6.2.3.c</t>
  </si>
  <si>
    <t>F.6.2.3.d</t>
  </si>
  <si>
    <t>F.6.2.3.a</t>
  </si>
  <si>
    <t>with tubes meeting F.3.4.1 Size C.</t>
  </si>
  <si>
    <t>the Upper SIS) are treated as one segment.</t>
  </si>
  <si>
    <t>The upper and lower segments of a straight Front Hoop tube (created by the FBHS offset to</t>
  </si>
  <si>
    <t>The FHB should extend all the way to the Front Bulkhead.</t>
  </si>
  <si>
    <t>Front FHB that do not reach the FB must end the node of a completely triangulated structure.</t>
  </si>
  <si>
    <t>Rear FHB must end at the node of a completely triangulated structure.</t>
  </si>
  <si>
    <t>The driver's feet and legs must be completely enclosed by tubes meeting F.3.4.1.</t>
  </si>
  <si>
    <t>F.6.3.3</t>
  </si>
  <si>
    <t>T.1.3.2</t>
  </si>
  <si>
    <t>F.6.3.6</t>
  </si>
  <si>
    <t>A tube FHB must be straight, without any bends. (One segment.)</t>
  </si>
  <si>
    <t>Rear FBHS braces minimum Size C.</t>
  </si>
  <si>
    <t>Rear FH braces minimum Size B.</t>
  </si>
  <si>
    <t>F.6.4.6</t>
  </si>
  <si>
    <t>F.3.2.1.f</t>
  </si>
  <si>
    <t>F.5.2.3.c</t>
  </si>
  <si>
    <t>A bent Upper Side Impact tube requires Size D.</t>
  </si>
  <si>
    <t>Tube Shoulder Harness Bars must be one piece of uncut, continuous steel tubing.</t>
  </si>
  <si>
    <t>Tube Shoulder Harness Bars must connect to the Main Hoop at both ends.</t>
  </si>
  <si>
    <t>Shoulder Harness Braces must support the middle of SH bends.</t>
  </si>
  <si>
    <t>F.6.5.1.a</t>
  </si>
  <si>
    <t>F.6.5.1.b</t>
  </si>
  <si>
    <t>F.6.5.2.b</t>
  </si>
  <si>
    <t>Main Hoop side view bends must be braced to an MHBS or SIS node.</t>
  </si>
  <si>
    <t>The plane of a bent tube is defined by the straight axes on either side of the bend.</t>
  </si>
  <si>
    <t>F.5.2.3</t>
  </si>
  <si>
    <t>The larger the SH Brace angle (&gt;=30), the better the moment from the harness is reacted.</t>
  </si>
  <si>
    <t>Shoulder Harness Braces must connect back to the Main Hoop, ideally at a node.</t>
  </si>
  <si>
    <t>The Main Hoop Braces must be one piece, steel, with no bends.</t>
  </si>
  <si>
    <t>F.6.6.2.a</t>
  </si>
  <si>
    <t>F.6.6.2.b</t>
  </si>
  <si>
    <t>The MHB must be triangulated back to the Main Hoop at the Upper and Lower SIS.</t>
  </si>
  <si>
    <t>The Upper MHBS runs from MHB to the Upper SIS.</t>
  </si>
  <si>
    <t>The Lower MHBS runs from MHB to the Lower SIS.</t>
  </si>
  <si>
    <t>The area between the Upper and Lower MHBS must be completely triangulated</t>
  </si>
  <si>
    <t>A Shoulder Harness Bar and/or SH Brace may be used as part of the MHBS.</t>
  </si>
  <si>
    <t>F.6.2.3.ab</t>
  </si>
  <si>
    <t>T.2.8.3</t>
  </si>
  <si>
    <t>The dummy's foot must be resting on the brake pedal face.</t>
  </si>
  <si>
    <t>F.11.2.3</t>
  </si>
  <si>
    <t>F.6.4.1</t>
  </si>
  <si>
    <t>F.6.2.3.b</t>
  </si>
  <si>
    <t>The bend radius at the centerline axis must be &gt;= 3 x tube OD.</t>
  </si>
  <si>
    <t>The brace must be at the center of the bend or intersection.</t>
  </si>
  <si>
    <t>The brace must be at least as big as the largest tube being braced.</t>
  </si>
  <si>
    <t>The brace must be within 30 degrees of the plane of the bend.</t>
  </si>
  <si>
    <t>F.5.2.3.a</t>
  </si>
  <si>
    <t>Only cells of this color can be edited. Enter all values as positive numerals.</t>
  </si>
  <si>
    <t>Holes in a plate must be too small for the differential to pass through.</t>
  </si>
  <si>
    <t>Take the area and moment of inertia of the one mount.</t>
  </si>
  <si>
    <t>SH Brace Angle:</t>
  </si>
  <si>
    <t>In side view, feet on pedals, structural tubes must be above and below all of feet and legs.</t>
  </si>
  <si>
    <t>Main Hoop angle from vertical above Upper SIS, in side view, &lt;=10:</t>
  </si>
  <si>
    <t>Distance between Main Hoop ends, &gt;=380mm (15")</t>
  </si>
  <si>
    <t>Minimum radius::diameter ratio, &gt;=3:</t>
  </si>
  <si>
    <t>Head Restraint Protection</t>
  </si>
  <si>
    <t>F.8 Front Protection</t>
  </si>
  <si>
    <t>F.3.4.3 Welded Inserts</t>
  </si>
  <si>
    <t>F.5.12 Bolted Members</t>
  </si>
  <si>
    <t>F.6.4.4.b</t>
  </si>
  <si>
    <t>Main Hoop Braces (MHB),</t>
  </si>
  <si>
    <t>Designate the Upper SIS and Lower SIS along their entire length.</t>
  </si>
  <si>
    <t>The area between the upper and lower SIS must be completely triangulated.</t>
  </si>
  <si>
    <t>Diagonals for straight or bent upper SIS are both minimum Size B.</t>
  </si>
  <si>
    <t>Front Bulkhead Supports (FBHS),</t>
  </si>
  <si>
    <t>Front Hoop Braces (FHB)</t>
  </si>
  <si>
    <t>HRP</t>
  </si>
  <si>
    <t>the Moment of Inertia and Cross Sectional Area Requirements.</t>
  </si>
  <si>
    <r>
      <t xml:space="preserve">A </t>
    </r>
    <r>
      <rPr>
        <b/>
        <sz val="11"/>
        <rFont val="Calibri"/>
        <family val="2"/>
        <scheme val="minor"/>
      </rPr>
      <t>square tube</t>
    </r>
    <r>
      <rPr>
        <sz val="11"/>
        <rFont val="Calibri"/>
        <family val="2"/>
        <scheme val="minor"/>
      </rPr>
      <t xml:space="preserve"> which is both the Minimum Width and the Minimum Wall Thickness </t>
    </r>
    <r>
      <rPr>
        <b/>
        <u/>
        <sz val="11"/>
        <rFont val="Calibri"/>
        <family val="2"/>
        <scheme val="minor"/>
      </rPr>
      <t>always meets</t>
    </r>
  </si>
  <si>
    <r>
      <t xml:space="preserve">A </t>
    </r>
    <r>
      <rPr>
        <b/>
        <sz val="11"/>
        <rFont val="Calibri"/>
        <family val="2"/>
        <scheme val="minor"/>
      </rPr>
      <t>round tube</t>
    </r>
    <r>
      <rPr>
        <sz val="11"/>
        <rFont val="Calibri"/>
        <family val="2"/>
        <scheme val="minor"/>
      </rPr>
      <t xml:space="preserve"> which is both the Minimum Diameter and the Minimum Wall Thickness </t>
    </r>
    <r>
      <rPr>
        <b/>
        <u/>
        <sz val="11"/>
        <rFont val="Calibri"/>
        <family val="2"/>
        <scheme val="minor"/>
      </rPr>
      <t>may not meet</t>
    </r>
  </si>
  <si>
    <t>Read the additional guidance on the right side of this sheet.</t>
  </si>
  <si>
    <t>F.5.7</t>
  </si>
  <si>
    <t>F.5.7.5</t>
  </si>
  <si>
    <t>FH side angle above Upper SIS &lt;=20 degrees:</t>
  </si>
  <si>
    <t>F.5.7.6</t>
  </si>
  <si>
    <t>Upper SIS height is measured from the lowest point of the top surface of the Lower SIS tube.</t>
  </si>
  <si>
    <t>If the accumulator extends behind the MH, Size B tubes are needed behind the MH.</t>
  </si>
  <si>
    <t>Top and bottom views required for 30 degree bend check.</t>
  </si>
  <si>
    <t>F.5.8.3.b</t>
  </si>
  <si>
    <t>F.5.8.3.a</t>
  </si>
  <si>
    <t>F.5.8.3.c</t>
  </si>
  <si>
    <t>F.5.9.1</t>
  </si>
  <si>
    <t>F.5.9.4</t>
  </si>
  <si>
    <t>F.5.9.2</t>
  </si>
  <si>
    <t>F.5.9.5</t>
  </si>
  <si>
    <t>F.5.9.6</t>
  </si>
  <si>
    <t>EV motor location:</t>
  </si>
  <si>
    <t>Use the space below to list changes between uploads, rules inquiries, and any other information.</t>
  </si>
  <si>
    <r>
      <t xml:space="preserve">There are three basic configurations for the FBHS. </t>
    </r>
    <r>
      <rPr>
        <b/>
        <sz val="11"/>
        <rFont val="Calibri"/>
        <family val="2"/>
        <scheme val="minor"/>
      </rPr>
      <t>See examples starting in column CO.</t>
    </r>
  </si>
  <si>
    <t>F.5.11</t>
  </si>
  <si>
    <t>F.5.11.2.b</t>
  </si>
  <si>
    <t>F.5.11.2.a</t>
  </si>
  <si>
    <t>F.1.17</t>
  </si>
  <si>
    <t>F.3.3.2</t>
  </si>
  <si>
    <t>F.5.10</t>
  </si>
  <si>
    <t>The mounts are considered as beams, seen in the side view.</t>
  </si>
  <si>
    <t>If they are identical, these values can be multiplied by two.</t>
  </si>
  <si>
    <t>If they are unique, add the values from the second mount.</t>
  </si>
  <si>
    <t>If mounts are identical, R is the same centroid distance in each, and is the value used.</t>
  </si>
  <si>
    <t>If mounts are asymmetric, average the centroid values for R.</t>
  </si>
  <si>
    <t>Accumulator Side Protection,</t>
  </si>
  <si>
    <t>Lap and Sub Belt Attachment</t>
  </si>
  <si>
    <t>Main Hoop (MH),</t>
  </si>
  <si>
    <t>Side Impact Structure (SIS),</t>
  </si>
  <si>
    <t>Main Hoop Brace Supports (MHBS)</t>
  </si>
  <si>
    <t>Fuel System (IC), Rear Wing Mounting</t>
  </si>
  <si>
    <t>Increase from Size C to Size B if the accumulator is &lt; 100mm (3.937in) from the rear impact .</t>
  </si>
  <si>
    <t>The mounts or plate extend 25mm above and 25mm below the opening.</t>
  </si>
  <si>
    <t>the lowest point of the top surface of the Lower SIS tube.</t>
  </si>
  <si>
    <t>Sections should be taken in a plane parallel to the ground. *Plate minimums are more likely to be vertical.</t>
  </si>
  <si>
    <t>HV Protection CAD with dimensions.</t>
  </si>
  <si>
    <t>Required Image: Car showing wing mounts.</t>
  </si>
  <si>
    <t>T.2.4.2</t>
  </si>
  <si>
    <t>F.3.2.1.j</t>
  </si>
  <si>
    <t>Minimum Lap/Sub Belt Tube</t>
  </si>
  <si>
    <t>F.3.2.1.c</t>
  </si>
  <si>
    <t>F.3.4.1.a</t>
  </si>
  <si>
    <t>F.3.2.1.b</t>
  </si>
  <si>
    <t>F.3.4.1.c</t>
  </si>
  <si>
    <t>F.3.2.1.d</t>
  </si>
  <si>
    <t>F.3.4.1.b</t>
  </si>
  <si>
    <t>F.3.2.1.e</t>
  </si>
  <si>
    <t>F.3.2.1.g</t>
  </si>
  <si>
    <t>F.3.2.1.k</t>
  </si>
  <si>
    <t>F.3.2.1.l</t>
  </si>
  <si>
    <t>F.3.2.1.h</t>
  </si>
  <si>
    <t>F.3.2.1.i</t>
  </si>
  <si>
    <t>F.3.2.1.o</t>
  </si>
  <si>
    <t>F.3.2.1.m</t>
  </si>
  <si>
    <t>F.3.2.1.n</t>
  </si>
  <si>
    <t>The wing mount would then be at an MHB node, and there is no failure requirement.</t>
  </si>
  <si>
    <t>Suspension pickups or rocker mounts on the MHB must be at fully triangulated nodes.</t>
  </si>
  <si>
    <t>Head Restraint &gt;=0 from rollover envelope:</t>
  </si>
  <si>
    <t>Head Restraint Protection Hoop Used?</t>
  </si>
  <si>
    <t>T.1.6.3.b</t>
  </si>
  <si>
    <t>Heat insulation requirements apply at operating and failure temperatures.</t>
  </si>
  <si>
    <t>T.1.6</t>
  </si>
  <si>
    <t>An air gap no less than 25mm is required between the accumulator and the driver's seat.</t>
  </si>
  <si>
    <t>Lap and sub belts attachments must be located on minimum Size B tubes.</t>
  </si>
  <si>
    <t>F.2.3</t>
  </si>
  <si>
    <t>FEA is not an accepted calculation for mount failure force or any other SES equivalency.</t>
  </si>
  <si>
    <t>Each wing mount in the middle of the MHB must have a structural tube brace underneath,</t>
  </si>
  <si>
    <t>and have a detachment or failure force below the calculated buckling yield of the MHB.</t>
  </si>
  <si>
    <t>F.3.3-5</t>
  </si>
  <si>
    <t>Single fastener at each node, rotationally free.</t>
  </si>
  <si>
    <t>No failure force required.</t>
  </si>
  <si>
    <t>Mounts rearward of the MHB assembly are completely unrestricted</t>
  </si>
  <si>
    <t>B</t>
  </si>
  <si>
    <t>Mounts in the middle of the MHB or MH require a brace between the two.</t>
  </si>
  <si>
    <t>All fasteners or mounts on a side must fail simultaneously below the MHB buckling force.</t>
  </si>
  <si>
    <t>C</t>
  </si>
  <si>
    <t>Multiple fasteners within 1x outer diameter of the node.</t>
  </si>
  <si>
    <t>All but one fastener must fail simultaneously below the MHB buckling force.</t>
  </si>
  <si>
    <t>D</t>
  </si>
  <si>
    <t>Multiple fasteners along the MHB.</t>
  </si>
  <si>
    <t>Brace required between MH and MHB at rearmost fastener.</t>
  </si>
  <si>
    <t>NOT RECOMMENEDED - GUSSET MAY BE REQUIRED</t>
  </si>
  <si>
    <t>Approaches to wing detachment.</t>
  </si>
  <si>
    <t>STRONGLY PREFERRED</t>
  </si>
  <si>
    <t>All fasteners not located at the MH-MHB node must fail simultaneously below the MHB buckling force.</t>
  </si>
  <si>
    <r>
      <rPr>
        <b/>
        <sz val="11"/>
        <rFont val="Calibri"/>
        <family val="2"/>
        <scheme val="minor"/>
      </rPr>
      <t>E</t>
    </r>
    <r>
      <rPr>
        <sz val="11"/>
        <rFont val="Calibri"/>
        <family val="2"/>
        <scheme val="minor"/>
      </rPr>
      <t xml:space="preserve">nter the tightest bend on any </t>
    </r>
    <r>
      <rPr>
        <b/>
        <sz val="11"/>
        <rFont val="Calibri"/>
        <family val="2"/>
        <scheme val="minor"/>
      </rPr>
      <t>T.5-6</t>
    </r>
    <r>
      <rPr>
        <sz val="11"/>
        <rFont val="Calibri"/>
        <family val="2"/>
        <scheme val="minor"/>
      </rPr>
      <t xml:space="preserve"> tube in the chassis (usually in the MH or SH.)</t>
    </r>
  </si>
  <si>
    <t>Wing mounts should not point at the driver. In failure, try to keep outside chassis tubes.</t>
  </si>
  <si>
    <t>Strongly preferred: Locating the fuel fill tube on the opposite side of the exhaust.</t>
  </si>
  <si>
    <t>DR.3.1.2.b</t>
  </si>
  <si>
    <t>Outside rear differential carriers  may be used for diagonal equivalence.</t>
  </si>
  <si>
    <t>Lower / Diagonal SIS</t>
  </si>
  <si>
    <t>Do any regulated tubes use F.5.12 bolted connections?</t>
  </si>
  <si>
    <t>Harness tab location, dimensions, shear area</t>
  </si>
  <si>
    <t>RED ORANGE: NO. GROUNDS FOR REJECTION. CHECK ALL TABS.</t>
  </si>
  <si>
    <r>
      <rPr>
        <b/>
        <sz val="11"/>
        <color theme="7"/>
        <rFont val="Calibri"/>
        <family val="2"/>
        <scheme val="minor"/>
      </rPr>
      <t>RED ORANGE AREAS</t>
    </r>
    <r>
      <rPr>
        <sz val="11"/>
        <rFont val="Calibri"/>
        <family val="2"/>
        <scheme val="minor"/>
      </rPr>
      <t xml:space="preserve"> highlight design aspects that do not meet the rules</t>
    </r>
  </si>
  <si>
    <t>NOT RECOMMENEDED - ILLEGAL IN AUSTRALIA</t>
  </si>
  <si>
    <t>The Rear Protection must be fully triangulated back to the Upper and Lower SIS.</t>
  </si>
  <si>
    <t>the lowest point of the top surface of the Lower SIS tube, or the top of the accumulator.</t>
  </si>
  <si>
    <t>The accumulator may not be part of the firewall.</t>
  </si>
  <si>
    <t>T.1.8.5</t>
  </si>
  <si>
    <t>F.5.14</t>
  </si>
  <si>
    <t>Steering rack is inside the FBHS?</t>
  </si>
  <si>
    <t>Front Hoop (FH), Steering Protection</t>
  </si>
  <si>
    <t>Submit a comment requesting a rejection on your team's SES page on fsaeonline.com. Submissions or comments on FSAEonline.com will send a notification to your reviewer.</t>
  </si>
  <si>
    <t>June - EV</t>
  </si>
  <si>
    <t>May - IC</t>
  </si>
  <si>
    <r>
      <t xml:space="preserve">Bring an </t>
    </r>
    <r>
      <rPr>
        <b/>
        <sz val="11"/>
        <rFont val="Calibri"/>
        <family val="2"/>
        <scheme val="minor"/>
      </rPr>
      <t>ELECTRONIC</t>
    </r>
    <r>
      <rPr>
        <sz val="11"/>
        <rFont val="Calibri"/>
        <family val="2"/>
        <scheme val="minor"/>
      </rPr>
      <t xml:space="preserve"> copy of the approved SES to Tech Inspection. It is your responsibility to bring a functioning, charged tablet or laptop. Bring backups. </t>
    </r>
    <r>
      <rPr>
        <b/>
        <sz val="11"/>
        <rFont val="Calibri"/>
        <family val="2"/>
        <scheme val="minor"/>
      </rPr>
      <t>DO NOT PRINT.</t>
    </r>
  </si>
  <si>
    <t>A straight tube between the MHB is inside the rollover envelope. Head Restraints behind</t>
  </si>
  <si>
    <t>Main Hoop requires rear structure, either triangulated tubing or F.5.10, see examples G1-G5.</t>
  </si>
  <si>
    <t>F.5.3.3</t>
  </si>
  <si>
    <t>Weld caps on open ended tubes lacking inserts. Hoops are exempt. Leave weld vents.</t>
  </si>
  <si>
    <t>Double shear attachments are preferred, but only one side is measured.</t>
  </si>
  <si>
    <t>T.2.5.8</t>
  </si>
  <si>
    <t>F.5.7.2-3</t>
  </si>
  <si>
    <t>The FH runs from the lowest frame member on each side. The FH may be multiple pieces.</t>
  </si>
  <si>
    <t>F.9.1.1.</t>
  </si>
  <si>
    <t>T.5.5.4</t>
  </si>
  <si>
    <t>A single, uncut Size B hoop, attached at the MHB nodes, separate from the Head Restraint,</t>
  </si>
  <si>
    <t>F.5.8.1-2</t>
  </si>
  <si>
    <t>All bends below the Upper SIS must have an SIS or MHBS tube within 25mm.</t>
  </si>
  <si>
    <t>Top surface of HV Protection:</t>
  </si>
  <si>
    <t>Main Hoop side view direction from Upper SIS up:</t>
  </si>
  <si>
    <t>MH side view direction from Upper SIS down:</t>
  </si>
  <si>
    <t>Any holes &gt; 4mm or welded inserts in F.3.2.1 required tubes?</t>
  </si>
  <si>
    <t>https://www.nature.com/articles/nmeth.1618</t>
  </si>
  <si>
    <t>T.6.1.7</t>
  </si>
  <si>
    <t>If a billet plate replaces all three tubes, it must fully overlap the tractive side protection tubes.</t>
  </si>
  <si>
    <t>Rear Wing Mount Limit:</t>
  </si>
  <si>
    <t>MHB Max Bending Load (Sy*L*I)/(a*(L-a)*OD/2):</t>
  </si>
  <si>
    <r>
      <rPr>
        <b/>
        <sz val="11"/>
        <rFont val="Calibri"/>
        <family val="2"/>
        <scheme val="minor"/>
      </rPr>
      <t>F.3.4.2</t>
    </r>
    <r>
      <rPr>
        <sz val="11"/>
        <rFont val="Calibri"/>
        <family val="2"/>
        <scheme val="minor"/>
      </rPr>
      <t xml:space="preserve"> - Any and all steel grades are assigned the same material properties. No material properties for different steel grades may be used in the SES.</t>
    </r>
  </si>
  <si>
    <t>Steering Protection</t>
  </si>
  <si>
    <t>Example: 25.4mm x 1.2mm round</t>
  </si>
  <si>
    <t>F.6.2.3.a-b</t>
  </si>
  <si>
    <t>The Main Hoop extends, uncut, from the lowest frame member on both sides.</t>
  </si>
  <si>
    <t>F.5.8</t>
  </si>
  <si>
    <t>F.1.11</t>
  </si>
  <si>
    <t>F.7.5.3.b</t>
  </si>
  <si>
    <t>Outboard wheel motors are the exception. Cables must exit ahead of FH, behind MH.</t>
  </si>
  <si>
    <t>YouTube: 2020 ESF Document Training</t>
  </si>
  <si>
    <t>YouTube: 2019 SES Instructional Guide</t>
  </si>
  <si>
    <t>F.1.13</t>
  </si>
  <si>
    <t>Best practice: keep components below the height of the Shoulder Harness Bar.</t>
  </si>
  <si>
    <t>(S)</t>
  </si>
  <si>
    <t>Every part of the fuel system must be above the bottom tubes of the chassis.</t>
  </si>
  <si>
    <t>F.9.1.2</t>
  </si>
  <si>
    <t>F.9.2</t>
  </si>
  <si>
    <t>T.9.2.1</t>
  </si>
  <si>
    <t>T.6.1.6</t>
  </si>
  <si>
    <t>Do not delete any tabs.</t>
  </si>
  <si>
    <t>T.2.4.3.a</t>
  </si>
  <si>
    <t>Wrapping lap belts around tubes is not acceptable.</t>
  </si>
  <si>
    <t>Wing mounts and other items outside the rollover envelope could buckle the MH or MHB.</t>
  </si>
  <si>
    <t>F.6.5.3</t>
  </si>
  <si>
    <t>F.7.8.1</t>
  </si>
  <si>
    <t>F.7.8.7</t>
  </si>
  <si>
    <t>Bracket/tab to tube welding must be on both sides of the bracket/tab.</t>
  </si>
  <si>
    <t>No open ended eyebolts.</t>
  </si>
  <si>
    <t>Eyebolts, tabs, or pad eyes in plane with belts.</t>
  </si>
  <si>
    <t>may be used to extend the Head Restraint envelope. This has no effect on helmet envelopes.</t>
  </si>
  <si>
    <t>Braced Wing Mount distance to closest MHB end (a):</t>
  </si>
  <si>
    <t>Wrapped SH strongly preferred.</t>
  </si>
  <si>
    <t>Eyebolts or tabs must be in front of tube,</t>
  </si>
  <si>
    <t>in line with belts.</t>
  </si>
  <si>
    <t>Wrapping shoulder harness belts around the SH bar is strongly preferred.</t>
  </si>
  <si>
    <t>IN.1.2.2</t>
  </si>
  <si>
    <t>Rear Bulkhead (EV Only)</t>
  </si>
  <si>
    <t>Min distance from Accumulator to Rear Bulkhead?</t>
  </si>
  <si>
    <t>Rear Bulkhead Tubes Replaced:</t>
  </si>
  <si>
    <t>The billet must rest on the tubes so the fasteners carry lateral loads only, not the 120kN rear impact load.</t>
  </si>
  <si>
    <t>In rear view, a billet rear bulkhead plate must fully overlap the F.11.2.2.b chassis load paths to the SIS.</t>
  </si>
  <si>
    <t>Number of fasteners per chassis mount for the wing:</t>
  </si>
  <si>
    <t>Triangulating tubes must run to an FBHS or SIS node.</t>
  </si>
  <si>
    <t>See image F.5.9.6 for steering wheel.</t>
  </si>
  <si>
    <t>F.5.6.4.a</t>
  </si>
  <si>
    <t>F.5.6.6</t>
  </si>
  <si>
    <t>F.5.6.4.b-c</t>
  </si>
  <si>
    <t>F.11.2.1</t>
  </si>
  <si>
    <t>From the side, the accumulator must be protected with an upper tube, a lower tube,</t>
  </si>
  <si>
    <t>and a diagonal tube or tubes completely triangulating the upper and lower tubes.</t>
  </si>
  <si>
    <t>Minimum height for the top edge of the upper tube is the lower of: 265mm above</t>
  </si>
  <si>
    <t>HV components above 265mm must be inside the Rollover Protection Envelope.</t>
  </si>
  <si>
    <t>F.11.4</t>
  </si>
  <si>
    <t>Especially towards the side and rear, accumulators should maintain 25mm clearance</t>
  </si>
  <si>
    <t>to non-crushable objects. Not including mounts, but preferably including other chassis tubes.</t>
  </si>
  <si>
    <t>F.11.2.4</t>
  </si>
  <si>
    <t>From the side, all HV components must be protected with an upper tube, a lower tube,</t>
  </si>
  <si>
    <t>Tractive Side Protection, RBHS (EV Only)</t>
  </si>
  <si>
    <t>Tractive Side Protection, RBHS</t>
  </si>
  <si>
    <t>From the rear, all HV components must be protected with an upper tube, a lower tube,</t>
  </si>
  <si>
    <t>F.11.3.1</t>
  </si>
  <si>
    <t>F.11.3.1.a</t>
  </si>
  <si>
    <t>F.11.3.4</t>
  </si>
  <si>
    <t>If a billet plate replaces all three tubes, 4x 30kN, 6x 20kN or 8x 15kN mounts are required.</t>
  </si>
  <si>
    <t>F.11.3.2</t>
  </si>
  <si>
    <t>The entire top edge of the upper tube or plate must be at least 265mm above</t>
  </si>
  <si>
    <t>F.11.3.5.a</t>
  </si>
  <si>
    <t>Below the MHB, front and side Main Hoop bends must be braced in side view to node.</t>
  </si>
  <si>
    <t>F.5.6.3</t>
  </si>
  <si>
    <t>Below the FHB, front and side Front Hoop bends must be braced in side view to node.</t>
  </si>
  <si>
    <t>There are two versions of the 2025 SES: Steel Tube and Monocoque/Hybrid/Non-Ferrous.</t>
  </si>
  <si>
    <t>F.5.11.6</t>
  </si>
  <si>
    <t>F.5.11 External Items:</t>
  </si>
  <si>
    <t>Spec sheet for fasteners / eyebolts.</t>
  </si>
  <si>
    <t>Please respond quickly and thoroughly to requests for revisions or clarifications. Response time influences Tech Inspection order. New review: Clock starts. Submit: Clock stops.</t>
  </si>
  <si>
    <t>RB</t>
  </si>
  <si>
    <t>Rear Bulkhead</t>
  </si>
  <si>
    <t>RBHS</t>
  </si>
  <si>
    <t>Rear Bulkhead Support</t>
  </si>
  <si>
    <t>FEA is not an accepted calculation for any SES equivalency.</t>
  </si>
  <si>
    <r>
      <t xml:space="preserve">sections on </t>
    </r>
    <r>
      <rPr>
        <b/>
        <sz val="11"/>
        <color theme="1"/>
        <rFont val="Calibri"/>
        <family val="2"/>
        <scheme val="minor"/>
      </rPr>
      <t xml:space="preserve">ALL TABS. </t>
    </r>
    <r>
      <rPr>
        <sz val="11"/>
        <color theme="1"/>
        <rFont val="Calibri"/>
        <family val="2"/>
        <scheme val="minor"/>
      </rPr>
      <t>Start with any drop downs in the top left corner of each tab.</t>
    </r>
  </si>
  <si>
    <r>
      <rPr>
        <b/>
        <sz val="11"/>
        <color theme="1"/>
        <rFont val="Calibri"/>
        <family val="2"/>
        <scheme val="minor"/>
      </rPr>
      <t xml:space="preserve">Note: </t>
    </r>
    <r>
      <rPr>
        <sz val="11"/>
        <color theme="1"/>
        <rFont val="Calibri"/>
        <family val="2"/>
        <scheme val="minor"/>
      </rPr>
      <t>The minimum second moment and the minimum cross sectional area might not be in the same place.</t>
    </r>
  </si>
  <si>
    <t>Match composite testing tabs and material list names.
Properties auto-populate.
No need to use "F.4.3 Composite" in the name.</t>
  </si>
  <si>
    <t>F.10.4.4</t>
  </si>
  <si>
    <t>FOR ACCUMULATORS LOCATED BEHIND THE DRIVER, NO AIRFLOW OPENINGS ARE PERMITTED IN THE FRONT OR TOP.</t>
  </si>
  <si>
    <r>
      <rPr>
        <b/>
        <sz val="11"/>
        <rFont val="Calibri"/>
        <family val="2"/>
        <scheme val="minor"/>
      </rPr>
      <t>Section 3: Mount attachment to the accumulator container.</t>
    </r>
    <r>
      <rPr>
        <sz val="11"/>
        <rFont val="Calibri"/>
        <family val="2"/>
        <scheme val="minor"/>
      </rPr>
      <t xml:space="preserve"> If the mount sticks out from the accumulator, the mount</t>
    </r>
  </si>
  <si>
    <t>Material</t>
  </si>
  <si>
    <t>FEA is not accepted anywhere</t>
  </si>
  <si>
    <t>75% OF EACH SEGMENT FACE MUST BE COVERED. HOLE PATTERNS ARE ENCOURAGED. LARGE HOLES ARE DISCOURAGED.</t>
  </si>
  <si>
    <t>itself has to attach to the accumulator skin. It may be bolted, bonded, welded, or continuous material. (AA100)</t>
  </si>
  <si>
    <t>Steel Unwelded</t>
  </si>
  <si>
    <t>in the SES or Tech Inspection.</t>
  </si>
  <si>
    <t>SLOTS FOR AIRFLOW ARE PROHIBITED</t>
  </si>
  <si>
    <t>Chassis mount sections are broken into four subsections.</t>
  </si>
  <si>
    <t>Steel Welded</t>
  </si>
  <si>
    <t>F.10.5.6.a</t>
  </si>
  <si>
    <t>For accumulator mounting, the SES considers the accumulator segments as one solid block. Most likely, your</t>
  </si>
  <si>
    <r>
      <rPr>
        <b/>
        <sz val="11"/>
        <rFont val="Calibri"/>
        <family val="2"/>
        <scheme val="minor"/>
      </rPr>
      <t>Section 4: Main accumulator fastener to chassis.</t>
    </r>
    <r>
      <rPr>
        <sz val="11"/>
        <rFont val="Calibri"/>
        <family val="2"/>
        <scheme val="minor"/>
      </rPr>
      <t xml:space="preserve"> Same ideas as Section 1, just on the chassis side instead of the</t>
    </r>
  </si>
  <si>
    <t>SEE GUIDANCE IMAGES TO THE LEFT IN COLUMN DR</t>
  </si>
  <si>
    <t>6061-T6 Unwelded</t>
  </si>
  <si>
    <t>segments are basically rectangular. Most likely, all the segments in the accumulator form a larger rectangle. (EXAMPLE K2)</t>
  </si>
  <si>
    <t>accumulator side. How far does the mount stick out from the chassis at the point where the fastener is in shear?</t>
  </si>
  <si>
    <t>6061-T6 Welded</t>
  </si>
  <si>
    <r>
      <t xml:space="preserve">If it's not a rectangle, </t>
    </r>
    <r>
      <rPr>
        <b/>
        <sz val="11"/>
        <rFont val="Calibri"/>
        <family val="2"/>
        <scheme val="minor"/>
      </rPr>
      <t>structure may be added to make it rectangular</t>
    </r>
    <r>
      <rPr>
        <sz val="11"/>
        <rFont val="Calibri"/>
        <family val="2"/>
        <scheme val="minor"/>
      </rPr>
      <t>, or maybe it's an L-shape made of two rectangles.</t>
    </r>
  </si>
  <si>
    <t>Note: Fastener shear should be identical to the accumulator section, since it's the same fastener/fasteners.</t>
  </si>
  <si>
    <t>Other Unwelded</t>
  </si>
  <si>
    <t>Core</t>
  </si>
  <si>
    <t>Outer</t>
  </si>
  <si>
    <t>Inner</t>
  </si>
  <si>
    <t>F.10.5.5</t>
  </si>
  <si>
    <t>Start by imagining the segments as a block with planar surfaces. We encourage you to engineer the accumulator</t>
  </si>
  <si>
    <t>Mounts using welded inserts on the centerline of Size B tubes automatically meet a 15kN load requirement.</t>
  </si>
  <si>
    <t>Other Welded</t>
  </si>
  <si>
    <r>
      <t xml:space="preserve">and chassis for </t>
    </r>
    <r>
      <rPr>
        <b/>
        <sz val="11"/>
        <rFont val="Calibri"/>
        <family val="2"/>
        <scheme val="minor"/>
      </rPr>
      <t>F.10.5.6</t>
    </r>
    <r>
      <rPr>
        <sz val="11"/>
        <rFont val="Calibri"/>
        <family val="2"/>
        <scheme val="minor"/>
      </rPr>
      <t xml:space="preserve"> corner attachment. Due to better moment reaction with mounts at all corners, the required</t>
    </r>
  </si>
  <si>
    <t>F.10.5.2.b</t>
  </si>
  <si>
    <t>MOUNTS PROHIBITED ON SH, MHB, AND PORTIONS OF MH ABOVE TRIANGULATED SIDE STRUCTURE.</t>
  </si>
  <si>
    <t>Doubled skin must repeat whole layup.
Scroll up if Layup Used blank.</t>
  </si>
  <si>
    <t>RENAME F.4.3 Composite</t>
  </si>
  <si>
    <r>
      <t xml:space="preserve">test load for corner attachment mounts is reduced compared to </t>
    </r>
    <r>
      <rPr>
        <b/>
        <sz val="11"/>
        <color theme="1"/>
        <rFont val="Calibri"/>
        <family val="2"/>
        <scheme val="minor"/>
      </rPr>
      <t>F.10.5.7</t>
    </r>
    <r>
      <rPr>
        <sz val="11"/>
        <color theme="1"/>
        <rFont val="Calibri"/>
        <family val="2"/>
        <scheme val="minor"/>
      </rPr>
      <t xml:space="preserve"> load based attachment. (EXAMPLE K2)</t>
    </r>
  </si>
  <si>
    <t>Tall packs will also have more difficulty passing the tilt test, IN.9.2.2.</t>
  </si>
  <si>
    <t>Show accumulator / frame with all mounts.</t>
  </si>
  <si>
    <t>Show accumulator / frame mounts.</t>
  </si>
  <si>
    <t>Accumulator mount sections are broken into three subsections.</t>
  </si>
  <si>
    <t>IDEALLY, CHASSIS TUBES AND NON-CRUSHABLE OBJECTS HAVE 25mm CLEARANCE TO ANY CELLS.</t>
  </si>
  <si>
    <t>F.10.5.6.b</t>
  </si>
  <si>
    <t>Section 1: Main accumulator fastener location and fastener interaction with mount. Use 0 for internal hardpoints.</t>
  </si>
  <si>
    <t>IDEALLY, ACCUMULATOR AND CHASSIS MOUNTS HAVE THE LOWEST OFFSET AND BENDING POSSIBLE.</t>
  </si>
  <si>
    <t>Identify mounts by corresponding number / corner name.</t>
  </si>
  <si>
    <t>Show fastener bending distances from segments.</t>
  </si>
  <si>
    <t>Where the fastener is in shear, at the centerpoint, what is the minimum distance to the block representation of the</t>
  </si>
  <si>
    <r>
      <rPr>
        <b/>
        <sz val="11"/>
        <rFont val="Calibri"/>
        <family val="2"/>
        <scheme val="minor"/>
      </rPr>
      <t>Section 5: For a tube frame section, a bending check on the tubes themselves.</t>
    </r>
    <r>
      <rPr>
        <sz val="11"/>
        <rFont val="Calibri"/>
        <family val="2"/>
        <scheme val="minor"/>
      </rPr>
      <t xml:space="preserve"> For 2025, the SES committee will not</t>
    </r>
  </si>
  <si>
    <t>segments in the X, Y, and Z views? "Outside" shows where the mount is sticking out. (In front, to the left, above, etc.)</t>
  </si>
  <si>
    <t>be overly concerned with accumulator tube CHECK values if the rest of the design is reasonable. It was included to</t>
  </si>
  <si>
    <t>All walls must maintain 75% area, holes &lt; 10mm each.</t>
  </si>
  <si>
    <t>Show fastener bending distances from chassis.</t>
  </si>
  <si>
    <t>Any "outside" measurements count towards AA65, "Total Surface Offset", which is the minimum lever distance from the</t>
  </si>
  <si>
    <t>help student teams consider whether there could be a better location for their chassis-side mounts. Rather than</t>
  </si>
  <si>
    <t>fastener shear plane to the block representation of the accumulator. Any "between" measurement is where the mount</t>
  </si>
  <si>
    <t>randomly placing one or more high load requirements in the middle of a span. And hopefully take any reasonable steps</t>
  </si>
  <si>
    <t>is between two planes. Also in this section: Checks for fastener shear, pullout, and tearout from the accumulator side.</t>
  </si>
  <si>
    <t>for improvement. Designing a strong mount without paying attention to the underlying structure is not good engineering.</t>
  </si>
  <si>
    <r>
      <rPr>
        <b/>
        <sz val="11"/>
        <rFont val="Calibri"/>
        <family val="2"/>
        <scheme val="minor"/>
      </rPr>
      <t>Section 2: Geometry to react bending moments.</t>
    </r>
    <r>
      <rPr>
        <sz val="11"/>
        <rFont val="Calibri"/>
        <family val="2"/>
        <scheme val="minor"/>
      </rPr>
      <t xml:space="preserve"> If the mount is sticking out, it has to have sufficient bending strength.</t>
    </r>
  </si>
  <si>
    <t>F.10.5.2.a</t>
  </si>
  <si>
    <t>MAXIMUM OF TWO MOUNTS ON A CHASSIS TUBE BETWEEN TWO TRIANGULATED NODES.</t>
  </si>
  <si>
    <t>Examples to the right show how to find the measurements for sections, using the footprint of the mount on the skin.</t>
  </si>
  <si>
    <t>Section 6: Geometry to react bending moments, same ideas as Section 2.</t>
  </si>
  <si>
    <t>Sufficient bending strength is needed for the fastener trying to move around its axis, gusset thickness parallel to the shear plane.</t>
  </si>
  <si>
    <t>Section 7: Mount attachment to chassis, same ideas as section 3.</t>
  </si>
  <si>
    <t>Composite teams: Enter tab names for materials used.</t>
  </si>
  <si>
    <t>Sufficient bending strength is needed for the fastener trying to move ALONG its axis, gusset thickness parallel to the axis.</t>
  </si>
  <si>
    <t>If the mount sticks out from the chassis, the mount itself has to attach to the chassis skin.</t>
  </si>
  <si>
    <t>Low Est</t>
  </si>
  <si>
    <t>High Est</t>
  </si>
  <si>
    <t>Cell Mass</t>
  </si>
  <si>
    <t>Total mass of all segments:</t>
  </si>
  <si>
    <t>F.10.5.6-7</t>
  </si>
  <si>
    <t>Mounting Method:</t>
  </si>
  <si>
    <t>All mounts on an accumulator, even if identical, need to be entered into the SES.</t>
  </si>
  <si>
    <t>Total accumulator mass:</t>
  </si>
  <si>
    <t>Test Load:</t>
  </si>
  <si>
    <t>Identical mounts for multiple packs only need to be entered once.</t>
  </si>
  <si>
    <t>F.10.5.6</t>
  </si>
  <si>
    <t>Corner attachment test load:</t>
  </si>
  <si>
    <t>each</t>
  </si>
  <si>
    <t>Accumulator mount symmetry:</t>
  </si>
  <si>
    <t>This will change the names of sections.</t>
  </si>
  <si>
    <t>Nearly identical mounts (or if repeated across multiple packs) should be entered as highest offset, smallest brace.</t>
  </si>
  <si>
    <t>F.10.5.7</t>
  </si>
  <si>
    <t>Mass based min attachment number:</t>
  </si>
  <si>
    <t>Chassis mount symmetry:</t>
  </si>
  <si>
    <t>For asymmetric packs, more than 10 mounts, or removable subframes: Right click and make a copy of this tab.</t>
  </si>
  <si>
    <t>SEE GUIDANCE IMAGES IN COLUMN DR</t>
  </si>
  <si>
    <t>Segment cross sections required.</t>
  </si>
  <si>
    <t>Segment arrangement CAD required.</t>
  </si>
  <si>
    <t>Accumulator Mount 5</t>
  </si>
  <si>
    <t>Chassis Mount 5</t>
  </si>
  <si>
    <t>Include all dimensions entered below.</t>
  </si>
  <si>
    <t>Segment top view structural cross section.</t>
  </si>
  <si>
    <t>Segment front view structural cross section.</t>
  </si>
  <si>
    <t>Lateral cross sections at attachment points.</t>
  </si>
  <si>
    <t>Segment side view structural cross section.</t>
  </si>
  <si>
    <t>Longitudinal cross sections at attachment points.</t>
  </si>
  <si>
    <t>If symmetric, only one lateral and longitudinal section cut showing half of the attachments is needed.</t>
  </si>
  <si>
    <t>If the section through the mounts does not intersect the segments, provide the accumulator cross sections at the segment ends.</t>
  </si>
  <si>
    <t>Accumulator Segments</t>
  </si>
  <si>
    <t>Accumulator Container</t>
  </si>
  <si>
    <t>Clear entry cells if unused.</t>
  </si>
  <si>
    <t>The segment structures carry the load to the accumulator container and mounts.</t>
  </si>
  <si>
    <t>Structure may be added between or around segments to define a rectangular structure.</t>
  </si>
  <si>
    <t>ACCUMULATOR MOUNT: Where fastener passes through to Chassis Mount</t>
  </si>
  <si>
    <t>CHASSIS MOUNT: Where fastener passes through to Accumulator Mount</t>
  </si>
  <si>
    <t>This information will help develop FSAE standards for accumulator and segment internal structure.</t>
  </si>
  <si>
    <t>A 1-tube thick exoskeleton with a direct load path around the perimeter of the assembled segments may be used to define the structural limits and corners.</t>
  </si>
  <si>
    <t>Segment installation is generally assumed to increase the strength of containers.</t>
  </si>
  <si>
    <t>Intersection of fastener axis and fastener shear plane.</t>
  </si>
  <si>
    <t>EV.2.1</t>
  </si>
  <si>
    <r>
      <rPr>
        <b/>
        <sz val="11"/>
        <rFont val="Calibri"/>
        <family val="2"/>
        <scheme val="minor"/>
      </rPr>
      <t>A</t>
    </r>
    <r>
      <rPr>
        <sz val="11"/>
        <rFont val="Calibri"/>
        <family val="2"/>
        <scheme val="minor"/>
      </rPr>
      <t>dditional documentation is required in the ESF.</t>
    </r>
  </si>
  <si>
    <t>A subframe may be used to bring nodes to the accumulator if the tubes meet F.3.4</t>
  </si>
  <si>
    <t>Outside</t>
  </si>
  <si>
    <t>the front/rear planes of the accumulator segments:</t>
  </si>
  <si>
    <t>Review sections below: mounts per tube, bending if fastener shear is offset.</t>
  </si>
  <si>
    <t>the top/bottom planes of the accumulator segments:</t>
  </si>
  <si>
    <t>Offset from composite panel or radially from tube surface:</t>
  </si>
  <si>
    <t>the left/right planes of the accumulator segments:</t>
  </si>
  <si>
    <t>Cell type:</t>
  </si>
  <si>
    <t>EV.4.3.5-7</t>
  </si>
  <si>
    <t>Total Surface Offset, zero for an internal hardpoint:</t>
  </si>
  <si>
    <t>Young's Modulus (E):</t>
  </si>
  <si>
    <t>Maximum Voltage:</t>
  </si>
  <si>
    <t>V</t>
  </si>
  <si>
    <t>Any opening, including pressure relief valves, must face away from the driver.</t>
  </si>
  <si>
    <t>Mount material (Accumulator skin if directly mounted):</t>
  </si>
  <si>
    <t>Ultimate Tensile and Bending Strength (S):</t>
  </si>
  <si>
    <t>Cell mass:</t>
  </si>
  <si>
    <t>g</t>
  </si>
  <si>
    <t>Shear:</t>
  </si>
  <si>
    <t>Nominal Capacity:</t>
  </si>
  <si>
    <t>mAh</t>
  </si>
  <si>
    <t>F.10.2.1</t>
  </si>
  <si>
    <t>MINIMUM ACCUMULATOR FLOOR</t>
  </si>
  <si>
    <t>--Pullout--Face thickness, do not include core:</t>
  </si>
  <si>
    <t>Maximum segment cells in series:</t>
  </si>
  <si>
    <t>--Tearout--Minimum - Fastener spacing, edge, or corner distance:</t>
  </si>
  <si>
    <t>Maximum segment cells in parallel:</t>
  </si>
  <si>
    <t>F.10.4.3</t>
  </si>
  <si>
    <t>All segment floor sections &gt;= 75% area:</t>
  </si>
  <si>
    <t>From</t>
  </si>
  <si>
    <t>Number of fasteners used (2x if in double shear):</t>
  </si>
  <si>
    <t>EV.5.1.2</t>
  </si>
  <si>
    <t>Maximum segment voltage:</t>
  </si>
  <si>
    <t>Accumulator Floor Construction:</t>
  </si>
  <si>
    <t>Fastener shear diameter:</t>
  </si>
  <si>
    <t>Maximum segment capacity:</t>
  </si>
  <si>
    <t>MJ</t>
  </si>
  <si>
    <t>Steel: 1.25mm (0.049in), Aluminum: 3.2mm (.125in):</t>
  </si>
  <si>
    <t>Threads in shear:</t>
  </si>
  <si>
    <t>Number of segments in series</t>
  </si>
  <si>
    <t>Material Used:</t>
  </si>
  <si>
    <t>Fastener UTS:</t>
  </si>
  <si>
    <t>Number of segments in parallel:</t>
  </si>
  <si>
    <t>Panel thickness:</t>
  </si>
  <si>
    <t>--Pullout--Min total perimeter of washers or inserts on one surface:</t>
  </si>
  <si>
    <t>EV.3.3.2</t>
  </si>
  <si>
    <t>Maximum accumulator voltage:</t>
  </si>
  <si>
    <t>F.4.3.2.d</t>
  </si>
  <si>
    <t>50% &lt; Core &lt; 100%:</t>
  </si>
  <si>
    <t>Core thickness:</t>
  </si>
  <si>
    <t>--Shear--0.577*fasteners*UTS*pi*r^2 &gt;= Test Load:</t>
  </si>
  <si>
    <t>Maximum accumulator capacity:</t>
  </si>
  <si>
    <t>kWh</t>
  </si>
  <si>
    <t>Scaling option, layup repeats:</t>
  </si>
  <si>
    <t>Outer skin thickness:</t>
  </si>
  <si>
    <t>--Pullout--Mount shear*thickness*perimeter &gt;= Test Load:</t>
  </si>
  <si>
    <t>Inner skin thickness:</t>
  </si>
  <si>
    <t>--Tearout--Mount shear*thickness*edge distance &gt;= Test Load:</t>
  </si>
  <si>
    <t>Flat Panel Properties</t>
  </si>
  <si>
    <t>Accumulator, number of segments high:</t>
  </si>
  <si>
    <t>Outer (b)</t>
  </si>
  <si>
    <r>
      <t>A</t>
    </r>
    <r>
      <rPr>
        <vertAlign val="subscript"/>
        <sz val="11"/>
        <rFont val="Calibri"/>
        <family val="2"/>
        <scheme val="minor"/>
      </rPr>
      <t>1</t>
    </r>
  </si>
  <si>
    <r>
      <t>I</t>
    </r>
    <r>
      <rPr>
        <vertAlign val="subscript"/>
        <sz val="11"/>
        <rFont val="Calibri"/>
        <family val="2"/>
        <scheme val="minor"/>
      </rPr>
      <t>1</t>
    </r>
  </si>
  <si>
    <t>TUBE CHECK: &lt; 95% not a cause for rejection in 2025. See cell AC12.</t>
  </si>
  <si>
    <t>Accumulator, number of segments wide:</t>
  </si>
  <si>
    <t>Outer (h)</t>
  </si>
  <si>
    <r>
      <t>A</t>
    </r>
    <r>
      <rPr>
        <vertAlign val="subscript"/>
        <sz val="11"/>
        <rFont val="Calibri"/>
        <family val="2"/>
        <scheme val="minor"/>
      </rPr>
      <t>2</t>
    </r>
  </si>
  <si>
    <r>
      <t>I</t>
    </r>
    <r>
      <rPr>
        <vertAlign val="subscript"/>
        <sz val="11"/>
        <rFont val="Calibri"/>
        <family val="2"/>
        <scheme val="minor"/>
      </rPr>
      <t>2</t>
    </r>
  </si>
  <si>
    <t>Thread pullout min(UTS)*face_thickness*pi()*minor_r^2:</t>
  </si>
  <si>
    <t>Accumulator, number of segments long:</t>
  </si>
  <si>
    <t>Thickness</t>
  </si>
  <si>
    <r>
      <t>y</t>
    </r>
    <r>
      <rPr>
        <vertAlign val="subscript"/>
        <sz val="11"/>
        <rFont val="Calibri"/>
        <family val="2"/>
        <scheme val="minor"/>
      </rPr>
      <t>1</t>
    </r>
  </si>
  <si>
    <r>
      <t>Ic</t>
    </r>
    <r>
      <rPr>
        <vertAlign val="subscript"/>
        <sz val="11"/>
        <rFont val="Calibri"/>
        <family val="2"/>
        <scheme val="minor"/>
      </rPr>
      <t>1</t>
    </r>
  </si>
  <si>
    <t>Chassis type at mount:</t>
  </si>
  <si>
    <t>S x P =</t>
  </si>
  <si>
    <t>L x W x H =</t>
  </si>
  <si>
    <t>Inner (b)</t>
  </si>
  <si>
    <r>
      <t>y</t>
    </r>
    <r>
      <rPr>
        <vertAlign val="subscript"/>
        <sz val="11"/>
        <rFont val="Calibri"/>
        <family val="2"/>
        <scheme val="minor"/>
      </rPr>
      <t>2</t>
    </r>
  </si>
  <si>
    <r>
      <t>Ic</t>
    </r>
    <r>
      <rPr>
        <vertAlign val="subscript"/>
        <sz val="11"/>
        <rFont val="Calibri"/>
        <family val="2"/>
        <scheme val="minor"/>
      </rPr>
      <t>2</t>
    </r>
  </si>
  <si>
    <t>MOUNT GEOMETRY - ACCUMULATOR SIDE</t>
  </si>
  <si>
    <t>F.10.2.3.c</t>
  </si>
  <si>
    <t>Maximum segment mass &lt;=12kg (26.4lbs):</t>
  </si>
  <si>
    <t>Inner (h)</t>
  </si>
  <si>
    <t>Centroid</t>
  </si>
  <si>
    <r>
      <t>Ic</t>
    </r>
    <r>
      <rPr>
        <vertAlign val="subscript"/>
        <sz val="11"/>
        <rFont val="Calibri"/>
        <family val="2"/>
        <scheme val="minor"/>
      </rPr>
      <t>12</t>
    </r>
  </si>
  <si>
    <t>Baseline Steel</t>
  </si>
  <si>
    <t>Mount cross section on accumulator skin:</t>
  </si>
  <si>
    <t>Chassis tube wall, Size B required:</t>
  </si>
  <si>
    <t>Thickness:</t>
  </si>
  <si>
    <t>Number of chassis mounts on this tube:</t>
  </si>
  <si>
    <t>Cross sectional area (A):</t>
  </si>
  <si>
    <t>Ultimate Strength (Su):</t>
  </si>
  <si>
    <t>Accumulator total front to rear length:</t>
  </si>
  <si>
    <t>Second moment of inertia (I):</t>
  </si>
  <si>
    <t>Acc Mount Tube second moment of inertia (I), Size B required:</t>
  </si>
  <si>
    <t>Accumulator total left to right width:</t>
  </si>
  <si>
    <t>Tube Length (L):</t>
  </si>
  <si>
    <t>Accumulator total bottom to top height:</t>
  </si>
  <si>
    <t>Chassis mount distance to closest triangulated node (a):</t>
  </si>
  <si>
    <t>Non-segment volumes must be included in mount offset, rows 61-63.</t>
  </si>
  <si>
    <t>Do not mount to non-segment volumes.</t>
  </si>
  <si>
    <t>Buckling Modulus</t>
  </si>
  <si>
    <t xml:space="preserve"> E_1*I_1 &lt;= E_2*I_2:</t>
  </si>
  <si>
    <t>Parabolic shear 3*Test Load/2*area &lt;= Shear:</t>
  </si>
  <si>
    <t>https://engineeringlibrary.org/reference/beam-forces-moments-air-force-stress-manual</t>
  </si>
  <si>
    <t>UTS</t>
  </si>
  <si>
    <t>S_1*A_1 &lt;= S_2*A_2:</t>
  </si>
  <si>
    <t>Bending</t>
  </si>
  <si>
    <t>4*S_1*I_1/r &lt;= 4*S_2*I_2/r:</t>
  </si>
  <si>
    <t>ACCUMULATOR MOUNT :: Accumulator Skin interface</t>
  </si>
  <si>
    <t>MOUNT GEOMETRY - CHASSIS SIDE</t>
  </si>
  <si>
    <t>Number of columns in minimum top view cross section:</t>
  </si>
  <si>
    <t>Deflection</t>
  </si>
  <si>
    <t>Bending_1/(48*EI):</t>
  </si>
  <si>
    <t>Column length (L):</t>
  </si>
  <si>
    <t>Energy</t>
  </si>
  <si>
    <t>0.5*Bending^2/(48*EI):</t>
  </si>
  <si>
    <t>Accumulator skin at accumulator mount:</t>
  </si>
  <si>
    <t>Mount cross section on chassis surface:</t>
  </si>
  <si>
    <t>Top view cross section of minimum column (A):</t>
  </si>
  <si>
    <t>Shear</t>
  </si>
  <si>
    <t>Shear x Thickness:</t>
  </si>
  <si>
    <t>Top view MOI of minimum column (I):</t>
  </si>
  <si>
    <t>Column material:</t>
  </si>
  <si>
    <t>F.10.2.2</t>
  </si>
  <si>
    <t>MINIMUM ACCUMULATOR WALLS</t>
  </si>
  <si>
    <t>F.10.3.1.c</t>
  </si>
  <si>
    <t>Vertical acceleration 20*mass*segments_high:</t>
  </si>
  <si>
    <t>All segment wall sections &gt;= 75% area:</t>
  </si>
  <si>
    <t>F.10.5.8.b</t>
  </si>
  <si>
    <t>Minimum Wall Construction:</t>
  </si>
  <si>
    <t>Steel</t>
  </si>
  <si>
    <t>Number of columns in minimum side view cross section:</t>
  </si>
  <si>
    <t>Steel: 0.90mm (0.035in), Aluminum: 2.3mm (0.090in):</t>
  </si>
  <si>
    <t>Column length:</t>
  </si>
  <si>
    <t>Side view cross section of minimum column:</t>
  </si>
  <si>
    <t>Chassis Mount to Chassis interface</t>
  </si>
  <si>
    <t>Side view MOI of minimum column:</t>
  </si>
  <si>
    <t>Chassis wall at chassis mount:</t>
  </si>
  <si>
    <t>F.10.3.1.b</t>
  </si>
  <si>
    <t>Lateral acceleration 40*mass*segments_wide:</t>
  </si>
  <si>
    <t>Number of columns in minimum front view cross section:</t>
  </si>
  <si>
    <t>F.10.1.5</t>
  </si>
  <si>
    <t>F.10.3.1.a</t>
  </si>
  <si>
    <t>Longitudinal acceleration 40*mass*segments_long:</t>
  </si>
  <si>
    <t>F.5.5.3</t>
  </si>
  <si>
    <t>F.10.3.2</t>
  </si>
  <si>
    <t>Segment removal from container:</t>
  </si>
  <si>
    <t>Minimum fastener diameter (minor if threads in shear):</t>
  </si>
  <si>
    <t>Fastener material:</t>
  </si>
  <si>
    <t>UTS (Su):</t>
  </si>
  <si>
    <t>FASTENER AND MATERIAL DATA SHEETS BELOW</t>
  </si>
  <si>
    <t>MINIMUM ACCUMULATOR COVER/LID</t>
  </si>
  <si>
    <t>All segment cover sections &gt;= 75% area:</t>
  </si>
  <si>
    <t>Accumulator Lid:</t>
  </si>
  <si>
    <t>Segments, Container, Attachments</t>
  </si>
  <si>
    <t>Container material:</t>
  </si>
  <si>
    <t>F.10.2.3</t>
  </si>
  <si>
    <t>Vertical wall joining method:</t>
  </si>
  <si>
    <t>Fasteners must pass through both skins of a sandwich panel.</t>
  </si>
  <si>
    <t>E, Sy, Su, Sy-Weld, Su-Weld</t>
  </si>
  <si>
    <t>Paste in IA data from test below:</t>
  </si>
  <si>
    <t>Paste in COMPOSITE AIP</t>
  </si>
  <si>
    <t>6061-T6</t>
  </si>
  <si>
    <t>It is acceptable to resample the data</t>
  </si>
  <si>
    <t>data from test below:</t>
  </si>
  <si>
    <t>at a lower frequency to reduce the</t>
  </si>
  <si>
    <t>It is acceptable to resample</t>
  </si>
  <si>
    <t>Insert Test Pictures - may be added below:</t>
  </si>
  <si>
    <t xml:space="preserve">number of datapoints. </t>
  </si>
  <si>
    <t>the data at a lower frequency.</t>
  </si>
  <si>
    <t>(a.) IA and FB test fixture before the test (F.8.7.4.d) which also shows the method of spacing AIP at least 50mm from any rigid structure (F.8.7.6.c)</t>
  </si>
  <si>
    <t>S_Yield</t>
  </si>
  <si>
    <t>MAX</t>
  </si>
  <si>
    <t>AVERAGE</t>
  </si>
  <si>
    <t>S_Ultimate</t>
  </si>
  <si>
    <t>Insert Pictures - may be added left or below:</t>
  </si>
  <si>
    <t>Sy-Weld</t>
  </si>
  <si>
    <t>Insert Pictures - continued:</t>
  </si>
  <si>
    <t>Insert measurement of IA front top edge height.</t>
  </si>
  <si>
    <t>Disp.</t>
  </si>
  <si>
    <t>Force</t>
  </si>
  <si>
    <t>Weighted</t>
  </si>
  <si>
    <t>Su-Weld</t>
  </si>
  <si>
    <t>(a.) Standard Impact Attenuator Receipt</t>
  </si>
  <si>
    <t>J</t>
  </si>
  <si>
    <t>Critical Steel Comparison</t>
  </si>
  <si>
    <t>(d.) Wing Detachment Material Properites</t>
  </si>
  <si>
    <t>Front Bulkhead CAD with dimensions required.</t>
  </si>
  <si>
    <t>Su</t>
  </si>
  <si>
    <t>Shear Dimensions</t>
  </si>
  <si>
    <t>Annually tested items must be</t>
  </si>
  <si>
    <t>(b.) Adhesive Material Properties - 
Indicate selected value, include units conversion</t>
  </si>
  <si>
    <t>Include skin and core thickness, height, depth, and moment of inertia.</t>
  </si>
  <si>
    <t>(b. ) IA, Anti-Intrusion Plate after the IA test (F.8.7.4.d) which shows the deflection was less than 25.4mm (F.8.7.6.d)</t>
  </si>
  <si>
    <t>Do not count holes as part of the area.</t>
  </si>
  <si>
    <t>Show 25mm gap to pedal assembly.</t>
  </si>
  <si>
    <t>permanently marked with the date.</t>
  </si>
  <si>
    <t>(e.) Other Wing Detachment Calculations
(if not using standard fastener shear)</t>
  </si>
  <si>
    <t>Even with precrush, honeycomb bond area is</t>
  </si>
  <si>
    <t>Tested items must be presented during</t>
  </si>
  <si>
    <t>Pedal attachments preferably &gt;25mm behind FB.</t>
  </si>
  <si>
    <t>(c.) Composite Material Receipts
(if not already on 3-Point test tab)</t>
  </si>
  <si>
    <t>usually &lt;50% of the face.</t>
  </si>
  <si>
    <t>Technical Inspection.</t>
  </si>
  <si>
    <t>(c.) IA / AIP Force Displacement Curve</t>
  </si>
  <si>
    <t>https://www.fsaeonline.com/cdsweb/rqa/ViewFAQ.aspx?faqnum=368</t>
  </si>
  <si>
    <t>FB compares the minimum horizontal or vertical panel to two tubes (plus diagonal if required.)</t>
  </si>
  <si>
    <t>F.8.7.3</t>
  </si>
  <si>
    <t>F.5.5.2</t>
  </si>
  <si>
    <t>Provide IA receipt and material properties documents above or below.</t>
  </si>
  <si>
    <t>Additional images or calculations may be placed below each section.</t>
  </si>
  <si>
    <t>If additional images are necessary, they may be placed below each section.</t>
  </si>
  <si>
    <t>Attenuator and Diagonal</t>
  </si>
  <si>
    <t>Anti-Intrusion Plate</t>
  </si>
  <si>
    <t>IA Attachment, Wing Detachment</t>
  </si>
  <si>
    <t>Front Bulkhead, Composite Diagonal</t>
  </si>
  <si>
    <t>AIP and Diagonal Attachment</t>
  </si>
  <si>
    <t>Physical Test Fixture Guidance</t>
  </si>
  <si>
    <t>Physical Tests</t>
  </si>
  <si>
    <t>F.8.5.2</t>
  </si>
  <si>
    <t>Foam and honeycomb attenuators must be bonded to the AIP.</t>
  </si>
  <si>
    <t>F.8.6.3</t>
  </si>
  <si>
    <t>A 25mm gap is required between the AIP + FB + Diagonal and the pedal assembly.</t>
  </si>
  <si>
    <t>F.8.2.2</t>
  </si>
  <si>
    <t>A welded AIP must reach tube centerlines. Any other AIP must match the bulkhead perimeter.</t>
  </si>
  <si>
    <t>F.8.8.6.b</t>
  </si>
  <si>
    <t>The tested IA must be attached to a structurally representative section of the chassis.</t>
  </si>
  <si>
    <t>F.8.4.3.b</t>
  </si>
  <si>
    <t>Teams may use quasi-static or dynamic testing on the Impact Attenuator tab to prove</t>
  </si>
  <si>
    <t>The entire attenuator face must be bonded with adhesive suitable for both materials.</t>
  </si>
  <si>
    <t>F.8.2.3.b</t>
  </si>
  <si>
    <t>Anti Intrusion Plates bolted through welded inserts on the centerline of Size B tubes</t>
  </si>
  <si>
    <t>the AI plate deflects less than 25mm without a diagonal.</t>
  </si>
  <si>
    <t>F.6.1</t>
  </si>
  <si>
    <r>
      <t xml:space="preserve">automatically meet the 15kN load requirement. </t>
    </r>
    <r>
      <rPr>
        <b/>
        <sz val="11"/>
        <rFont val="Calibri"/>
        <family val="2"/>
        <scheme val="minor"/>
      </rPr>
      <t>The centerline method is strongly preferred.</t>
    </r>
  </si>
  <si>
    <t>F.8.4.3</t>
  </si>
  <si>
    <t xml:space="preserve">A Standard Foam Attenuator may be oriented horizontally or vertically. </t>
  </si>
  <si>
    <t>Honeycomb attenuators must be glued on a pre-crushed side. Do not count area of holes.</t>
  </si>
  <si>
    <t>F.8.2.3.c</t>
  </si>
  <si>
    <t>Bonding is legal for composite bulkheads with no openings. The entire surface must be bonded.</t>
  </si>
  <si>
    <t>Front Bulkhead Outside to Outside Height:</t>
  </si>
  <si>
    <t>F.8.8.7.b</t>
  </si>
  <si>
    <t>Dynamic tests may not be performed by students.</t>
  </si>
  <si>
    <t xml:space="preserve">The outside edges of the Bulkhead must be no more than 25mm (1in) from the foam. </t>
  </si>
  <si>
    <t>F.8.2.1</t>
  </si>
  <si>
    <t>Anti-Intrusion Plate (AI) material:</t>
  </si>
  <si>
    <t>No wall wetting may be factored into the bond area. Use a calculation of pre-crushed area.</t>
  </si>
  <si>
    <t>F.8.3</t>
  </si>
  <si>
    <t>An integrated composite AIP may also qualify as the monocoque front bulkhead.</t>
  </si>
  <si>
    <t>Front Bulkhead Outside To Outside Width:</t>
  </si>
  <si>
    <t>Otherwise, a diagonal or an annual physical test will be required.</t>
  </si>
  <si>
    <t>Steel: 1.5mm (0.060in), Aluminum: 4.0mm (0.157in):</t>
  </si>
  <si>
    <t>Multiple layers of honeycomb require pre-crushed bond on both sides of a plate between each layer.</t>
  </si>
  <si>
    <t>Front Bulkhead Minimum Tube:</t>
  </si>
  <si>
    <t>F.8.2.3.d</t>
  </si>
  <si>
    <t xml:space="preserve">If the AIP does not meet FB equivalence, it may be fully enclosed in a monocoque in front of </t>
  </si>
  <si>
    <t>F.8.8.6.c</t>
  </si>
  <si>
    <t>Impact Attenuator And / Or Wing Failure Test</t>
  </si>
  <si>
    <t>the front bulkhead layup.</t>
  </si>
  <si>
    <t>F.8.4.2.a</t>
  </si>
  <si>
    <t>F.8.4.2</t>
  </si>
  <si>
    <t>A Standard Honeycomb Attenuator must be oriented 200mm horizontally.</t>
  </si>
  <si>
    <t>F.8.5.6.a</t>
  </si>
  <si>
    <t>The lower leading edge of the attenuator must be &lt;=150mm above the SIS lowest point.</t>
  </si>
  <si>
    <t>F.8.4.2.b</t>
  </si>
  <si>
    <t>A Standard Honeycomb with a FB diagonal does not require an annual physical test.</t>
  </si>
  <si>
    <t>F.8.3.2</t>
  </si>
  <si>
    <t xml:space="preserve">AI plates made of any material besides steel or aluminum must either: </t>
  </si>
  <si>
    <t>F.8.5.7</t>
  </si>
  <si>
    <t>The attenuator must be laterally centered on the front bulkhead.</t>
  </si>
  <si>
    <t>AIP to FB Attachment:</t>
  </si>
  <si>
    <t>Type of test used?:</t>
  </si>
  <si>
    <t>F.8.3.2.a</t>
  </si>
  <si>
    <t>Be physically tested on a replica bulkhead up to 120kN,</t>
  </si>
  <si>
    <t>Name of Test Facility:</t>
  </si>
  <si>
    <t>F.8.8.5</t>
  </si>
  <si>
    <t>Custom Impact Attenuators require an annual physical test.</t>
  </si>
  <si>
    <t>with the load distributed over the 200 mm x 100mm minimum IA area.</t>
  </si>
  <si>
    <t>Quick release attenuators must be rigidly lockable.</t>
  </si>
  <si>
    <t>F.8.8.6.bc</t>
  </si>
  <si>
    <t>Tube frame teams need to build a replica of their front bulkhead.</t>
  </si>
  <si>
    <t>Dates of tests:</t>
  </si>
  <si>
    <t>F.8.8.7.a</t>
  </si>
  <si>
    <t>Composite Impact Attenuators require an annual dynamic test.</t>
  </si>
  <si>
    <t>F.8.3.2.b</t>
  </si>
  <si>
    <t>Show F.8.3.4 120kN equivalence from F.4.3.1 laminate testing.</t>
  </si>
  <si>
    <t xml:space="preserve">In any direction, while the lock is engaged: </t>
  </si>
  <si>
    <t>The dimensions, tube sizes, and location of the Impact Attenuator must match the chassis FB.</t>
  </si>
  <si>
    <t>Maximum crushed displacement:</t>
  </si>
  <si>
    <t>A quick release attenuator must not be removable with less force than standard bolt shear.</t>
  </si>
  <si>
    <t>F.3.5</t>
  </si>
  <si>
    <t>The Anti Intrusion plate must be spaced at least 50mm away from the test rig surface.</t>
  </si>
  <si>
    <t>Post crush displacement, demonstrating any springback:</t>
  </si>
  <si>
    <t>Critical</t>
  </si>
  <si>
    <t>Spacer tubes should be located at the corners where FBHS tubes attach.</t>
  </si>
  <si>
    <t>Crushed attenuator height:</t>
  </si>
  <si>
    <t>Composite Anti Intrusion:</t>
  </si>
  <si>
    <t>Spacer tubes may be vertical, and wall thickness is not critical.</t>
  </si>
  <si>
    <t>F.8.8.6.d</t>
  </si>
  <si>
    <t>AI plate deformation:</t>
  </si>
  <si>
    <t>F.8.4.1</t>
  </si>
  <si>
    <t>Impact Attenuator Type:</t>
  </si>
  <si>
    <t>Composite AI Equivalence:</t>
  </si>
  <si>
    <t>Ground clearance under lowest part of Lower SIS, setup ride height:</t>
  </si>
  <si>
    <t>Locate AI bolts through FB tube inserts or on tabs:</t>
  </si>
  <si>
    <t>Type SES Tab Name Of Layup Used:</t>
  </si>
  <si>
    <t>Maximum Fastener centerline offset from tube surface:</t>
  </si>
  <si>
    <t>Monocoque teams need to test a replica of the first 50mm+ of the full chassis.</t>
  </si>
  <si>
    <t>F.8.8.2.b</t>
  </si>
  <si>
    <t>All calculated values must be based on a mass of 300kg and an initial velocity of 7m/s.</t>
  </si>
  <si>
    <t>IA to AI plate mounting method:</t>
  </si>
  <si>
    <t>Mount cross section on tube surface:</t>
  </si>
  <si>
    <t>Layups must match the car presented at competition.</t>
  </si>
  <si>
    <t>F.8.8.8.a</t>
  </si>
  <si>
    <t>Average deceleration from a dynamic test must be calculated from raw, unfiltered data.</t>
  </si>
  <si>
    <t>See diagrams: EV Acc tab AY28-BI28</t>
  </si>
  <si>
    <t>Mount thickness (B):</t>
  </si>
  <si>
    <t>F.8.8.8.b</t>
  </si>
  <si>
    <t>Peaks above 40g must not be seen after the application of specific filtering. See rule.</t>
  </si>
  <si>
    <t>Mount length (L):</t>
  </si>
  <si>
    <t>Option 1</t>
  </si>
  <si>
    <t>Design the mold to layup and pull the front 2" off.</t>
  </si>
  <si>
    <t>Thickness of panel:</t>
  </si>
  <si>
    <t>1a</t>
  </si>
  <si>
    <t>Maybe use last year's mold, often shared between the two years.</t>
  </si>
  <si>
    <t>F.8.8.2b</t>
  </si>
  <si>
    <t>The impact attenuator must absorb at least 7350J. Springback may be ignored.</t>
  </si>
  <si>
    <t>Composite Panel Height:</t>
  </si>
  <si>
    <t>F.7.2</t>
  </si>
  <si>
    <t>Front Bulkhead Construction:</t>
  </si>
  <si>
    <t>1b</t>
  </si>
  <si>
    <t>Or pull a tool of last year's car, if the nose will be the same.</t>
  </si>
  <si>
    <t>Make sure to use stepwise integration: current_force*(current_disp-prev_disp)+previous_total</t>
  </si>
  <si>
    <t>Composite Panel Width:</t>
  </si>
  <si>
    <t>Front Bulkhead Tubes Replaced Size B:</t>
  </si>
  <si>
    <t>Diagonal Size C:</t>
  </si>
  <si>
    <t>This is the best test of the monocoque itself, if we are concerned about the FB.</t>
  </si>
  <si>
    <t>Do not assume steps are identical. Use similar procedure for average force.</t>
  </si>
  <si>
    <t>Top Edge of FB to Top Edge of IA:</t>
  </si>
  <si>
    <r>
      <rPr>
        <b/>
        <sz val="11"/>
        <rFont val="Calibri"/>
        <family val="2"/>
        <scheme val="minor"/>
      </rPr>
      <t>INCORRECT:</t>
    </r>
    <r>
      <rPr>
        <sz val="11"/>
        <rFont val="Calibri"/>
        <family val="2"/>
        <scheme val="minor"/>
      </rPr>
      <t xml:space="preserve"> Final_force*final_displacement, or negative energy slope when there is positive force.</t>
    </r>
  </si>
  <si>
    <t>Diagonal Tube, Attenuator Test, or Composite</t>
  </si>
  <si>
    <t>F.8.3.1</t>
  </si>
  <si>
    <t>Minimum Required Impact Attenuator Height:</t>
  </si>
  <si>
    <t>Option 2</t>
  </si>
  <si>
    <t>A flat bulkhead-profile layup, with perpendicular FBHS layup segments below the rear face.</t>
  </si>
  <si>
    <t>Minimum Required Impact Attenuator Width:</t>
  </si>
  <si>
    <t>2a</t>
  </si>
  <si>
    <t>This could be made before the mold is cut, or off the previous year's mold.</t>
  </si>
  <si>
    <t>Second moment of inertia I, Vertical:</t>
  </si>
  <si>
    <t>2b</t>
  </si>
  <si>
    <t>Most monocoques have an tapered nose and rounded corners, which this might eliminate.</t>
  </si>
  <si>
    <t>F.8.8.2a</t>
  </si>
  <si>
    <t>Peak attenuator force:</t>
  </si>
  <si>
    <t>Diagonal Minimum Tube:</t>
  </si>
  <si>
    <t>Second moment of inertia I, Horizontal:</t>
  </si>
  <si>
    <t>F.8.6.1</t>
  </si>
  <si>
    <t>Nothing should be in front of the AIP in front view except the IA.</t>
  </si>
  <si>
    <t>This is fully composite, but hopefully easier, faster, and less expensive to make.</t>
  </si>
  <si>
    <t>Peak attenuator only deceleration &lt;= 40g:</t>
  </si>
  <si>
    <t>Thin, non-structural nosecones, attachment tabs, tires, and fastener ends are ignored.</t>
  </si>
  <si>
    <t>Fasteners per washer:</t>
  </si>
  <si>
    <t>Washer/bolt perimeter:</t>
  </si>
  <si>
    <t>Average attenuator force:</t>
  </si>
  <si>
    <t>Ultimate Tensile Strength (S):</t>
  </si>
  <si>
    <t>F.8.6.2.a</t>
  </si>
  <si>
    <t>The front wing and mounts must have a path around or below the Front Bulkhead.</t>
  </si>
  <si>
    <t>Front Bulkhead Height:</t>
  </si>
  <si>
    <t>Option 3</t>
  </si>
  <si>
    <t>Steel tube perimeter replicating FBHS under underneath a flat, same shape, bulkhead layup.</t>
  </si>
  <si>
    <t>Average attenuator only deceleration &lt;= 20g:</t>
  </si>
  <si>
    <t>F.8.6.2.b</t>
  </si>
  <si>
    <t>Keep wing mounts outside and behind the Front Bulkhead in Front View.</t>
  </si>
  <si>
    <t>Front Bulkhead Width:</t>
  </si>
  <si>
    <t>3a</t>
  </si>
  <si>
    <t>Can the steel tubes match the thickness and stiffness of the FBHS?</t>
  </si>
  <si>
    <t>Energy absorbed &gt;= 7350J:</t>
  </si>
  <si>
    <t>Max Bending Moment, Vertical (120kN Partial UDL):</t>
  </si>
  <si>
    <t>Calculation math other than fastener shear may be entered as an image.</t>
  </si>
  <si>
    <t>3b</t>
  </si>
  <si>
    <t>This will affect the bulkhead behavior.</t>
  </si>
  <si>
    <t>Energy absorption check:</t>
  </si>
  <si>
    <t>Max Bending Moment, Horizontal (120kN Partial UDL):</t>
  </si>
  <si>
    <t>3c</t>
  </si>
  <si>
    <t>Make sure to have very good bonding or laminating between the tubes and bulkhead.</t>
  </si>
  <si>
    <t>Max Bending * Max y / I = Max Stress, Vertical:</t>
  </si>
  <si>
    <t>Fasteners per insert:</t>
  </si>
  <si>
    <t>Insert Perimeter on bulkhead:</t>
  </si>
  <si>
    <t>Max Bending * Max y / I = Max Stress, Horizontal:</t>
  </si>
  <si>
    <t>F.3.4.2.a</t>
  </si>
  <si>
    <t>Fasteners per backing plate:</t>
  </si>
  <si>
    <t>Backing plate thickness:</t>
  </si>
  <si>
    <t>Not accepted:</t>
  </si>
  <si>
    <t>Steel tubes with no composite bulkhead.</t>
  </si>
  <si>
    <t>UTS (S) / Max Stress = Safety Factor, Bending:</t>
  </si>
  <si>
    <t>Front Wing Mount Limit:</t>
  </si>
  <si>
    <t>Backing plate perimeter on bulkhead:</t>
  </si>
  <si>
    <t>Difficult to match monocoque bulkhead front shape with or without cutouts.</t>
  </si>
  <si>
    <t>Perimeter Shear Stress, 120kN Load:</t>
  </si>
  <si>
    <t>Minimum - Fastener spacing, edge, or corner distance:</t>
  </si>
  <si>
    <t>Difficult to quantify stiffness to match to monocoque bulkhead.</t>
  </si>
  <si>
    <t>Safety Factor, Perimeter Shear:</t>
  </si>
  <si>
    <t>F.7.2.2</t>
  </si>
  <si>
    <t>Skin shear strength:</t>
  </si>
  <si>
    <t>Both of these will affect AI plate behavior, which is a critical part of the test.</t>
  </si>
  <si>
    <t>Composite AIP 120kN Physical Test</t>
  </si>
  <si>
    <t>IA Bottom</t>
  </si>
  <si>
    <t>IA Top</t>
  </si>
  <si>
    <t>IA Left</t>
  </si>
  <si>
    <t>IA Right</t>
  </si>
  <si>
    <t>Peak Attenuator Force:</t>
  </si>
  <si>
    <t>Vertical Panel Properties</t>
  </si>
  <si>
    <t>F.8.8.2.a</t>
  </si>
  <si>
    <t>Teams may use a crushed attenuator of the version installed on the car to test a composite AIP.</t>
  </si>
  <si>
    <t>Peak deceleration remains &lt;=  40g:</t>
  </si>
  <si>
    <t xml:space="preserve">Split the data following the IA test for the IA sections above and the 120kN test below. </t>
  </si>
  <si>
    <t>F.8.4.3.a</t>
  </si>
  <si>
    <t>Tube frame teams should weld a diagonal to the Front Bulkhead.</t>
  </si>
  <si>
    <t>Bonding AIP to composite Front Bulkhead</t>
  </si>
  <si>
    <t>Monocoque teams should install diagonals with 2 * 30kN attachment to reduce testing.</t>
  </si>
  <si>
    <t>Is there an opening in the Front Bulkhead?</t>
  </si>
  <si>
    <t>The structure must go across the entire front bulkhead opening on the diagonal.</t>
  </si>
  <si>
    <t>What is the brand name of the adhesive?</t>
  </si>
  <si>
    <t>If a front bulkhead or removable panel with no openings is not feasible, preferably a square</t>
  </si>
  <si>
    <t>Flat (h)</t>
  </si>
  <si>
    <t>Minimum shear / peel strength of adhesive:</t>
  </si>
  <si>
    <t>tube is welded or bonded to the AIP. Round tubes may not be welded or bonded to the AIP.</t>
  </si>
  <si>
    <t>Horizontal Panel Properties</t>
  </si>
  <si>
    <t>Minimum FB wall thickness:</t>
  </si>
  <si>
    <t>50% adhesive reduction for safety factor:</t>
  </si>
  <si>
    <t>Outer Diameter / Panel Thickness:</t>
  </si>
  <si>
    <t>Minimum bond area:</t>
  </si>
  <si>
    <t>Diagonal, AIP, and FB material must be entered in cells J57, J59, T37, AN35, and AN37.</t>
  </si>
  <si>
    <t>Additive cross section (A):</t>
  </si>
  <si>
    <t>Calculated bond strength:</t>
  </si>
  <si>
    <t>Additive second moment of inertia (I):</t>
  </si>
  <si>
    <t>Diagonal</t>
  </si>
  <si>
    <t>to</t>
  </si>
  <si>
    <t xml:space="preserve"> E_1*I_1 &lt;= E_2*I_2+E_3*I_3:</t>
  </si>
  <si>
    <t>F.8.3.1.b</t>
  </si>
  <si>
    <t>Front view, show the front wing and mounts are</t>
  </si>
  <si>
    <t>S_1*A_1 &lt;= S_2*A_2+S_3*A_3:</t>
  </si>
  <si>
    <t>Laminated AIP to composite Front Bulkhead</t>
  </si>
  <si>
    <t>4*S_1*I_1/r &lt;= 4*(S_2*I_2+S_3*I_3)/r:</t>
  </si>
  <si>
    <t>Does the AIP form the front bulkhead of the monocoque?</t>
  </si>
  <si>
    <t>Fig. 3-4:</t>
  </si>
  <si>
    <t>https://www.aboutcivil.org/simply-supported-UDL-beam-formulas-bending-moment-equations.html</t>
  </si>
  <si>
    <t>Type SES Tab Name Of Enclosing Layup Used:</t>
  </si>
  <si>
    <t>entirely outside / below the front bulkhead.</t>
  </si>
  <si>
    <t>F.4.3.2-3 comparison:</t>
  </si>
  <si>
    <t>Skin used:</t>
  </si>
  <si>
    <t>F.7.3.3</t>
  </si>
  <si>
    <t>AIP Perimeter Length:</t>
  </si>
  <si>
    <t>Bulkhead Panel Properties</t>
  </si>
  <si>
    <t>Laminate thickness:</t>
  </si>
  <si>
    <t>Skin shear area - centerline x 1 thickness:</t>
  </si>
  <si>
    <t>Show total number of fasteners for</t>
  </si>
  <si>
    <t>Fastener Shear Dialogue.</t>
  </si>
  <si>
    <t>Front Hoop Lamination:</t>
  </si>
  <si>
    <t>Lap joint strength:</t>
  </si>
  <si>
    <t>Total bond width including both sides of the Front Hoop:</t>
  </si>
  <si>
    <t>Bond shear area:</t>
  </si>
  <si>
    <t>Show fastener UTS source / conversion.</t>
  </si>
  <si>
    <t>Shear Calculation for Positive Locking on Quick Release</t>
  </si>
  <si>
    <t>Composite Diagonal:</t>
  </si>
  <si>
    <t>Size C Steel Tubes Replaced:</t>
  </si>
  <si>
    <t>Minimum Front View Measurement:</t>
  </si>
  <si>
    <t>OPTION - Second Moment, Surpassing Flat Panel, CLEAR CELLS IF NOT USED</t>
  </si>
  <si>
    <t>Car centerline composite cross sectional area (skin only, no core):</t>
  </si>
  <si>
    <t>Car centerline composite second moment (I_vertical):</t>
  </si>
  <si>
    <t>Flat h or L</t>
  </si>
  <si>
    <t>I_vertical</t>
  </si>
  <si>
    <t>F.3.4.2a</t>
  </si>
  <si>
    <t xml:space="preserve">Any removable members </t>
  </si>
  <si>
    <t>along required tubes?</t>
  </si>
  <si>
    <t>Tube Chassis BO133:</t>
  </si>
  <si>
    <t>Any holes over 4mm drilled</t>
  </si>
  <si>
    <t>in F.3.2.1 required tubes?</t>
  </si>
  <si>
    <t>Driver Harness:</t>
  </si>
  <si>
    <t>Tube Chassis BO134:</t>
  </si>
  <si>
    <t>AIP Inserts:</t>
  </si>
  <si>
    <t>EV Accumulator:</t>
  </si>
  <si>
    <t>Welded Tube Insert with dimensions.</t>
  </si>
  <si>
    <t>Does the steering rack</t>
  </si>
  <si>
    <t>interrupt any required tubes?</t>
  </si>
  <si>
    <t>Tube Chassis BO135:</t>
  </si>
  <si>
    <t>Please show the source of each area and MOI measurement.</t>
  </si>
  <si>
    <t>Welded Tube Insert</t>
  </si>
  <si>
    <t>Unwelded E, Sy, Su</t>
  </si>
  <si>
    <t>Other AL</t>
  </si>
  <si>
    <t>Tube With Hole</t>
  </si>
  <si>
    <t>+</t>
  </si>
  <si>
    <t>Welded Sy, Su</t>
  </si>
  <si>
    <t>Tube</t>
  </si>
  <si>
    <t>Insert</t>
  </si>
  <si>
    <t>Material:</t>
  </si>
  <si>
    <t>Original tube:</t>
  </si>
  <si>
    <t>Tube cross sectional area (A_1):</t>
  </si>
  <si>
    <t>-</t>
  </si>
  <si>
    <t>For EQ:</t>
  </si>
  <si>
    <t>Tube second moment of inertia (I_1):</t>
  </si>
  <si>
    <t>All entries filled out correctly.</t>
  </si>
  <si>
    <t>F.3.4.3</t>
  </si>
  <si>
    <t>Tube with Hole cross sectional area (A_3):</t>
  </si>
  <si>
    <t>-or-</t>
  </si>
  <si>
    <t>Tube with Hole area moment of inertia (I_3):</t>
  </si>
  <si>
    <t>No holes over 4mm:</t>
  </si>
  <si>
    <t>Insert/Collar cross sectional area (A_2):</t>
  </si>
  <si>
    <t>Clear all entry boxes.</t>
  </si>
  <si>
    <t>Insert/Collar area moment of inertia (I_2):</t>
  </si>
  <si>
    <t>F.3.5.3</t>
  </si>
  <si>
    <t xml:space="preserve">Identical tube / insert </t>
  </si>
  <si>
    <t>Unwelded Yield Strength (Sy):</t>
  </si>
  <si>
    <t xml:space="preserve">combinations need to be </t>
  </si>
  <si>
    <t>Unwelded Ultimate Strength (Su):</t>
  </si>
  <si>
    <t xml:space="preserve">identified everywhere used </t>
  </si>
  <si>
    <t>Welded Yield Strength (Sy):</t>
  </si>
  <si>
    <t xml:space="preserve">on the chassis, but only need </t>
  </si>
  <si>
    <t>Welded Ultimate Strength (Su):</t>
  </si>
  <si>
    <t>to be calculated once.</t>
  </si>
  <si>
    <t xml:space="preserve"> E_1*I_1 &lt;= E_2*I_2  +  E_1*I_3:</t>
  </si>
  <si>
    <t>Yield</t>
  </si>
  <si>
    <t>Sy_1*A_1 &lt;= Sy_2*A_2 + Sy_1*A_3:</t>
  </si>
  <si>
    <t xml:space="preserve">If more than 5 tube / insert </t>
  </si>
  <si>
    <t>Ultimate</t>
  </si>
  <si>
    <t>Su_1*A_1 &lt;= Su_2*A_2 + Su_1*A_3:</t>
  </si>
  <si>
    <t xml:space="preserve">combinations are used, </t>
  </si>
  <si>
    <t>4*Su_1*I_1/r &lt;= 4*(Su_2*I_2+Su_1*I_3)/r:</t>
  </si>
  <si>
    <t>4*Su_1*I_1/r &lt;= 4*Su_1*(I_2+I_3)/r:</t>
  </si>
  <si>
    <t>make a copy of this tab.</t>
  </si>
  <si>
    <t xml:space="preserve">Oversized tubes with holes </t>
  </si>
  <si>
    <t>may not need inserts for EQ.</t>
  </si>
  <si>
    <t>Bolted Members Used?</t>
  </si>
  <si>
    <r>
      <t xml:space="preserve">For </t>
    </r>
    <r>
      <rPr>
        <b/>
        <sz val="11"/>
        <color theme="1"/>
        <rFont val="Calibri"/>
        <family val="2"/>
        <scheme val="minor"/>
      </rPr>
      <t xml:space="preserve">EQ: </t>
    </r>
  </si>
  <si>
    <t xml:space="preserve"> - or if not used -</t>
  </si>
  <si>
    <t>1. Clear Row 34.</t>
  </si>
  <si>
    <t>2. Clear Row 41 lug thickness.</t>
  </si>
  <si>
    <t xml:space="preserve">Symmetric left / right </t>
  </si>
  <si>
    <t>Bolted Chassis Connection with dimensions.</t>
  </si>
  <si>
    <t xml:space="preserve">attachments only need to be </t>
  </si>
  <si>
    <t>entered for one side.</t>
  </si>
  <si>
    <t>If more than 5 non-symmetric</t>
  </si>
  <si>
    <t xml:space="preserve">bolted connections are used, </t>
  </si>
  <si>
    <t>Removable tubes require</t>
  </si>
  <si>
    <t>welded inserts to prevent</t>
  </si>
  <si>
    <t>crushing.</t>
  </si>
  <si>
    <t>Removable tubes require welded inserts to prevent crushing.</t>
  </si>
  <si>
    <t>Bolted Connection</t>
  </si>
  <si>
    <t>F.5.12.2</t>
  </si>
  <si>
    <t>Bolted Connection:</t>
  </si>
  <si>
    <t>F.5.3.1</t>
  </si>
  <si>
    <t>All fasteners for removable tubing require crush bushings through the tubes.</t>
  </si>
  <si>
    <t>Inserts are not mandatory for outside sleeves and lugs for removable tubing.</t>
  </si>
  <si>
    <t>F.5.12.4</t>
  </si>
  <si>
    <t>Double lug joints must include caps on tabs at both ends.</t>
  </si>
  <si>
    <t>F.5.12.5</t>
  </si>
  <si>
    <t>Double lug joints require a pin or fastener &gt;= 10mm Grade 9.8 (3/8in Grade 8).</t>
  </si>
  <si>
    <t>F.5.12.7</t>
  </si>
  <si>
    <t>Sleeved butt joints require 4X pins or fasteners &gt;= 6mm Grade 9.8 (1/4in Grade 8).</t>
  </si>
  <si>
    <t>F.5.4.3</t>
  </si>
  <si>
    <t>Any bolted non-suspension member must have an edge::distance ratio &gt;=1.5.</t>
  </si>
  <si>
    <t>Dimensions shown above from the edges of the holes to the end of each tube/tab &gt;=1.5 x diameter.</t>
  </si>
  <si>
    <t>Hole diameter / fastener size:</t>
  </si>
  <si>
    <t>Minimum edge::diameter ratio &gt;=1.5:</t>
  </si>
  <si>
    <t>Inclination: Measure to the top edge of the Upper SIS tube.</t>
  </si>
  <si>
    <t>@60C (E):</t>
  </si>
  <si>
    <t>60C Yield (Sy):</t>
  </si>
  <si>
    <r>
      <t xml:space="preserve">Triangulation may be asymmetric. </t>
    </r>
    <r>
      <rPr>
        <b/>
        <sz val="11"/>
        <rFont val="Calibri"/>
        <family val="2"/>
        <scheme val="minor"/>
      </rPr>
      <t>F.11.3.3, F.2.3.1: Rear impact verticality tolerance: +/- 25mm longitudinally.</t>
    </r>
  </si>
  <si>
    <t>Quick Release must pass entirely through front bulkhead and AIP.</t>
  </si>
  <si>
    <t>Bonded</t>
  </si>
  <si>
    <t>1.1</t>
  </si>
  <si>
    <t>EV Lid vs. Baseline Weld</t>
  </si>
  <si>
    <t>mm Ride Height</t>
  </si>
  <si>
    <t>Harness weld, threaded, through</t>
  </si>
  <si>
    <t>Inch</t>
  </si>
  <si>
    <t>Inside</t>
  </si>
  <si>
    <t>Above</t>
  </si>
  <si>
    <t>Square</t>
  </si>
  <si>
    <t>Straight</t>
  </si>
  <si>
    <t>Single Lap/AntiSub</t>
  </si>
  <si>
    <t>Bolt Through A Tab</t>
  </si>
  <si>
    <t>Welded</t>
  </si>
  <si>
    <t>Vertical</t>
  </si>
  <si>
    <t>Wrapped</t>
  </si>
  <si>
    <t>Rearward</t>
  </si>
  <si>
    <t>Image shows LV battery inside main chassis &amp; below SH height</t>
  </si>
  <si>
    <t>Lowest point has 2x &gt;=25mm holes + is between driver &amp; fuel tank</t>
  </si>
  <si>
    <t>Image shows powertrain mounts do not load the Shoulder Harness bar</t>
  </si>
  <si>
    <t>Fuel tank is in front of the engine block</t>
  </si>
  <si>
    <t>Fuel image shows Fill exits primary structure above 350mm</t>
  </si>
  <si>
    <t>No</t>
  </si>
  <si>
    <t>No rear wing.</t>
  </si>
  <si>
    <t>Yes</t>
  </si>
  <si>
    <t>All Steel Tube</t>
  </si>
  <si>
    <t>IC - Internal Combustion</t>
  </si>
  <si>
    <t>Vanderbilt University</t>
  </si>
  <si>
    <t>Vanderbilt University Motorsports</t>
  </si>
  <si>
    <t>Elizabeth Rohrer</t>
  </si>
  <si>
    <t>elizabeth.g.rohrer@vanderbilt.edu</t>
  </si>
  <si>
    <t>Philip Davis</t>
  </si>
  <si>
    <t>philip.l.davis@vanderilt.edu</t>
  </si>
  <si>
    <t>No pressurized cylinder</t>
  </si>
  <si>
    <t>Standard Honeycomb</t>
  </si>
  <si>
    <t>Tube Diagonal</t>
  </si>
  <si>
    <t>No Front Wing</t>
  </si>
  <si>
    <t>Bolted</t>
  </si>
  <si>
    <t>Nut And Bolt</t>
  </si>
  <si>
    <t>Centerline Inserts</t>
  </si>
  <si>
    <t>Loctite EA9460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</si>
</sst>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00"/>
    <numFmt numFmtId="166" formatCode="0.0"/>
    <numFmt numFmtId="167" formatCode="0.0000"/>
  </numFmts>
  <fonts count="32" x14ac:knownFonts="1">
    <font>
      <sz val="11"/>
      <color theme="1"/>
      <name val="Calibri"/>
      <family val="2"/>
      <scheme val="minor"/>
    </font>
    <font>
      <b/>
      <sz val="11"/>
      <color theme="0"/>
      <name val="Calibri"/>
      <family val="2"/>
      <scheme val="minor"/>
    </font>
    <font>
      <sz val="11"/>
      <color theme="0"/>
      <name val="Calibri"/>
      <family val="2"/>
      <scheme val="minor"/>
    </font>
    <font>
      <sz val="11"/>
      <name val="Calibri"/>
      <family val="2"/>
      <scheme val="minor"/>
    </font>
    <font>
      <b/>
      <sz val="11"/>
      <name val="Calibri"/>
      <family val="2"/>
      <scheme val="minor"/>
    </font>
    <font>
      <sz val="22"/>
      <name val="Calibri"/>
      <family val="2"/>
      <scheme val="minor"/>
    </font>
    <font>
      <b/>
      <sz val="11"/>
      <color theme="4"/>
      <name val="Calibri"/>
      <family val="2"/>
      <scheme val="minor"/>
    </font>
    <font>
      <b/>
      <sz val="11"/>
      <color theme="9"/>
      <name val="Calibri"/>
      <family val="2"/>
      <scheme val="minor"/>
    </font>
    <font>
      <b/>
      <sz val="11"/>
      <color theme="7"/>
      <name val="Calibri"/>
      <family val="2"/>
      <scheme val="minor"/>
    </font>
    <font>
      <u/>
      <sz val="11"/>
      <color theme="10"/>
      <name val="Calibri"/>
      <family val="2"/>
      <scheme val="minor"/>
    </font>
    <font>
      <sz val="36"/>
      <name val="Calibri"/>
      <family val="2"/>
      <scheme val="minor"/>
    </font>
    <font>
      <b/>
      <sz val="28"/>
      <name val="Calibri"/>
      <family val="2"/>
      <scheme val="minor"/>
    </font>
    <font>
      <b/>
      <sz val="11"/>
      <color theme="1"/>
      <name val="Calibri"/>
      <family val="2"/>
      <scheme val="minor"/>
    </font>
    <font>
      <b/>
      <sz val="16"/>
      <name val="Calibri"/>
      <family val="2"/>
      <scheme val="minor"/>
    </font>
    <font>
      <b/>
      <sz val="22"/>
      <name val="Calibri"/>
      <family val="2"/>
      <scheme val="minor"/>
    </font>
    <font>
      <sz val="22"/>
      <color theme="0"/>
      <name val="Calibri"/>
      <family val="2"/>
      <scheme val="minor"/>
    </font>
    <font>
      <b/>
      <sz val="12"/>
      <name val="Calibri"/>
      <family val="2"/>
      <scheme val="minor"/>
    </font>
    <font>
      <b/>
      <sz val="14"/>
      <name val="Calibri"/>
      <family val="2"/>
      <scheme val="minor"/>
    </font>
    <font>
      <b/>
      <u/>
      <sz val="11"/>
      <color theme="7"/>
      <name val="Calibri"/>
      <family val="2"/>
      <scheme val="minor"/>
    </font>
    <font>
      <b/>
      <sz val="10"/>
      <name val="Calibri"/>
      <family val="2"/>
      <scheme val="minor"/>
    </font>
    <font>
      <sz val="28"/>
      <name val="Calibri"/>
      <family val="2"/>
      <scheme val="minor"/>
    </font>
    <font>
      <b/>
      <u/>
      <sz val="11"/>
      <name val="Calibri"/>
      <family val="2"/>
      <scheme val="minor"/>
    </font>
    <font>
      <b/>
      <u/>
      <sz val="11"/>
      <color theme="10"/>
      <name val="Calibri"/>
      <family val="2"/>
      <scheme val="minor"/>
    </font>
    <font>
      <sz val="11"/>
      <color theme="1"/>
      <name val="Calibri"/>
      <family val="2"/>
      <scheme val="minor"/>
    </font>
    <font>
      <sz val="12"/>
      <name val="Calibri"/>
      <family val="2"/>
      <scheme val="minor"/>
    </font>
    <font>
      <b/>
      <sz val="20"/>
      <name val="Calibri"/>
      <family val="2"/>
      <scheme val="minor"/>
    </font>
    <font>
      <sz val="22"/>
      <color theme="1"/>
      <name val="Calibri"/>
      <family val="2"/>
      <scheme val="minor"/>
    </font>
    <font>
      <vertAlign val="subscript"/>
      <sz val="11"/>
      <name val="Calibri"/>
      <family val="2"/>
      <scheme val="minor"/>
    </font>
    <font>
      <sz val="14"/>
      <color theme="0"/>
      <name val="Calibri"/>
      <family val="2"/>
      <scheme val="minor"/>
    </font>
    <font>
      <sz val="20"/>
      <name val="Calibri"/>
      <family val="2"/>
      <scheme val="minor"/>
    </font>
    <font>
      <sz val="10"/>
      <name val="Calibri"/>
      <family val="2"/>
      <scheme val="minor"/>
    </font>
    <font>
      <sz val="28"/>
      <color theme="1"/>
      <name val="Calibri"/>
      <family val="2"/>
      <scheme val="minor"/>
    </font>
  </fonts>
  <fills count="11">
    <fill>
      <patternFill patternType="none"/>
    </fill>
    <fill>
      <patternFill patternType="gray125"/>
    </fill>
    <fill>
      <patternFill patternType="solid">
        <fgColor theme="4"/>
        <bgColor indexed="64"/>
      </patternFill>
    </fill>
    <fill>
      <patternFill patternType="solid">
        <fgColor theme="9"/>
        <bgColor indexed="64"/>
      </patternFill>
    </fill>
    <fill>
      <patternFill patternType="solid">
        <fgColor theme="3"/>
        <bgColor indexed="64"/>
      </patternFill>
    </fill>
    <fill>
      <patternFill patternType="solid">
        <fgColor rgb="FFD55E00"/>
        <bgColor indexed="64"/>
      </patternFill>
    </fill>
    <fill>
      <patternFill patternType="solid">
        <fgColor theme="0"/>
        <bgColor indexed="64"/>
      </patternFill>
    </fill>
    <fill>
      <patternFill patternType="solid">
        <fgColor theme="2"/>
        <bgColor indexed="64"/>
      </patternFill>
    </fill>
    <fill>
      <patternFill patternType="solid">
        <fgColor theme="7"/>
        <bgColor indexed="64"/>
      </patternFill>
    </fill>
    <fill>
      <patternFill patternType="solid">
        <fgColor theme="5"/>
        <bgColor indexed="64"/>
      </patternFill>
    </fill>
    <fill>
      <patternFill patternType="solid">
        <fgColor rgb="FFFFFF00"/>
        <bgColor indexed="64"/>
      </patternFill>
    </fill>
  </fills>
  <borders count="32">
    <border>
      <left/>
      <right/>
      <top/>
      <bottom/>
      <diagonal/>
    </border>
    <border>
      <left/>
      <right style="thin">
        <color indexed="64"/>
      </right>
      <top/>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diagonal/>
    </border>
    <border>
      <left/>
      <right/>
      <top/>
      <bottom style="medium">
        <color indexed="64"/>
      </bottom>
      <diagonal/>
    </border>
    <border>
      <left style="thin">
        <color indexed="64"/>
      </left>
      <right style="thin">
        <color indexed="64"/>
      </right>
      <top style="thin">
        <color indexed="64"/>
      </top>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right style="medium">
        <color indexed="64"/>
      </right>
      <top/>
      <bottom/>
      <diagonal/>
    </border>
    <border>
      <left style="thin">
        <color indexed="64"/>
      </left>
      <right/>
      <top/>
      <bottom style="medium">
        <color indexed="64"/>
      </bottom>
      <diagonal/>
    </border>
    <border>
      <left style="thin">
        <color indexed="64"/>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style="thin">
        <color indexed="64"/>
      </right>
      <top style="thin">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diagonal/>
    </border>
    <border>
      <left/>
      <right/>
      <top style="thin">
        <color indexed="64"/>
      </top>
      <bottom style="thin">
        <color indexed="64"/>
      </bottom>
      <diagonal/>
    </border>
    <border>
      <left style="thin">
        <color indexed="64"/>
      </left>
      <right style="thin">
        <color indexed="64"/>
      </right>
      <top style="medium">
        <color indexed="64"/>
      </top>
      <bottom style="medium">
        <color indexed="64"/>
      </bottom>
      <diagonal/>
    </border>
    <border>
      <left style="medium">
        <color indexed="64"/>
      </left>
      <right/>
      <top/>
      <bottom/>
      <diagonal/>
    </border>
    <border>
      <left style="thin">
        <color indexed="64"/>
      </left>
      <right style="thin">
        <color indexed="64"/>
      </right>
      <top/>
      <bottom/>
      <diagonal/>
    </border>
  </borders>
  <cellStyleXfs count="4">
    <xf numFmtId="0" fontId="0" fillId="0" borderId="0"/>
    <xf numFmtId="0" fontId="9" fillId="0" borderId="0" applyNumberFormat="0" applyFill="0" applyBorder="0" applyAlignment="0" applyProtection="0"/>
    <xf numFmtId="9" fontId="23" fillId="0" borderId="0" applyFont="0" applyFill="0" applyBorder="0" applyAlignment="0" applyProtection="0"/>
    <xf numFmtId="9" fontId="23" fillId="0" borderId="0" applyFont="0" applyFill="0" applyBorder="0" applyAlignment="0" applyProtection="0"/>
  </cellStyleXfs>
  <cellXfs count="397">
    <xf numFmtId="0" fontId="0" fillId="0" borderId="0" xfId="0"/>
    <xf numFmtId="0" fontId="4" fillId="7" borderId="0" xfId="0" applyFont="1" applyFill="1" applyAlignment="1">
      <alignment horizontal="left" vertical="center"/>
    </xf>
    <xf numFmtId="0" fontId="10" fillId="6" borderId="0" xfId="0" applyFont="1" applyFill="1" applyAlignment="1">
      <alignment horizontal="left" vertical="center"/>
    </xf>
    <xf numFmtId="0" fontId="20" fillId="6" borderId="0" xfId="0" applyFont="1" applyFill="1" applyAlignment="1">
      <alignment horizontal="left" vertical="center"/>
    </xf>
    <xf numFmtId="0" fontId="5" fillId="6" borderId="0" xfId="0" applyFont="1" applyFill="1" applyAlignment="1" applyProtection="1">
      <alignment horizontal="left" vertical="center" wrapText="1"/>
      <protection locked="0"/>
    </xf>
    <xf numFmtId="0" fontId="5" fillId="6" borderId="20" xfId="0" applyFont="1" applyFill="1" applyBorder="1" applyAlignment="1" applyProtection="1">
      <alignment horizontal="left" vertical="center" wrapText="1"/>
      <protection locked="0"/>
    </xf>
    <xf numFmtId="0" fontId="5" fillId="6" borderId="21" xfId="0" applyFont="1" applyFill="1" applyBorder="1" applyAlignment="1" applyProtection="1">
      <alignment horizontal="left" vertical="center" wrapText="1"/>
      <protection locked="0"/>
    </xf>
    <xf numFmtId="0" fontId="5" fillId="6" borderId="25" xfId="0" applyFont="1" applyFill="1" applyBorder="1" applyAlignment="1" applyProtection="1">
      <alignment horizontal="left" vertical="center" wrapText="1"/>
      <protection locked="0"/>
    </xf>
    <xf numFmtId="0" fontId="5" fillId="6" borderId="13" xfId="0" applyFont="1" applyFill="1" applyBorder="1" applyAlignment="1" applyProtection="1">
      <alignment horizontal="left" vertical="center" wrapText="1"/>
      <protection locked="0"/>
    </xf>
    <xf numFmtId="0" fontId="5" fillId="6" borderId="1" xfId="0" applyFont="1" applyFill="1" applyBorder="1" applyAlignment="1" applyProtection="1">
      <alignment horizontal="left" vertical="center" wrapText="1"/>
      <protection locked="0"/>
    </xf>
    <xf numFmtId="0" fontId="15" fillId="4" borderId="0" xfId="0" applyFont="1" applyFill="1" applyAlignment="1">
      <alignment horizontal="center" vertical="center"/>
    </xf>
    <xf numFmtId="0" fontId="3" fillId="6" borderId="0" xfId="0" applyFont="1" applyFill="1" applyAlignment="1">
      <alignment horizontal="center" vertical="center"/>
    </xf>
    <xf numFmtId="0" fontId="4" fillId="6" borderId="0" xfId="0" applyFont="1" applyFill="1" applyAlignment="1">
      <alignment horizontal="center" vertical="center"/>
    </xf>
    <xf numFmtId="0" fontId="5" fillId="6" borderId="0" xfId="0" applyFont="1" applyFill="1" applyAlignment="1">
      <alignment horizontal="center" vertical="center"/>
    </xf>
    <xf numFmtId="0" fontId="14" fillId="6" borderId="0" xfId="0" applyFont="1" applyFill="1" applyAlignment="1">
      <alignment horizontal="center" vertical="center"/>
    </xf>
    <xf numFmtId="0" fontId="3" fillId="6" borderId="0" xfId="0" applyFont="1" applyFill="1" applyAlignment="1">
      <alignment horizontal="right" vertical="center"/>
    </xf>
    <xf numFmtId="0" fontId="3" fillId="6" borderId="2" xfId="0" applyFont="1" applyFill="1" applyBorder="1" applyAlignment="1" applyProtection="1">
      <alignment horizontal="center" vertical="center"/>
      <protection locked="0"/>
    </xf>
    <xf numFmtId="0" fontId="11" fillId="6" borderId="0" xfId="0" applyFont="1" applyFill="1" applyAlignment="1">
      <alignment horizontal="center" vertical="center"/>
    </xf>
    <xf numFmtId="0" fontId="17" fillId="6" borderId="0" xfId="0" applyFont="1" applyFill="1" applyAlignment="1">
      <alignment horizontal="left" vertical="center" wrapText="1"/>
    </xf>
    <xf numFmtId="0" fontId="14" fillId="6" borderId="0" xfId="0" quotePrefix="1" applyFont="1" applyFill="1"/>
    <xf numFmtId="0" fontId="9" fillId="6" borderId="0" xfId="1" applyFill="1" applyBorder="1" applyAlignment="1" applyProtection="1">
      <alignment horizontal="left" vertical="center"/>
    </xf>
    <xf numFmtId="0" fontId="0" fillId="6" borderId="0" xfId="0" applyFill="1" applyAlignment="1">
      <alignment horizontal="left" vertical="center"/>
    </xf>
    <xf numFmtId="0" fontId="0" fillId="6" borderId="0" xfId="0" applyFill="1" applyAlignment="1">
      <alignment vertical="center"/>
    </xf>
    <xf numFmtId="49" fontId="3" fillId="6" borderId="0" xfId="0" applyNumberFormat="1" applyFont="1" applyFill="1" applyAlignment="1">
      <alignment horizontal="left" vertical="center"/>
    </xf>
    <xf numFmtId="49" fontId="4" fillId="6" borderId="0" xfId="0" applyNumberFormat="1" applyFont="1" applyFill="1" applyAlignment="1">
      <alignment vertical="center"/>
    </xf>
    <xf numFmtId="0" fontId="3" fillId="6" borderId="0" xfId="0" applyFont="1" applyFill="1" applyAlignment="1">
      <alignment horizontal="left" vertical="center"/>
    </xf>
    <xf numFmtId="11" fontId="3" fillId="6" borderId="0" xfId="0" applyNumberFormat="1" applyFont="1" applyFill="1" applyAlignment="1">
      <alignment horizontal="center" vertical="center"/>
    </xf>
    <xf numFmtId="1" fontId="3" fillId="6" borderId="0" xfId="0" applyNumberFormat="1" applyFont="1" applyFill="1" applyAlignment="1">
      <alignment horizontal="center" vertical="center"/>
    </xf>
    <xf numFmtId="166" fontId="3" fillId="6" borderId="0" xfId="0" applyNumberFormat="1" applyFont="1" applyFill="1" applyAlignment="1">
      <alignment horizontal="center" vertical="center"/>
    </xf>
    <xf numFmtId="2" fontId="3" fillId="6" borderId="0" xfId="0" applyNumberFormat="1" applyFont="1" applyFill="1" applyAlignment="1">
      <alignment horizontal="center" vertical="center"/>
    </xf>
    <xf numFmtId="49" fontId="3" fillId="6" borderId="0" xfId="0" applyNumberFormat="1" applyFont="1" applyFill="1" applyAlignment="1">
      <alignment vertical="center"/>
    </xf>
    <xf numFmtId="49" fontId="4" fillId="6" borderId="0" xfId="0" applyNumberFormat="1" applyFont="1" applyFill="1" applyAlignment="1">
      <alignment horizontal="left" vertical="center"/>
    </xf>
    <xf numFmtId="0" fontId="4" fillId="6" borderId="0" xfId="0" applyFont="1" applyFill="1" applyAlignment="1">
      <alignment horizontal="right" vertical="center"/>
    </xf>
    <xf numFmtId="0" fontId="12" fillId="6" borderId="0" xfId="0" applyFont="1" applyFill="1" applyAlignment="1">
      <alignment vertical="center"/>
    </xf>
    <xf numFmtId="0" fontId="19" fillId="6" borderId="0" xfId="0" applyFont="1" applyFill="1" applyAlignment="1">
      <alignment horizontal="right" vertical="center"/>
    </xf>
    <xf numFmtId="0" fontId="4" fillId="6" borderId="0" xfId="0" applyFont="1" applyFill="1" applyAlignment="1">
      <alignment horizontal="left" vertical="center"/>
    </xf>
    <xf numFmtId="0" fontId="3" fillId="6" borderId="0" xfId="0" applyFont="1" applyFill="1" applyAlignment="1">
      <alignment vertical="center"/>
    </xf>
    <xf numFmtId="0" fontId="12" fillId="6" borderId="0" xfId="0" applyFont="1" applyFill="1" applyAlignment="1">
      <alignment horizontal="center" vertical="center"/>
    </xf>
    <xf numFmtId="0" fontId="5" fillId="7" borderId="0" xfId="0" applyFont="1" applyFill="1" applyAlignment="1">
      <alignment horizontal="center" vertical="center"/>
    </xf>
    <xf numFmtId="0" fontId="4" fillId="7" borderId="0" xfId="0" applyFont="1" applyFill="1" applyAlignment="1">
      <alignment horizontal="center" vertical="center"/>
    </xf>
    <xf numFmtId="0" fontId="4" fillId="7" borderId="0" xfId="0" applyFont="1" applyFill="1" applyAlignment="1">
      <alignment horizontal="right" vertical="center"/>
    </xf>
    <xf numFmtId="0" fontId="3" fillId="7" borderId="0" xfId="0" applyFont="1" applyFill="1" applyAlignment="1">
      <alignment horizontal="left" vertical="center"/>
    </xf>
    <xf numFmtId="0" fontId="2" fillId="4" borderId="0" xfId="0" applyFont="1" applyFill="1" applyAlignment="1">
      <alignment horizontal="left" vertical="center"/>
    </xf>
    <xf numFmtId="0" fontId="3" fillId="4" borderId="0" xfId="0" applyFont="1" applyFill="1" applyAlignment="1">
      <alignment horizontal="left" vertical="center"/>
    </xf>
    <xf numFmtId="0" fontId="3" fillId="6" borderId="0" xfId="0" applyFont="1" applyFill="1" applyAlignment="1">
      <alignment horizontal="left" vertical="center" wrapText="1"/>
    </xf>
    <xf numFmtId="0" fontId="3" fillId="7" borderId="0" xfId="0" applyFont="1" applyFill="1" applyAlignment="1">
      <alignment horizontal="right" vertical="center"/>
    </xf>
    <xf numFmtId="0" fontId="2" fillId="7" borderId="0" xfId="0" applyFont="1" applyFill="1" applyAlignment="1">
      <alignment horizontal="left" vertical="center"/>
    </xf>
    <xf numFmtId="0" fontId="12" fillId="6" borderId="0" xfId="0" applyFont="1" applyFill="1" applyAlignment="1">
      <alignment horizontal="left" vertical="center"/>
    </xf>
    <xf numFmtId="49" fontId="4" fillId="6" borderId="0" xfId="0" applyNumberFormat="1" applyFont="1" applyFill="1" applyAlignment="1">
      <alignment horizontal="right" vertical="center"/>
    </xf>
    <xf numFmtId="49" fontId="3" fillId="6" borderId="0" xfId="0" applyNumberFormat="1" applyFont="1" applyFill="1" applyAlignment="1">
      <alignment horizontal="center" vertical="center"/>
    </xf>
    <xf numFmtId="0" fontId="3" fillId="6" borderId="1" xfId="0" applyFont="1" applyFill="1" applyBorder="1" applyAlignment="1">
      <alignment horizontal="left" vertical="center"/>
    </xf>
    <xf numFmtId="0" fontId="15" fillId="4" borderId="0" xfId="0" applyFont="1" applyFill="1" applyAlignment="1">
      <alignment horizontal="left" vertical="center"/>
    </xf>
    <xf numFmtId="0" fontId="3" fillId="7" borderId="0" xfId="0" applyFont="1" applyFill="1" applyAlignment="1">
      <alignment horizontal="center" vertical="center"/>
    </xf>
    <xf numFmtId="164" fontId="3" fillId="6" borderId="0" xfId="0" applyNumberFormat="1" applyFont="1" applyFill="1" applyAlignment="1">
      <alignment horizontal="center" vertical="center"/>
    </xf>
    <xf numFmtId="0" fontId="4" fillId="6" borderId="0" xfId="0" applyFont="1" applyFill="1" applyAlignment="1">
      <alignment vertical="center"/>
    </xf>
    <xf numFmtId="1" fontId="4" fillId="6" borderId="0" xfId="0" applyNumberFormat="1" applyFont="1" applyFill="1" applyAlignment="1">
      <alignment horizontal="right" vertical="center"/>
    </xf>
    <xf numFmtId="49" fontId="4" fillId="6" borderId="0" xfId="0" applyNumberFormat="1" applyFont="1" applyFill="1" applyAlignment="1">
      <alignment horizontal="center" vertical="center"/>
    </xf>
    <xf numFmtId="0" fontId="5" fillId="6" borderId="0" xfId="0" applyFont="1" applyFill="1" applyAlignment="1">
      <alignment horizontal="left" vertical="center"/>
    </xf>
    <xf numFmtId="0" fontId="4" fillId="10" borderId="0" xfId="0" applyFont="1" applyFill="1" applyAlignment="1">
      <alignment horizontal="left" vertical="center"/>
    </xf>
    <xf numFmtId="0" fontId="3" fillId="10" borderId="0" xfId="0" applyFont="1" applyFill="1" applyAlignment="1">
      <alignment horizontal="left" vertical="center"/>
    </xf>
    <xf numFmtId="0" fontId="16" fillId="6" borderId="0" xfId="0" applyFont="1" applyFill="1" applyAlignment="1">
      <alignment horizontal="left" vertical="center"/>
    </xf>
    <xf numFmtId="49" fontId="3" fillId="6" borderId="12" xfId="0" applyNumberFormat="1" applyFont="1" applyFill="1" applyBorder="1" applyAlignment="1">
      <alignment vertical="center"/>
    </xf>
    <xf numFmtId="49" fontId="3" fillId="6" borderId="7" xfId="0" applyNumberFormat="1" applyFont="1" applyFill="1" applyBorder="1" applyAlignment="1">
      <alignment vertical="center"/>
    </xf>
    <xf numFmtId="0" fontId="1" fillId="4" borderId="0" xfId="0" applyFont="1" applyFill="1" applyAlignment="1">
      <alignment horizontal="left" vertical="center"/>
    </xf>
    <xf numFmtId="0" fontId="10" fillId="6" borderId="0" xfId="0" applyFont="1" applyFill="1" applyAlignment="1">
      <alignment horizontal="center" vertical="center"/>
    </xf>
    <xf numFmtId="49" fontId="4" fillId="9" borderId="0" xfId="0" applyNumberFormat="1" applyFont="1" applyFill="1" applyAlignment="1">
      <alignment horizontal="left" vertical="center"/>
    </xf>
    <xf numFmtId="0" fontId="4" fillId="5" borderId="0" xfId="0" applyFont="1" applyFill="1" applyAlignment="1">
      <alignment horizontal="left" vertical="center"/>
    </xf>
    <xf numFmtId="0" fontId="3" fillId="8" borderId="0" xfId="0" applyFont="1" applyFill="1" applyAlignment="1">
      <alignment horizontal="left" vertical="center"/>
    </xf>
    <xf numFmtId="0" fontId="3" fillId="5" borderId="0" xfId="0" applyFont="1" applyFill="1" applyAlignment="1">
      <alignment horizontal="left" vertical="center"/>
    </xf>
    <xf numFmtId="0" fontId="4" fillId="2" borderId="0" xfId="0" applyFont="1" applyFill="1" applyAlignment="1">
      <alignment horizontal="left" vertical="center"/>
    </xf>
    <xf numFmtId="0" fontId="3" fillId="2" borderId="0" xfId="0" applyFont="1" applyFill="1" applyAlignment="1">
      <alignment horizontal="left" vertical="center"/>
    </xf>
    <xf numFmtId="0" fontId="4" fillId="3" borderId="0" xfId="0" applyFont="1" applyFill="1" applyAlignment="1">
      <alignment horizontal="left" vertical="center"/>
    </xf>
    <xf numFmtId="0" fontId="3" fillId="3" borderId="0" xfId="0" applyFont="1" applyFill="1" applyAlignment="1">
      <alignment horizontal="left" vertical="center"/>
    </xf>
    <xf numFmtId="0" fontId="16" fillId="6" borderId="0" xfId="0" applyFont="1" applyFill="1" applyAlignment="1">
      <alignment horizontal="center" vertical="center"/>
    </xf>
    <xf numFmtId="0" fontId="4" fillId="6" borderId="0" xfId="0" quotePrefix="1" applyFont="1" applyFill="1" applyAlignment="1">
      <alignment horizontal="center" vertical="center"/>
    </xf>
    <xf numFmtId="0" fontId="3" fillId="6" borderId="1" xfId="0" applyFont="1" applyFill="1" applyBorder="1" applyAlignment="1">
      <alignment horizontal="center" vertical="center"/>
    </xf>
    <xf numFmtId="0" fontId="13" fillId="6" borderId="0" xfId="0" applyFont="1" applyFill="1" applyAlignment="1">
      <alignment horizontal="center" vertical="center"/>
    </xf>
    <xf numFmtId="0" fontId="14" fillId="6" borderId="0" xfId="0" quotePrefix="1" applyFont="1" applyFill="1" applyAlignment="1">
      <alignment horizontal="center" vertical="center"/>
    </xf>
    <xf numFmtId="49" fontId="3" fillId="6" borderId="8" xfId="0" applyNumberFormat="1" applyFont="1" applyFill="1" applyBorder="1" applyAlignment="1" applyProtection="1">
      <alignment vertical="center"/>
      <protection locked="0"/>
    </xf>
    <xf numFmtId="0" fontId="3" fillId="6" borderId="10" xfId="0" applyFont="1" applyFill="1" applyBorder="1" applyAlignment="1" applyProtection="1">
      <alignment horizontal="center" vertical="center"/>
      <protection locked="0"/>
    </xf>
    <xf numFmtId="0" fontId="3" fillId="6" borderId="9" xfId="0" applyFont="1" applyFill="1" applyBorder="1" applyAlignment="1" applyProtection="1">
      <alignment horizontal="center" vertical="center"/>
      <protection locked="0"/>
    </xf>
    <xf numFmtId="0" fontId="3" fillId="6" borderId="8" xfId="0" applyFont="1" applyFill="1" applyBorder="1" applyAlignment="1" applyProtection="1">
      <alignment horizontal="center" vertical="center"/>
      <protection locked="0"/>
    </xf>
    <xf numFmtId="11" fontId="3" fillId="6" borderId="2" xfId="0" applyNumberFormat="1" applyFont="1" applyFill="1" applyBorder="1" applyAlignment="1" applyProtection="1">
      <alignment horizontal="center" vertical="center"/>
      <protection locked="0"/>
    </xf>
    <xf numFmtId="11" fontId="3" fillId="6" borderId="0" xfId="0" applyNumberFormat="1" applyFont="1" applyFill="1" applyAlignment="1">
      <alignment horizontal="center" vertical="center" wrapText="1"/>
    </xf>
    <xf numFmtId="10" fontId="3" fillId="6" borderId="0" xfId="0" applyNumberFormat="1" applyFont="1" applyFill="1" applyAlignment="1">
      <alignment horizontal="left" vertical="center"/>
    </xf>
    <xf numFmtId="0" fontId="15" fillId="7" borderId="0" xfId="0" applyFont="1" applyFill="1" applyAlignment="1">
      <alignment horizontal="center" vertical="center"/>
    </xf>
    <xf numFmtId="165" fontId="3" fillId="6" borderId="0" xfId="0" applyNumberFormat="1" applyFont="1" applyFill="1" applyAlignment="1">
      <alignment horizontal="center" vertical="center"/>
    </xf>
    <xf numFmtId="0" fontId="5" fillId="7" borderId="0" xfId="0" applyFont="1" applyFill="1" applyAlignment="1">
      <alignment horizontal="left" vertical="center" wrapText="1"/>
    </xf>
    <xf numFmtId="0" fontId="3" fillId="6" borderId="13" xfId="0" applyFont="1" applyFill="1" applyBorder="1" applyAlignment="1" applyProtection="1">
      <alignment horizontal="left" vertical="center"/>
      <protection locked="0"/>
    </xf>
    <xf numFmtId="0" fontId="3" fillId="6" borderId="0" xfId="0" applyFont="1" applyFill="1" applyAlignment="1" applyProtection="1">
      <alignment horizontal="left" vertical="center"/>
      <protection locked="0"/>
    </xf>
    <xf numFmtId="0" fontId="3" fillId="6" borderId="1" xfId="0" applyFont="1" applyFill="1" applyBorder="1" applyAlignment="1" applyProtection="1">
      <alignment horizontal="left" vertical="center"/>
      <protection locked="0"/>
    </xf>
    <xf numFmtId="0" fontId="3" fillId="6" borderId="13" xfId="0" applyFont="1" applyFill="1" applyBorder="1" applyAlignment="1" applyProtection="1">
      <alignment vertical="center" wrapText="1"/>
      <protection locked="0"/>
    </xf>
    <xf numFmtId="0" fontId="3" fillId="6" borderId="0" xfId="0" applyFont="1" applyFill="1" applyAlignment="1" applyProtection="1">
      <alignment vertical="center" wrapText="1"/>
      <protection locked="0"/>
    </xf>
    <xf numFmtId="0" fontId="3" fillId="6" borderId="0" xfId="0" applyFont="1" applyFill="1" applyAlignment="1" applyProtection="1">
      <alignment horizontal="right" vertical="center"/>
      <protection locked="0"/>
    </xf>
    <xf numFmtId="0" fontId="3" fillId="6" borderId="1" xfId="0" applyFont="1" applyFill="1" applyBorder="1" applyAlignment="1" applyProtection="1">
      <alignment vertical="center" wrapText="1"/>
      <protection locked="0"/>
    </xf>
    <xf numFmtId="0" fontId="3" fillId="6" borderId="13" xfId="0" applyFont="1" applyFill="1" applyBorder="1" applyAlignment="1" applyProtection="1">
      <alignment horizontal="left" vertical="center" wrapText="1"/>
      <protection locked="0"/>
    </xf>
    <xf numFmtId="0" fontId="3" fillId="6" borderId="0" xfId="0" applyFont="1" applyFill="1" applyAlignment="1" applyProtection="1">
      <alignment horizontal="left" vertical="center" wrapText="1"/>
      <protection locked="0"/>
    </xf>
    <xf numFmtId="0" fontId="3" fillId="6" borderId="1" xfId="0" applyFont="1" applyFill="1" applyBorder="1" applyAlignment="1" applyProtection="1">
      <alignment horizontal="left" vertical="center" wrapText="1"/>
      <protection locked="0"/>
    </xf>
    <xf numFmtId="0" fontId="3" fillId="6" borderId="22" xfId="0" applyFont="1" applyFill="1" applyBorder="1" applyAlignment="1" applyProtection="1">
      <alignment horizontal="left" vertical="center"/>
      <protection locked="0"/>
    </xf>
    <xf numFmtId="0" fontId="3" fillId="6" borderId="23" xfId="0" applyFont="1" applyFill="1" applyBorder="1" applyAlignment="1" applyProtection="1">
      <alignment horizontal="left" vertical="center"/>
      <protection locked="0"/>
    </xf>
    <xf numFmtId="0" fontId="3" fillId="6" borderId="24" xfId="0" applyFont="1" applyFill="1" applyBorder="1" applyAlignment="1" applyProtection="1">
      <alignment horizontal="left" vertical="center"/>
      <protection locked="0"/>
    </xf>
    <xf numFmtId="0" fontId="3" fillId="6" borderId="26" xfId="0" applyFont="1" applyFill="1" applyBorder="1" applyAlignment="1" applyProtection="1">
      <alignment horizontal="center" vertical="center"/>
      <protection locked="0"/>
    </xf>
    <xf numFmtId="0" fontId="15" fillId="7" borderId="0" xfId="0" applyFont="1" applyFill="1" applyAlignment="1">
      <alignment horizontal="left" vertical="center"/>
    </xf>
    <xf numFmtId="0" fontId="4" fillId="4" borderId="0" xfId="0" applyFont="1" applyFill="1" applyAlignment="1">
      <alignment horizontal="center" vertical="center"/>
    </xf>
    <xf numFmtId="0" fontId="4" fillId="8" borderId="0" xfId="0" applyFont="1" applyFill="1" applyAlignment="1">
      <alignment horizontal="center" vertical="center"/>
    </xf>
    <xf numFmtId="0" fontId="4" fillId="2" borderId="0" xfId="0" applyFont="1" applyFill="1" applyAlignment="1">
      <alignment horizontal="center" vertical="center"/>
    </xf>
    <xf numFmtId="0" fontId="4" fillId="3" borderId="0" xfId="0" applyFont="1" applyFill="1" applyAlignment="1">
      <alignment horizontal="center" vertical="center"/>
    </xf>
    <xf numFmtId="0" fontId="3" fillId="6" borderId="20" xfId="0" applyFont="1" applyFill="1" applyBorder="1" applyAlignment="1">
      <alignment horizontal="left" vertical="center"/>
    </xf>
    <xf numFmtId="0" fontId="3" fillId="6" borderId="22" xfId="0" applyFont="1" applyFill="1" applyBorder="1" applyAlignment="1">
      <alignment horizontal="left" vertical="center"/>
    </xf>
    <xf numFmtId="0" fontId="3" fillId="6" borderId="21" xfId="0" applyFont="1" applyFill="1" applyBorder="1" applyAlignment="1">
      <alignment horizontal="left" vertical="center" wrapText="1"/>
    </xf>
    <xf numFmtId="0" fontId="3" fillId="6" borderId="25" xfId="0" applyFont="1" applyFill="1" applyBorder="1" applyAlignment="1">
      <alignment horizontal="left" vertical="center" wrapText="1"/>
    </xf>
    <xf numFmtId="0" fontId="3" fillId="6" borderId="13" xfId="0" applyFont="1" applyFill="1" applyBorder="1" applyAlignment="1">
      <alignment horizontal="left" vertical="center"/>
    </xf>
    <xf numFmtId="0" fontId="3" fillId="6" borderId="1" xfId="0" applyFont="1" applyFill="1" applyBorder="1" applyAlignment="1">
      <alignment horizontal="left" vertical="center" wrapText="1"/>
    </xf>
    <xf numFmtId="0" fontId="3" fillId="6" borderId="23" xfId="0" applyFont="1" applyFill="1" applyBorder="1" applyAlignment="1">
      <alignment horizontal="left" vertical="center" wrapText="1"/>
    </xf>
    <xf numFmtId="0" fontId="3" fillId="6" borderId="24" xfId="0" applyFont="1" applyFill="1" applyBorder="1" applyAlignment="1">
      <alignment horizontal="left" vertical="center" wrapText="1"/>
    </xf>
    <xf numFmtId="0" fontId="3" fillId="6" borderId="27" xfId="0" applyFont="1" applyFill="1" applyBorder="1" applyAlignment="1" applyProtection="1">
      <alignment horizontal="center" vertical="center"/>
      <protection locked="0"/>
    </xf>
    <xf numFmtId="0" fontId="3" fillId="6" borderId="0" xfId="0" quotePrefix="1" applyFont="1" applyFill="1" applyAlignment="1">
      <alignment horizontal="right" vertical="center"/>
    </xf>
    <xf numFmtId="0" fontId="18" fillId="6" borderId="0" xfId="0" applyFont="1" applyFill="1" applyAlignment="1">
      <alignment horizontal="center" vertical="center"/>
    </xf>
    <xf numFmtId="0" fontId="22" fillId="6" borderId="0" xfId="1" applyFont="1" applyFill="1" applyAlignment="1">
      <alignment horizontal="left" vertical="center"/>
    </xf>
    <xf numFmtId="0" fontId="3" fillId="6" borderId="11" xfId="0" applyFont="1" applyFill="1" applyBorder="1" applyAlignment="1">
      <alignment horizontal="right" vertical="center"/>
    </xf>
    <xf numFmtId="0" fontId="16" fillId="6" borderId="0" xfId="0" quotePrefix="1" applyFont="1" applyFill="1" applyAlignment="1">
      <alignment horizontal="center" vertical="center"/>
    </xf>
    <xf numFmtId="0" fontId="24" fillId="6" borderId="0" xfId="0" applyFont="1" applyFill="1" applyAlignment="1">
      <alignment horizontal="left" vertical="center"/>
    </xf>
    <xf numFmtId="0" fontId="24" fillId="6" borderId="0" xfId="0" quotePrefix="1" applyFont="1" applyFill="1" applyAlignment="1">
      <alignment horizontal="left" vertical="center"/>
    </xf>
    <xf numFmtId="0" fontId="25" fillId="6" borderId="0" xfId="0" quotePrefix="1" applyFont="1" applyFill="1" applyAlignment="1">
      <alignment horizontal="left" vertical="center"/>
    </xf>
    <xf numFmtId="0" fontId="0" fillId="6" borderId="0" xfId="0" applyFill="1" applyAlignment="1">
      <alignment horizontal="right" vertical="center"/>
    </xf>
    <xf numFmtId="0" fontId="0" fillId="6" borderId="0" xfId="0" applyFill="1"/>
    <xf numFmtId="11" fontId="0" fillId="6" borderId="0" xfId="0" applyNumberFormat="1" applyFill="1" applyAlignment="1">
      <alignment vertical="center"/>
    </xf>
    <xf numFmtId="164" fontId="0" fillId="6" borderId="0" xfId="0" applyNumberFormat="1" applyFill="1" applyAlignment="1">
      <alignment horizontal="center" vertical="center"/>
    </xf>
    <xf numFmtId="0" fontId="0" fillId="6" borderId="0" xfId="0" applyFill="1" applyAlignment="1">
      <alignment horizontal="center" vertical="center"/>
    </xf>
    <xf numFmtId="0" fontId="4" fillId="9" borderId="0" xfId="0" applyFont="1" applyFill="1" applyAlignment="1">
      <alignment horizontal="left" vertical="center"/>
    </xf>
    <xf numFmtId="0" fontId="2" fillId="6" borderId="0" xfId="0" applyFont="1" applyFill="1" applyAlignment="1">
      <alignment horizontal="left" vertical="center"/>
    </xf>
    <xf numFmtId="0" fontId="12" fillId="6" borderId="0" xfId="0" applyFont="1" applyFill="1"/>
    <xf numFmtId="49" fontId="3" fillId="6" borderId="21" xfId="0" applyNumberFormat="1" applyFont="1" applyFill="1" applyBorder="1" applyAlignment="1">
      <alignment vertical="center"/>
    </xf>
    <xf numFmtId="0" fontId="3" fillId="6" borderId="21" xfId="0" applyFont="1" applyFill="1" applyBorder="1" applyAlignment="1">
      <alignment horizontal="center" vertical="center"/>
    </xf>
    <xf numFmtId="49" fontId="4" fillId="6" borderId="21" xfId="0" applyNumberFormat="1" applyFont="1" applyFill="1" applyBorder="1" applyAlignment="1">
      <alignment horizontal="right" vertical="center"/>
    </xf>
    <xf numFmtId="0" fontId="3" fillId="6" borderId="21" xfId="0" applyFont="1" applyFill="1" applyBorder="1" applyAlignment="1">
      <alignment horizontal="left" vertical="center"/>
    </xf>
    <xf numFmtId="49" fontId="3" fillId="6" borderId="23" xfId="0" applyNumberFormat="1" applyFont="1" applyFill="1" applyBorder="1" applyAlignment="1">
      <alignment vertical="center"/>
    </xf>
    <xf numFmtId="0" fontId="3" fillId="6" borderId="23" xfId="0" applyFont="1" applyFill="1" applyBorder="1" applyAlignment="1">
      <alignment horizontal="left" vertical="center"/>
    </xf>
    <xf numFmtId="0" fontId="3" fillId="6" borderId="0" xfId="0" applyFont="1" applyFill="1" applyAlignment="1">
      <alignment vertical="top"/>
    </xf>
    <xf numFmtId="0" fontId="4" fillId="9" borderId="21" xfId="0" applyFont="1" applyFill="1" applyBorder="1" applyAlignment="1">
      <alignment horizontal="left" vertical="center"/>
    </xf>
    <xf numFmtId="0" fontId="3" fillId="9" borderId="21" xfId="0" applyFont="1" applyFill="1" applyBorder="1" applyAlignment="1">
      <alignment horizontal="center" vertical="center"/>
    </xf>
    <xf numFmtId="49" fontId="4" fillId="9" borderId="21" xfId="0" applyNumberFormat="1" applyFont="1" applyFill="1" applyBorder="1" applyAlignment="1">
      <alignment horizontal="right" vertical="center"/>
    </xf>
    <xf numFmtId="49" fontId="3" fillId="9" borderId="21" xfId="0" applyNumberFormat="1" applyFont="1" applyFill="1" applyBorder="1" applyAlignment="1">
      <alignment vertical="center"/>
    </xf>
    <xf numFmtId="0" fontId="3" fillId="6" borderId="0" xfId="0" applyFont="1" applyFill="1" applyAlignment="1">
      <alignment horizontal="center" vertical="center" wrapText="1"/>
    </xf>
    <xf numFmtId="0" fontId="0" fillId="6" borderId="23" xfId="0" applyFill="1" applyBorder="1" applyAlignment="1">
      <alignment vertical="center"/>
    </xf>
    <xf numFmtId="0" fontId="15" fillId="6" borderId="0" xfId="0" applyFont="1" applyFill="1" applyAlignment="1">
      <alignment horizontal="center" vertical="center"/>
    </xf>
    <xf numFmtId="0" fontId="0" fillId="7" borderId="0" xfId="0" applyFill="1" applyAlignment="1">
      <alignment horizontal="center" vertical="center"/>
    </xf>
    <xf numFmtId="49" fontId="3" fillId="6" borderId="21" xfId="0" applyNumberFormat="1" applyFont="1" applyFill="1" applyBorder="1" applyAlignment="1">
      <alignment horizontal="left" vertical="center"/>
    </xf>
    <xf numFmtId="0" fontId="4" fillId="9" borderId="0" xfId="0" applyFont="1" applyFill="1" applyAlignment="1">
      <alignment horizontal="center" vertical="center"/>
    </xf>
    <xf numFmtId="49" fontId="4" fillId="9" borderId="0" xfId="0" applyNumberFormat="1" applyFont="1" applyFill="1" applyAlignment="1">
      <alignment horizontal="right" vertical="center"/>
    </xf>
    <xf numFmtId="49" fontId="4" fillId="9" borderId="0" xfId="0" applyNumberFormat="1" applyFont="1" applyFill="1" applyAlignment="1">
      <alignment horizontal="center" vertical="center"/>
    </xf>
    <xf numFmtId="0" fontId="4" fillId="6" borderId="23" xfId="0" applyFont="1" applyFill="1" applyBorder="1" applyAlignment="1">
      <alignment horizontal="center" vertical="center"/>
    </xf>
    <xf numFmtId="0" fontId="4" fillId="9" borderId="23" xfId="0" applyFont="1" applyFill="1" applyBorder="1" applyAlignment="1">
      <alignment horizontal="left" vertical="center"/>
    </xf>
    <xf numFmtId="0" fontId="3" fillId="9" borderId="23" xfId="0" applyFont="1" applyFill="1" applyBorder="1" applyAlignment="1">
      <alignment horizontal="center" vertical="center"/>
    </xf>
    <xf numFmtId="49" fontId="4" fillId="9" borderId="23" xfId="0" applyNumberFormat="1" applyFont="1" applyFill="1" applyBorder="1" applyAlignment="1">
      <alignment horizontal="right" vertical="center"/>
    </xf>
    <xf numFmtId="0" fontId="0" fillId="9" borderId="23" xfId="0" applyFill="1" applyBorder="1" applyAlignment="1">
      <alignment horizontal="left" vertical="center"/>
    </xf>
    <xf numFmtId="0" fontId="4" fillId="6" borderId="28" xfId="0" applyFont="1" applyFill="1" applyBorder="1" applyAlignment="1">
      <alignment horizontal="left" vertical="center"/>
    </xf>
    <xf numFmtId="0" fontId="3" fillId="6" borderId="28" xfId="0" applyFont="1" applyFill="1" applyBorder="1" applyAlignment="1">
      <alignment horizontal="center" vertical="center"/>
    </xf>
    <xf numFmtId="0" fontId="4" fillId="6" borderId="28" xfId="0" applyFont="1" applyFill="1" applyBorder="1" applyAlignment="1">
      <alignment horizontal="center" vertical="center"/>
    </xf>
    <xf numFmtId="0" fontId="0" fillId="6" borderId="28" xfId="0" applyFill="1" applyBorder="1" applyAlignment="1">
      <alignment vertical="center"/>
    </xf>
    <xf numFmtId="49" fontId="3" fillId="6" borderId="28" xfId="0" applyNumberFormat="1" applyFont="1" applyFill="1" applyBorder="1" applyAlignment="1">
      <alignment horizontal="left" vertical="center"/>
    </xf>
    <xf numFmtId="0" fontId="2" fillId="6" borderId="0" xfId="0" applyFont="1" applyFill="1" applyAlignment="1">
      <alignment horizontal="center" vertical="center"/>
    </xf>
    <xf numFmtId="0" fontId="4" fillId="6" borderId="23" xfId="0" applyFont="1" applyFill="1" applyBorder="1" applyAlignment="1">
      <alignment horizontal="left" vertical="center"/>
    </xf>
    <xf numFmtId="0" fontId="1" fillId="6" borderId="23" xfId="0" applyFont="1" applyFill="1" applyBorder="1" applyAlignment="1">
      <alignment horizontal="left" vertical="center"/>
    </xf>
    <xf numFmtId="0" fontId="3" fillId="6" borderId="2" xfId="0" applyFont="1" applyFill="1" applyBorder="1" applyAlignment="1" applyProtection="1">
      <alignment horizontal="center" vertical="center" wrapText="1"/>
      <protection locked="0"/>
    </xf>
    <xf numFmtId="0" fontId="9" fillId="6" borderId="0" xfId="1" applyFill="1" applyAlignment="1" applyProtection="1">
      <alignment horizontal="center" vertical="center" wrapText="1"/>
    </xf>
    <xf numFmtId="1" fontId="15" fillId="4" borderId="0" xfId="0" applyNumberFormat="1" applyFont="1" applyFill="1" applyAlignment="1">
      <alignment horizontal="center" vertical="center"/>
    </xf>
    <xf numFmtId="0" fontId="3" fillId="4" borderId="0" xfId="0" applyFont="1" applyFill="1" applyAlignment="1">
      <alignment horizontal="center" vertical="center"/>
    </xf>
    <xf numFmtId="0" fontId="4" fillId="6" borderId="0" xfId="0" applyFont="1" applyFill="1" applyAlignment="1">
      <alignment horizontal="left" vertical="center" wrapText="1"/>
    </xf>
    <xf numFmtId="164" fontId="3" fillId="6" borderId="10" xfId="0" applyNumberFormat="1" applyFont="1" applyFill="1" applyBorder="1" applyAlignment="1" applyProtection="1">
      <alignment horizontal="center" vertical="center"/>
      <protection locked="0"/>
    </xf>
    <xf numFmtId="0" fontId="3" fillId="6" borderId="0" xfId="0" applyFont="1" applyFill="1" applyAlignment="1">
      <alignment horizontal="right"/>
    </xf>
    <xf numFmtId="0" fontId="3" fillId="6" borderId="1" xfId="0" applyFont="1" applyFill="1" applyBorder="1" applyAlignment="1">
      <alignment horizontal="right"/>
    </xf>
    <xf numFmtId="0" fontId="3" fillId="6" borderId="29" xfId="0" applyFont="1" applyFill="1" applyBorder="1" applyAlignment="1" applyProtection="1">
      <alignment horizontal="center" vertical="center"/>
      <protection locked="0"/>
    </xf>
    <xf numFmtId="11" fontId="3" fillId="6" borderId="9" xfId="0" applyNumberFormat="1" applyFont="1" applyFill="1" applyBorder="1" applyAlignment="1" applyProtection="1">
      <alignment horizontal="center" vertical="center"/>
      <protection locked="0"/>
    </xf>
    <xf numFmtId="10" fontId="0" fillId="6" borderId="0" xfId="3" applyNumberFormat="1" applyFont="1" applyFill="1" applyAlignment="1">
      <alignment horizontal="center" vertical="center"/>
    </xf>
    <xf numFmtId="0" fontId="0" fillId="6" borderId="2" xfId="0" applyFill="1" applyBorder="1" applyAlignment="1" applyProtection="1">
      <alignment horizontal="center" vertical="center"/>
      <protection locked="0"/>
    </xf>
    <xf numFmtId="11" fontId="3" fillId="6" borderId="10" xfId="0" applyNumberFormat="1" applyFont="1" applyFill="1" applyBorder="1" applyAlignment="1" applyProtection="1">
      <alignment horizontal="center" vertical="center"/>
      <protection locked="0"/>
    </xf>
    <xf numFmtId="164" fontId="3" fillId="6" borderId="0" xfId="0" applyNumberFormat="1" applyFont="1" applyFill="1" applyAlignment="1">
      <alignment horizontal="left" vertical="center"/>
    </xf>
    <xf numFmtId="0" fontId="12" fillId="6" borderId="13" xfId="0" applyFont="1" applyFill="1" applyBorder="1" applyAlignment="1">
      <alignment horizontal="center" vertical="center"/>
    </xf>
    <xf numFmtId="0" fontId="12" fillId="6" borderId="1" xfId="0" applyFont="1" applyFill="1" applyBorder="1" applyAlignment="1">
      <alignment horizontal="center" vertical="center"/>
    </xf>
    <xf numFmtId="0" fontId="3" fillId="6" borderId="13" xfId="0" applyFont="1" applyFill="1" applyBorder="1" applyAlignment="1">
      <alignment horizontal="right" vertical="center"/>
    </xf>
    <xf numFmtId="11" fontId="0" fillId="6" borderId="0" xfId="0" applyNumberFormat="1" applyFill="1" applyAlignment="1">
      <alignment horizontal="center" vertical="center"/>
    </xf>
    <xf numFmtId="165" fontId="0" fillId="6" borderId="0" xfId="0" applyNumberFormat="1" applyFill="1" applyAlignment="1">
      <alignment horizontal="center" vertical="center"/>
    </xf>
    <xf numFmtId="0" fontId="4" fillId="6" borderId="0" xfId="0" applyFont="1" applyFill="1" applyAlignment="1">
      <alignment horizontal="center"/>
    </xf>
    <xf numFmtId="0" fontId="3" fillId="6" borderId="9" xfId="0" applyFont="1" applyFill="1" applyBorder="1" applyAlignment="1" applyProtection="1">
      <alignment horizontal="center"/>
      <protection locked="0"/>
    </xf>
    <xf numFmtId="0" fontId="3" fillId="6" borderId="0" xfId="0" applyFont="1" applyFill="1" applyAlignment="1">
      <alignment horizontal="left"/>
    </xf>
    <xf numFmtId="0" fontId="4" fillId="6" borderId="0" xfId="0" applyFont="1" applyFill="1" applyAlignment="1">
      <alignment horizontal="center" vertical="center" wrapText="1"/>
    </xf>
    <xf numFmtId="167" fontId="12" fillId="6" borderId="0" xfId="0" applyNumberFormat="1" applyFont="1" applyFill="1" applyAlignment="1">
      <alignment horizontal="center" vertical="center"/>
    </xf>
    <xf numFmtId="11" fontId="3" fillId="6" borderId="0" xfId="0" applyNumberFormat="1" applyFont="1" applyFill="1" applyAlignment="1">
      <alignment horizontal="right" vertical="center"/>
    </xf>
    <xf numFmtId="10" fontId="0" fillId="6" borderId="0" xfId="0" applyNumberFormat="1" applyFill="1" applyAlignment="1">
      <alignment horizontal="left" vertical="center"/>
    </xf>
    <xf numFmtId="1" fontId="3" fillId="6" borderId="2" xfId="0" applyNumberFormat="1" applyFont="1" applyFill="1" applyBorder="1" applyAlignment="1" applyProtection="1">
      <alignment horizontal="center" vertical="center"/>
      <protection locked="0"/>
    </xf>
    <xf numFmtId="10" fontId="3" fillId="6" borderId="0" xfId="3" applyNumberFormat="1" applyFont="1" applyFill="1" applyAlignment="1">
      <alignment horizontal="left" vertical="center"/>
    </xf>
    <xf numFmtId="166" fontId="0" fillId="6" borderId="2" xfId="0" applyNumberFormat="1" applyFill="1" applyBorder="1" applyAlignment="1" applyProtection="1">
      <alignment horizontal="center" vertical="center"/>
      <protection locked="0"/>
    </xf>
    <xf numFmtId="11" fontId="0" fillId="6" borderId="0" xfId="0" applyNumberFormat="1" applyFill="1" applyAlignment="1">
      <alignment horizontal="right" vertical="center"/>
    </xf>
    <xf numFmtId="167" fontId="0" fillId="6" borderId="0" xfId="0" applyNumberFormat="1" applyFill="1" applyAlignment="1">
      <alignment horizontal="center" vertical="center"/>
    </xf>
    <xf numFmtId="0" fontId="4" fillId="6" borderId="14" xfId="0" applyFont="1" applyFill="1" applyBorder="1" applyAlignment="1">
      <alignment horizontal="left" vertical="top"/>
    </xf>
    <xf numFmtId="0" fontId="4" fillId="6" borderId="6" xfId="0" applyFont="1" applyFill="1" applyBorder="1" applyAlignment="1">
      <alignment horizontal="center" vertical="top"/>
    </xf>
    <xf numFmtId="1" fontId="4" fillId="6" borderId="6" xfId="0" applyNumberFormat="1" applyFont="1" applyFill="1" applyBorder="1" applyAlignment="1">
      <alignment horizontal="center" vertical="top"/>
    </xf>
    <xf numFmtId="0" fontId="4" fillId="6" borderId="15" xfId="0" applyFont="1" applyFill="1" applyBorder="1" applyAlignment="1">
      <alignment horizontal="center" vertical="top"/>
    </xf>
    <xf numFmtId="0" fontId="3" fillId="6" borderId="2" xfId="0" applyFont="1" applyFill="1" applyBorder="1" applyAlignment="1" applyProtection="1">
      <alignment horizontal="center"/>
      <protection locked="0"/>
    </xf>
    <xf numFmtId="0" fontId="15" fillId="4" borderId="0" xfId="0" applyFont="1" applyFill="1" applyAlignment="1">
      <alignment horizontal="center" vertical="center" wrapText="1"/>
    </xf>
    <xf numFmtId="0" fontId="1" fillId="4" borderId="0" xfId="0" applyFont="1" applyFill="1" applyAlignment="1">
      <alignment horizontal="center" vertical="center"/>
    </xf>
    <xf numFmtId="0" fontId="3" fillId="6" borderId="30" xfId="0" applyFont="1" applyFill="1" applyBorder="1" applyAlignment="1">
      <alignment horizontal="left" vertical="top"/>
    </xf>
    <xf numFmtId="0" fontId="4" fillId="6" borderId="0" xfId="0" applyFont="1" applyFill="1" applyAlignment="1">
      <alignment horizontal="center" vertical="top"/>
    </xf>
    <xf numFmtId="1" fontId="4" fillId="6" borderId="0" xfId="0" applyNumberFormat="1" applyFont="1" applyFill="1" applyAlignment="1">
      <alignment horizontal="center" vertical="top"/>
    </xf>
    <xf numFmtId="0" fontId="4" fillId="6" borderId="11" xfId="0" applyFont="1" applyFill="1" applyBorder="1" applyAlignment="1">
      <alignment horizontal="center" vertical="top"/>
    </xf>
    <xf numFmtId="0" fontId="4" fillId="6" borderId="30" xfId="0" applyFont="1" applyFill="1" applyBorder="1" applyAlignment="1">
      <alignment horizontal="left" vertical="top"/>
    </xf>
    <xf numFmtId="11" fontId="3" fillId="6" borderId="0" xfId="0" applyNumberFormat="1" applyFont="1" applyFill="1" applyAlignment="1">
      <alignment horizontal="center"/>
    </xf>
    <xf numFmtId="11" fontId="3" fillId="6" borderId="2" xfId="0" applyNumberFormat="1" applyFont="1" applyFill="1" applyBorder="1" applyAlignment="1" applyProtection="1">
      <alignment horizontal="center"/>
      <protection locked="0"/>
    </xf>
    <xf numFmtId="0" fontId="4" fillId="6" borderId="30" xfId="0" applyFont="1" applyFill="1" applyBorder="1" applyAlignment="1">
      <alignment horizontal="center" vertical="top"/>
    </xf>
    <xf numFmtId="11" fontId="4" fillId="6" borderId="0" xfId="0" applyNumberFormat="1" applyFont="1" applyFill="1" applyAlignment="1">
      <alignment horizontal="center"/>
    </xf>
    <xf numFmtId="9" fontId="3" fillId="6" borderId="0" xfId="3" applyFont="1" applyFill="1" applyAlignment="1" applyProtection="1">
      <alignment horizontal="center"/>
    </xf>
    <xf numFmtId="0" fontId="4" fillId="6" borderId="30" xfId="0" applyFont="1" applyFill="1" applyBorder="1" applyAlignment="1">
      <alignment horizontal="center" vertical="top" wrapText="1"/>
    </xf>
    <xf numFmtId="0" fontId="4" fillId="6" borderId="0" xfId="0" applyFont="1" applyFill="1" applyAlignment="1">
      <alignment horizontal="center" vertical="top" wrapText="1"/>
    </xf>
    <xf numFmtId="1" fontId="4" fillId="6" borderId="0" xfId="0" applyNumberFormat="1" applyFont="1" applyFill="1" applyAlignment="1">
      <alignment horizontal="center" vertical="top" wrapText="1"/>
    </xf>
    <xf numFmtId="0" fontId="4" fillId="6" borderId="11" xfId="0" applyFont="1" applyFill="1" applyBorder="1" applyAlignment="1">
      <alignment horizontal="center" vertical="top" wrapText="1"/>
    </xf>
    <xf numFmtId="11" fontId="4" fillId="6" borderId="0" xfId="0" applyNumberFormat="1" applyFont="1" applyFill="1" applyAlignment="1">
      <alignment horizontal="left"/>
    </xf>
    <xf numFmtId="0" fontId="3" fillId="4" borderId="30" xfId="0" applyFont="1" applyFill="1" applyBorder="1" applyAlignment="1" applyProtection="1">
      <alignment horizontal="center" vertical="top" wrapText="1"/>
      <protection locked="0"/>
    </xf>
    <xf numFmtId="0" fontId="3" fillId="4" borderId="0" xfId="0" applyFont="1" applyFill="1" applyAlignment="1" applyProtection="1">
      <alignment horizontal="center" vertical="top" wrapText="1"/>
      <protection locked="0"/>
    </xf>
    <xf numFmtId="166" fontId="4" fillId="6" borderId="0" xfId="0" applyNumberFormat="1" applyFont="1" applyFill="1" applyAlignment="1">
      <alignment horizontal="center" vertical="top" wrapText="1"/>
    </xf>
    <xf numFmtId="0" fontId="4" fillId="4" borderId="30" xfId="0" applyFont="1" applyFill="1" applyBorder="1" applyAlignment="1" applyProtection="1">
      <alignment horizontal="center" vertical="top" wrapText="1"/>
      <protection locked="0"/>
    </xf>
    <xf numFmtId="0" fontId="4" fillId="4" borderId="11" xfId="0" applyFont="1" applyFill="1" applyBorder="1" applyAlignment="1" applyProtection="1">
      <alignment horizontal="center" vertical="top" wrapText="1"/>
      <protection locked="0"/>
    </xf>
    <xf numFmtId="11" fontId="3" fillId="6" borderId="0" xfId="0" applyNumberFormat="1" applyFont="1" applyFill="1" applyAlignment="1">
      <alignment horizontal="left" vertical="center"/>
    </xf>
    <xf numFmtId="0" fontId="3" fillId="4" borderId="30" xfId="0" applyFont="1" applyFill="1" applyBorder="1" applyAlignment="1" applyProtection="1">
      <alignment horizontal="center" vertical="center"/>
      <protection locked="0"/>
    </xf>
    <xf numFmtId="0" fontId="3" fillId="4" borderId="0" xfId="0" applyFont="1" applyFill="1" applyAlignment="1" applyProtection="1">
      <alignment horizontal="center" vertical="center"/>
      <protection locked="0"/>
    </xf>
    <xf numFmtId="0" fontId="3" fillId="4" borderId="11" xfId="0" applyFont="1" applyFill="1" applyBorder="1" applyAlignment="1" applyProtection="1">
      <alignment horizontal="center" vertical="center"/>
      <protection locked="0"/>
    </xf>
    <xf numFmtId="0" fontId="2" fillId="4" borderId="0" xfId="0" applyFont="1" applyFill="1" applyAlignment="1">
      <alignment horizontal="right" vertical="center"/>
    </xf>
    <xf numFmtId="0" fontId="3" fillId="7" borderId="0" xfId="0" applyFont="1" applyFill="1" applyAlignment="1">
      <alignment horizontal="center"/>
    </xf>
    <xf numFmtId="0" fontId="3" fillId="6" borderId="0" xfId="0" applyFont="1" applyFill="1" applyAlignment="1">
      <alignment horizontal="center"/>
    </xf>
    <xf numFmtId="0" fontId="12" fillId="6" borderId="0" xfId="0" applyFont="1" applyFill="1" applyAlignment="1">
      <alignment horizontal="left"/>
    </xf>
    <xf numFmtId="0" fontId="0" fillId="6" borderId="0" xfId="0" applyFill="1" applyAlignment="1">
      <alignment horizontal="right"/>
    </xf>
    <xf numFmtId="0" fontId="3" fillId="6" borderId="0" xfId="0" applyFont="1" applyFill="1" applyAlignment="1">
      <alignment horizontal="left" vertical="top"/>
    </xf>
    <xf numFmtId="0" fontId="0" fillId="6" borderId="0" xfId="0" applyFill="1" applyAlignment="1">
      <alignment horizontal="left" vertical="top"/>
    </xf>
    <xf numFmtId="0" fontId="3" fillId="6" borderId="10" xfId="0" applyFont="1" applyFill="1" applyBorder="1" applyAlignment="1" applyProtection="1">
      <alignment horizontal="center"/>
      <protection locked="0"/>
    </xf>
    <xf numFmtId="49" fontId="5" fillId="6" borderId="0" xfId="0" applyNumberFormat="1" applyFont="1" applyFill="1" applyAlignment="1">
      <alignment horizontal="center" vertical="center"/>
    </xf>
    <xf numFmtId="0" fontId="12" fillId="6" borderId="0" xfId="0" applyFont="1" applyFill="1" applyAlignment="1">
      <alignment horizontal="center" vertical="top"/>
    </xf>
    <xf numFmtId="0" fontId="12" fillId="6" borderId="0" xfId="0" applyFont="1" applyFill="1" applyAlignment="1">
      <alignment horizontal="center"/>
    </xf>
    <xf numFmtId="0" fontId="3" fillId="4" borderId="30" xfId="0" applyFont="1" applyFill="1" applyBorder="1" applyAlignment="1" applyProtection="1">
      <alignment horizontal="center" vertical="center" wrapText="1"/>
      <protection locked="0"/>
    </xf>
    <xf numFmtId="0" fontId="3" fillId="4" borderId="0" xfId="0" applyFont="1" applyFill="1" applyAlignment="1" applyProtection="1">
      <alignment horizontal="center" vertical="center" wrapText="1"/>
      <protection locked="0"/>
    </xf>
    <xf numFmtId="0" fontId="3" fillId="4" borderId="11" xfId="0" applyFont="1" applyFill="1" applyBorder="1" applyAlignment="1" applyProtection="1">
      <alignment horizontal="center" vertical="center" wrapText="1"/>
      <protection locked="0"/>
    </xf>
    <xf numFmtId="11" fontId="0" fillId="6" borderId="0" xfId="0" applyNumberFormat="1" applyFill="1"/>
    <xf numFmtId="164" fontId="0" fillId="6" borderId="0" xfId="0" applyNumberFormat="1" applyFill="1" applyAlignment="1">
      <alignment horizontal="center"/>
    </xf>
    <xf numFmtId="0" fontId="0" fillId="6" borderId="0" xfId="0" applyFill="1" applyAlignment="1">
      <alignment horizontal="center"/>
    </xf>
    <xf numFmtId="0" fontId="0" fillId="6" borderId="8" xfId="0" applyFill="1" applyBorder="1" applyAlignment="1" applyProtection="1">
      <alignment horizontal="center" vertical="center"/>
      <protection locked="0"/>
    </xf>
    <xf numFmtId="0" fontId="0" fillId="6" borderId="10" xfId="0" applyFill="1" applyBorder="1" applyAlignment="1" applyProtection="1">
      <alignment horizontal="center" vertical="center"/>
      <protection locked="0"/>
    </xf>
    <xf numFmtId="11" fontId="4" fillId="6" borderId="0" xfId="0" applyNumberFormat="1" applyFont="1" applyFill="1" applyAlignment="1">
      <alignment horizontal="left" vertical="center"/>
    </xf>
    <xf numFmtId="1" fontId="4" fillId="4" borderId="30" xfId="0" applyNumberFormat="1" applyFont="1" applyFill="1" applyBorder="1" applyAlignment="1" applyProtection="1">
      <alignment horizontal="center" vertical="center" wrapText="1"/>
      <protection locked="0"/>
    </xf>
    <xf numFmtId="1" fontId="4" fillId="4" borderId="0" xfId="0" applyNumberFormat="1" applyFont="1" applyFill="1" applyAlignment="1" applyProtection="1">
      <alignment horizontal="center" vertical="center" wrapText="1"/>
      <protection locked="0"/>
    </xf>
    <xf numFmtId="1" fontId="4" fillId="4" borderId="11" xfId="0" applyNumberFormat="1" applyFont="1" applyFill="1" applyBorder="1" applyAlignment="1" applyProtection="1">
      <alignment horizontal="center" vertical="center" wrapText="1"/>
      <protection locked="0"/>
    </xf>
    <xf numFmtId="1" fontId="3" fillId="6" borderId="0" xfId="0" applyNumberFormat="1" applyFont="1" applyFill="1" applyAlignment="1">
      <alignment horizontal="center" vertical="center" wrapText="1"/>
    </xf>
    <xf numFmtId="2" fontId="3" fillId="6" borderId="0" xfId="0" applyNumberFormat="1" applyFont="1" applyFill="1" applyAlignment="1">
      <alignment horizontal="center" vertical="center" wrapText="1"/>
    </xf>
    <xf numFmtId="11" fontId="3" fillId="4" borderId="30" xfId="0" applyNumberFormat="1" applyFont="1" applyFill="1" applyBorder="1" applyAlignment="1" applyProtection="1">
      <alignment horizontal="center" vertical="center"/>
      <protection locked="0"/>
    </xf>
    <xf numFmtId="11" fontId="3" fillId="4" borderId="0" xfId="0" applyNumberFormat="1" applyFont="1" applyFill="1" applyAlignment="1" applyProtection="1">
      <alignment horizontal="center" vertical="center"/>
      <protection locked="0"/>
    </xf>
    <xf numFmtId="11" fontId="3" fillId="4" borderId="11" xfId="0" applyNumberFormat="1" applyFont="1" applyFill="1" applyBorder="1" applyAlignment="1" applyProtection="1">
      <alignment horizontal="center" vertical="center"/>
      <protection locked="0"/>
    </xf>
    <xf numFmtId="1" fontId="4" fillId="4" borderId="30" xfId="0" applyNumberFormat="1" applyFont="1" applyFill="1" applyBorder="1" applyAlignment="1" applyProtection="1">
      <alignment horizontal="center" vertical="center"/>
      <protection locked="0"/>
    </xf>
    <xf numFmtId="1" fontId="4" fillId="4" borderId="0" xfId="0" applyNumberFormat="1" applyFont="1" applyFill="1" applyAlignment="1" applyProtection="1">
      <alignment horizontal="center" vertical="center"/>
      <protection locked="0"/>
    </xf>
    <xf numFmtId="1" fontId="4" fillId="4" borderId="11" xfId="0" applyNumberFormat="1" applyFont="1" applyFill="1" applyBorder="1" applyAlignment="1" applyProtection="1">
      <alignment horizontal="center" vertical="center"/>
      <protection locked="0"/>
    </xf>
    <xf numFmtId="0" fontId="12" fillId="6" borderId="0" xfId="0" applyFont="1" applyFill="1" applyAlignment="1">
      <alignment horizontal="right"/>
    </xf>
    <xf numFmtId="164" fontId="4" fillId="6" borderId="0" xfId="0" applyNumberFormat="1" applyFont="1" applyFill="1" applyAlignment="1">
      <alignment horizontal="center" vertical="center"/>
    </xf>
    <xf numFmtId="0" fontId="30" fillId="6" borderId="0" xfId="0" applyFont="1" applyFill="1" applyAlignment="1">
      <alignment horizontal="right" vertical="center"/>
    </xf>
    <xf numFmtId="167" fontId="12" fillId="6" borderId="0" xfId="0" applyNumberFormat="1" applyFont="1" applyFill="1" applyAlignment="1">
      <alignment horizontal="right" vertical="center"/>
    </xf>
    <xf numFmtId="0" fontId="4" fillId="6" borderId="9" xfId="0" applyFont="1" applyFill="1" applyBorder="1" applyAlignment="1" applyProtection="1">
      <alignment horizontal="center" vertical="center" wrapText="1"/>
      <protection locked="0"/>
    </xf>
    <xf numFmtId="0" fontId="19" fillId="6" borderId="0" xfId="0" applyFont="1" applyFill="1" applyAlignment="1">
      <alignment horizontal="center" vertical="center"/>
    </xf>
    <xf numFmtId="0" fontId="0" fillId="0" borderId="0" xfId="0" applyAlignment="1">
      <alignment horizontal="center" vertical="center"/>
    </xf>
    <xf numFmtId="0" fontId="3" fillId="6" borderId="10" xfId="0" applyFont="1" applyFill="1" applyBorder="1" applyAlignment="1" applyProtection="1">
      <alignment horizontal="center" vertical="center" wrapText="1"/>
      <protection locked="0"/>
    </xf>
    <xf numFmtId="0" fontId="12" fillId="0" borderId="0" xfId="0" applyFont="1" applyAlignment="1">
      <alignment horizontal="center" vertical="center"/>
    </xf>
    <xf numFmtId="0" fontId="0" fillId="0" borderId="0" xfId="0" applyAlignment="1">
      <alignment horizontal="right" vertical="center"/>
    </xf>
    <xf numFmtId="11" fontId="0" fillId="0" borderId="2" xfId="0" applyNumberFormat="1" applyBorder="1" applyAlignment="1" applyProtection="1">
      <alignment horizontal="center" vertical="center"/>
      <protection locked="0"/>
    </xf>
    <xf numFmtId="10" fontId="0" fillId="6" borderId="0" xfId="0" applyNumberFormat="1" applyFill="1" applyAlignment="1">
      <alignment horizontal="center" vertical="center"/>
    </xf>
    <xf numFmtId="0" fontId="3" fillId="6" borderId="0" xfId="0" applyFont="1" applyFill="1" applyAlignment="1">
      <alignment vertical="center" wrapText="1"/>
    </xf>
    <xf numFmtId="1" fontId="3" fillId="4" borderId="0" xfId="0" applyNumberFormat="1" applyFont="1" applyFill="1" applyAlignment="1" applyProtection="1">
      <alignment horizontal="center" vertical="center"/>
      <protection locked="0"/>
    </xf>
    <xf numFmtId="0" fontId="4" fillId="7" borderId="0" xfId="0" applyFont="1" applyFill="1" applyAlignment="1">
      <alignment horizontal="center"/>
    </xf>
    <xf numFmtId="0" fontId="4" fillId="7" borderId="0" xfId="0" applyFont="1" applyFill="1" applyAlignment="1">
      <alignment horizontal="right"/>
    </xf>
    <xf numFmtId="0" fontId="3" fillId="7" borderId="0" xfId="0" applyFont="1" applyFill="1" applyAlignment="1">
      <alignment horizontal="left"/>
    </xf>
    <xf numFmtId="0" fontId="0" fillId="6" borderId="0" xfId="0" applyFill="1" applyAlignment="1">
      <alignment horizontal="center" wrapText="1"/>
    </xf>
    <xf numFmtId="0" fontId="1" fillId="4" borderId="0" xfId="0" applyFont="1" applyFill="1" applyAlignment="1">
      <alignment horizontal="center"/>
    </xf>
    <xf numFmtId="0" fontId="1" fillId="4" borderId="0" xfId="0" applyFont="1" applyFill="1" applyAlignment="1">
      <alignment horizontal="right"/>
    </xf>
    <xf numFmtId="0" fontId="2" fillId="4" borderId="0" xfId="0" applyFont="1" applyFill="1" applyAlignment="1">
      <alignment horizontal="left"/>
    </xf>
    <xf numFmtId="0" fontId="15" fillId="4" borderId="0" xfId="0" applyFont="1" applyFill="1" applyAlignment="1">
      <alignment vertical="center"/>
    </xf>
    <xf numFmtId="0" fontId="1" fillId="4" borderId="0" xfId="0" applyFont="1" applyFill="1" applyAlignment="1">
      <alignment horizontal="left"/>
    </xf>
    <xf numFmtId="0" fontId="3" fillId="7" borderId="0" xfId="0" applyFont="1" applyFill="1" applyAlignment="1">
      <alignment horizontal="right"/>
    </xf>
    <xf numFmtId="0" fontId="2" fillId="4" borderId="0" xfId="0" applyFont="1" applyFill="1" applyAlignment="1">
      <alignment horizontal="center"/>
    </xf>
    <xf numFmtId="0" fontId="2" fillId="4" borderId="0" xfId="0" applyFont="1" applyFill="1" applyAlignment="1">
      <alignment horizontal="right"/>
    </xf>
    <xf numFmtId="0" fontId="4" fillId="6" borderId="0" xfId="0" applyFont="1" applyFill="1" applyAlignment="1">
      <alignment horizontal="center" wrapText="1"/>
    </xf>
    <xf numFmtId="0" fontId="3" fillId="6" borderId="0" xfId="0" applyFont="1" applyFill="1" applyAlignment="1">
      <alignment horizontal="center" wrapText="1"/>
    </xf>
    <xf numFmtId="0" fontId="3" fillId="6" borderId="26" xfId="0" applyFont="1" applyFill="1" applyBorder="1" applyAlignment="1" applyProtection="1">
      <alignment horizontal="center"/>
      <protection locked="0"/>
    </xf>
    <xf numFmtId="0" fontId="0" fillId="6" borderId="0" xfId="0" quotePrefix="1" applyFill="1" applyAlignment="1">
      <alignment horizontal="center"/>
    </xf>
    <xf numFmtId="0" fontId="0" fillId="6" borderId="0" xfId="0" applyFill="1" applyAlignment="1">
      <alignment horizontal="left" vertical="top" wrapText="1"/>
    </xf>
    <xf numFmtId="0" fontId="3" fillId="6" borderId="8" xfId="0" applyFont="1" applyFill="1" applyBorder="1" applyAlignment="1" applyProtection="1">
      <alignment horizontal="center"/>
      <protection locked="0"/>
    </xf>
    <xf numFmtId="0" fontId="31" fillId="6" borderId="0" xfId="0" applyFont="1" applyFill="1" applyAlignment="1">
      <alignment horizontal="center" vertical="center"/>
    </xf>
    <xf numFmtId="0" fontId="2" fillId="7" borderId="0" xfId="0" applyFont="1" applyFill="1" applyAlignment="1">
      <alignment horizontal="left"/>
    </xf>
    <xf numFmtId="0" fontId="1" fillId="7" borderId="0" xfId="0" applyFont="1" applyFill="1" applyAlignment="1">
      <alignment horizontal="center"/>
    </xf>
    <xf numFmtId="0" fontId="1" fillId="7" borderId="0" xfId="0" applyFont="1" applyFill="1" applyAlignment="1">
      <alignment horizontal="left"/>
    </xf>
    <xf numFmtId="0" fontId="0" fillId="6" borderId="0" xfId="0" applyFill="1" applyAlignment="1">
      <alignment horizontal="left"/>
    </xf>
    <xf numFmtId="0" fontId="15" fillId="4" borderId="0" xfId="0" applyFont="1" applyFill="1" applyAlignment="1">
      <alignment horizontal="center" vertical="center"/>
    </xf>
    <xf numFmtId="0" fontId="3" fillId="6" borderId="0" xfId="0" applyFont="1" applyFill="1" applyAlignment="1">
      <alignment horizontal="center" vertical="center"/>
    </xf>
    <xf numFmtId="0" fontId="4" fillId="6" borderId="0" xfId="0" applyFont="1" applyFill="1" applyAlignment="1">
      <alignment horizontal="center" vertical="center"/>
    </xf>
    <xf numFmtId="0" fontId="5" fillId="6" borderId="2" xfId="0" applyFont="1" applyFill="1" applyBorder="1" applyAlignment="1">
      <alignment horizontal="center" vertical="center"/>
    </xf>
    <xf numFmtId="0" fontId="3" fillId="6" borderId="3" xfId="0" applyFont="1" applyFill="1" applyBorder="1" applyAlignment="1" applyProtection="1">
      <alignment horizontal="center" vertical="center"/>
      <protection locked="0"/>
    </xf>
    <xf numFmtId="0" fontId="3" fillId="6" borderId="4" xfId="0" applyFont="1" applyFill="1" applyBorder="1" applyAlignment="1" applyProtection="1">
      <alignment horizontal="center" vertical="center"/>
      <protection locked="0"/>
    </xf>
    <xf numFmtId="0" fontId="3" fillId="6" borderId="5" xfId="0" applyFont="1" applyFill="1" applyBorder="1" applyAlignment="1" applyProtection="1">
      <alignment horizontal="center" vertical="center"/>
      <protection locked="0"/>
    </xf>
    <xf numFmtId="0" fontId="5" fillId="6" borderId="0" xfId="0" applyFont="1" applyFill="1" applyAlignment="1">
      <alignment horizontal="center" vertical="center"/>
    </xf>
    <xf numFmtId="0" fontId="5" fillId="9" borderId="0" xfId="0" applyFont="1" applyFill="1" applyAlignment="1">
      <alignment horizontal="center" vertical="center"/>
    </xf>
    <xf numFmtId="0" fontId="14" fillId="6" borderId="0" xfId="0" applyFont="1" applyFill="1" applyAlignment="1">
      <alignment horizontal="center" vertical="center"/>
    </xf>
    <xf numFmtId="0" fontId="4" fillId="6" borderId="3" xfId="0" applyFont="1" applyFill="1" applyBorder="1" applyAlignment="1" applyProtection="1">
      <alignment horizontal="center" vertical="center"/>
      <protection locked="0"/>
    </xf>
    <xf numFmtId="0" fontId="4" fillId="6" borderId="4" xfId="0" applyFont="1" applyFill="1" applyBorder="1" applyAlignment="1" applyProtection="1">
      <alignment horizontal="center" vertical="center"/>
      <protection locked="0"/>
    </xf>
    <xf numFmtId="0" fontId="4" fillId="6" borderId="5" xfId="0" applyFont="1" applyFill="1" applyBorder="1" applyAlignment="1" applyProtection="1">
      <alignment horizontal="center" vertical="center"/>
      <protection locked="0"/>
    </xf>
    <xf numFmtId="0" fontId="3" fillId="6" borderId="0" xfId="0" applyFont="1" applyFill="1" applyAlignment="1">
      <alignment horizontal="right" vertical="center"/>
    </xf>
    <xf numFmtId="49" fontId="3" fillId="6" borderId="3" xfId="0" applyNumberFormat="1" applyFont="1" applyFill="1" applyBorder="1" applyAlignment="1" applyProtection="1">
      <alignment vertical="center"/>
      <protection locked="0"/>
    </xf>
    <xf numFmtId="49" fontId="3" fillId="6" borderId="4" xfId="0" applyNumberFormat="1" applyFont="1" applyFill="1" applyBorder="1" applyAlignment="1" applyProtection="1">
      <alignment vertical="center"/>
      <protection locked="0"/>
    </xf>
    <xf numFmtId="49" fontId="3" fillId="6" borderId="5" xfId="0" applyNumberFormat="1" applyFont="1" applyFill="1" applyBorder="1" applyAlignment="1" applyProtection="1">
      <alignment vertical="center"/>
      <protection locked="0"/>
    </xf>
    <xf numFmtId="0" fontId="5" fillId="6" borderId="0" xfId="0" applyFont="1" applyFill="1" applyAlignment="1">
      <alignment horizontal="center" vertical="center" wrapText="1"/>
    </xf>
    <xf numFmtId="0" fontId="4" fillId="6" borderId="18" xfId="0" applyFont="1" applyFill="1" applyBorder="1" applyAlignment="1">
      <alignment horizontal="center" vertical="center"/>
    </xf>
    <xf numFmtId="0" fontId="4" fillId="6" borderId="19" xfId="0" applyFont="1" applyFill="1" applyBorder="1" applyAlignment="1">
      <alignment horizontal="center" vertical="center"/>
    </xf>
    <xf numFmtId="0" fontId="3" fillId="6" borderId="18" xfId="0" applyFont="1" applyFill="1" applyBorder="1" applyAlignment="1" applyProtection="1">
      <alignment horizontal="center" vertical="center"/>
      <protection locked="0"/>
    </xf>
    <xf numFmtId="0" fontId="3" fillId="6" borderId="19" xfId="0" applyFont="1" applyFill="1" applyBorder="1" applyAlignment="1" applyProtection="1">
      <alignment horizontal="center" vertical="center"/>
      <protection locked="0"/>
    </xf>
    <xf numFmtId="0" fontId="4" fillId="6" borderId="2" xfId="0" applyFont="1" applyFill="1" applyBorder="1" applyAlignment="1" applyProtection="1">
      <alignment horizontal="center" vertical="center"/>
      <protection locked="0"/>
    </xf>
    <xf numFmtId="0" fontId="4" fillId="6" borderId="10" xfId="0" applyFont="1" applyFill="1" applyBorder="1" applyAlignment="1" applyProtection="1">
      <alignment horizontal="center" vertical="center"/>
      <protection locked="0"/>
    </xf>
    <xf numFmtId="0" fontId="9" fillId="6" borderId="2" xfId="1" applyFill="1" applyBorder="1" applyAlignment="1" applyProtection="1">
      <alignment horizontal="center" vertical="center"/>
      <protection locked="0"/>
    </xf>
    <xf numFmtId="0" fontId="3" fillId="6" borderId="2" xfId="0" applyFont="1" applyFill="1" applyBorder="1" applyAlignment="1" applyProtection="1">
      <alignment horizontal="center" vertical="center"/>
      <protection locked="0"/>
    </xf>
    <xf numFmtId="0" fontId="4" fillId="6" borderId="7" xfId="0" applyFont="1" applyFill="1" applyBorder="1" applyAlignment="1">
      <alignment horizontal="center" vertical="center"/>
    </xf>
    <xf numFmtId="0" fontId="5" fillId="6" borderId="14" xfId="0" applyFont="1" applyFill="1" applyBorder="1" applyAlignment="1" applyProtection="1">
      <alignment horizontal="center" vertical="center"/>
      <protection locked="0"/>
    </xf>
    <xf numFmtId="0" fontId="5" fillId="6" borderId="6" xfId="0" applyFont="1" applyFill="1" applyBorder="1" applyAlignment="1" applyProtection="1">
      <alignment horizontal="center" vertical="center"/>
      <protection locked="0"/>
    </xf>
    <xf numFmtId="0" fontId="5" fillId="6" borderId="15" xfId="0" applyFont="1" applyFill="1" applyBorder="1" applyAlignment="1" applyProtection="1">
      <alignment horizontal="center" vertical="center"/>
      <protection locked="0"/>
    </xf>
    <xf numFmtId="0" fontId="5" fillId="6" borderId="16" xfId="0" applyFont="1" applyFill="1" applyBorder="1" applyAlignment="1" applyProtection="1">
      <alignment horizontal="center" vertical="center"/>
      <protection locked="0"/>
    </xf>
    <xf numFmtId="0" fontId="5" fillId="6" borderId="7" xfId="0" applyFont="1" applyFill="1" applyBorder="1" applyAlignment="1" applyProtection="1">
      <alignment horizontal="center" vertical="center"/>
      <protection locked="0"/>
    </xf>
    <xf numFmtId="0" fontId="5" fillId="6" borderId="17" xfId="0" applyFont="1" applyFill="1" applyBorder="1" applyAlignment="1" applyProtection="1">
      <alignment horizontal="center" vertical="center"/>
      <protection locked="0"/>
    </xf>
    <xf numFmtId="0" fontId="4" fillId="6" borderId="8" xfId="0" applyFont="1" applyFill="1" applyBorder="1" applyAlignment="1" applyProtection="1">
      <alignment horizontal="center" vertical="center"/>
      <protection locked="0"/>
    </xf>
    <xf numFmtId="0" fontId="11" fillId="6" borderId="0" xfId="0" applyFont="1" applyFill="1" applyAlignment="1">
      <alignment horizontal="center" vertical="center"/>
    </xf>
    <xf numFmtId="0" fontId="17" fillId="6" borderId="0" xfId="0" applyFont="1" applyFill="1" applyAlignment="1">
      <alignment horizontal="left" vertical="center" wrapText="1"/>
    </xf>
    <xf numFmtId="49" fontId="9" fillId="6" borderId="2" xfId="1" applyNumberFormat="1" applyFill="1" applyBorder="1" applyAlignment="1" applyProtection="1">
      <alignment horizontal="center" vertical="center"/>
      <protection locked="0"/>
    </xf>
    <xf numFmtId="49" fontId="3" fillId="6" borderId="2" xfId="0" applyNumberFormat="1" applyFont="1" applyFill="1" applyBorder="1" applyAlignment="1" applyProtection="1">
      <alignment horizontal="center" vertical="center"/>
      <protection locked="0"/>
    </xf>
    <xf numFmtId="0" fontId="1" fillId="8" borderId="0" xfId="0" applyFont="1" applyFill="1" applyAlignment="1">
      <alignment horizontal="left" vertical="center" wrapText="1"/>
    </xf>
    <xf numFmtId="49" fontId="3" fillId="6" borderId="2" xfId="1" applyNumberFormat="1" applyFont="1" applyFill="1" applyBorder="1" applyAlignment="1" applyProtection="1">
      <alignment horizontal="center" vertical="center"/>
      <protection locked="0"/>
    </xf>
    <xf numFmtId="0" fontId="12" fillId="6" borderId="0" xfId="0" applyFont="1" applyFill="1" applyAlignment="1">
      <alignment horizontal="left" vertical="center"/>
    </xf>
    <xf numFmtId="0" fontId="0" fillId="6" borderId="0" xfId="0" applyFill="1" applyAlignment="1">
      <alignment horizontal="right" vertical="center"/>
    </xf>
    <xf numFmtId="0" fontId="2" fillId="4" borderId="0" xfId="0" applyFont="1" applyFill="1" applyAlignment="1">
      <alignment horizontal="center" vertical="center"/>
    </xf>
    <xf numFmtId="0" fontId="12" fillId="6" borderId="0" xfId="0" applyFont="1" applyFill="1" applyAlignment="1">
      <alignment horizontal="center" vertical="center"/>
    </xf>
    <xf numFmtId="0" fontId="12" fillId="6" borderId="13" xfId="0" applyFont="1" applyFill="1" applyBorder="1" applyAlignment="1">
      <alignment horizontal="center" vertical="center"/>
    </xf>
    <xf numFmtId="0" fontId="12" fillId="6" borderId="1" xfId="0" applyFont="1" applyFill="1" applyBorder="1" applyAlignment="1">
      <alignment horizontal="center" vertical="center"/>
    </xf>
    <xf numFmtId="167" fontId="12" fillId="6" borderId="0" xfId="0" applyNumberFormat="1" applyFont="1" applyFill="1" applyAlignment="1">
      <alignment horizontal="center" vertical="center"/>
    </xf>
    <xf numFmtId="0" fontId="3" fillId="6" borderId="28" xfId="0" applyFont="1" applyFill="1" applyBorder="1" applyAlignment="1" applyProtection="1">
      <alignment horizontal="center" vertical="center"/>
      <protection locked="0"/>
    </xf>
    <xf numFmtId="0" fontId="3" fillId="6" borderId="3" xfId="0" applyFont="1" applyFill="1" applyBorder="1" applyAlignment="1" applyProtection="1">
      <alignment horizontal="center" vertical="center" wrapText="1"/>
      <protection locked="0"/>
    </xf>
    <xf numFmtId="0" fontId="3" fillId="6" borderId="5" xfId="0" applyFont="1" applyFill="1" applyBorder="1" applyAlignment="1" applyProtection="1">
      <alignment horizontal="center" vertical="center" wrapText="1"/>
      <protection locked="0"/>
    </xf>
    <xf numFmtId="0" fontId="0" fillId="6" borderId="0" xfId="0" applyFill="1" applyAlignment="1">
      <alignment horizontal="center" vertical="center"/>
    </xf>
    <xf numFmtId="0" fontId="4" fillId="6" borderId="0" xfId="0" applyFont="1" applyFill="1" applyAlignment="1">
      <alignment horizontal="right" vertical="center"/>
    </xf>
    <xf numFmtId="0" fontId="3" fillId="6" borderId="0" xfId="0" applyFont="1" applyFill="1" applyAlignment="1">
      <alignment horizontal="center" vertical="center" wrapText="1"/>
    </xf>
    <xf numFmtId="0" fontId="0" fillId="0" borderId="5" xfId="0" applyBorder="1" applyAlignment="1" applyProtection="1">
      <alignment horizontal="center" vertical="center"/>
      <protection locked="0"/>
    </xf>
    <xf numFmtId="11" fontId="3" fillId="6" borderId="3" xfId="0" applyNumberFormat="1" applyFont="1" applyFill="1" applyBorder="1" applyAlignment="1" applyProtection="1">
      <alignment horizontal="center" vertical="center"/>
      <protection locked="0"/>
    </xf>
    <xf numFmtId="11" fontId="3" fillId="6" borderId="5" xfId="0" applyNumberFormat="1" applyFont="1" applyFill="1" applyBorder="1" applyAlignment="1" applyProtection="1">
      <alignment horizontal="center" vertical="center"/>
      <protection locked="0"/>
    </xf>
    <xf numFmtId="0" fontId="3" fillId="7" borderId="0" xfId="0" applyFont="1" applyFill="1" applyAlignment="1">
      <alignment horizontal="center" vertical="center"/>
    </xf>
    <xf numFmtId="0" fontId="3" fillId="6" borderId="0" xfId="0" applyFont="1" applyFill="1" applyAlignment="1">
      <alignment horizontal="left" vertical="center" wrapText="1"/>
    </xf>
    <xf numFmtId="0" fontId="2" fillId="4" borderId="0" xfId="0" applyFont="1" applyFill="1" applyAlignment="1">
      <alignment horizontal="left" vertical="center" wrapText="1"/>
    </xf>
    <xf numFmtId="0" fontId="26" fillId="0" borderId="0" xfId="0" applyFont="1" applyAlignment="1">
      <alignment horizontal="center" vertical="center"/>
    </xf>
    <xf numFmtId="0" fontId="3" fillId="4" borderId="0" xfId="0" applyFont="1" applyFill="1" applyAlignment="1">
      <alignment horizontal="center" vertical="center"/>
    </xf>
    <xf numFmtId="11" fontId="3" fillId="6" borderId="13" xfId="0" applyNumberFormat="1" applyFont="1" applyFill="1" applyBorder="1" applyAlignment="1">
      <alignment horizontal="center" vertical="center"/>
    </xf>
    <xf numFmtId="11" fontId="3" fillId="6" borderId="0" xfId="0" applyNumberFormat="1" applyFont="1" applyFill="1" applyAlignment="1">
      <alignment horizontal="center" vertical="center"/>
    </xf>
    <xf numFmtId="11" fontId="3" fillId="7" borderId="13" xfId="0" applyNumberFormat="1" applyFont="1" applyFill="1" applyBorder="1" applyAlignment="1">
      <alignment horizontal="center" vertical="center"/>
    </xf>
    <xf numFmtId="11" fontId="3" fillId="7" borderId="0" xfId="0" applyNumberFormat="1" applyFont="1" applyFill="1" applyAlignment="1">
      <alignment horizontal="center" vertical="center"/>
    </xf>
    <xf numFmtId="11" fontId="3" fillId="7" borderId="2" xfId="0" applyNumberFormat="1" applyFont="1" applyFill="1" applyBorder="1" applyAlignment="1" applyProtection="1">
      <alignment horizontal="center" vertical="center"/>
      <protection locked="0"/>
    </xf>
    <xf numFmtId="49" fontId="16" fillId="6" borderId="0" xfId="0" applyNumberFormat="1" applyFont="1" applyFill="1" applyAlignment="1">
      <alignment horizontal="center" vertical="center" wrapText="1"/>
    </xf>
    <xf numFmtId="0" fontId="4" fillId="7" borderId="0" xfId="0" applyFont="1" applyFill="1" applyAlignment="1">
      <alignment horizontal="center" vertical="center"/>
    </xf>
    <xf numFmtId="11" fontId="3" fillId="6" borderId="2" xfId="0" applyNumberFormat="1" applyFont="1" applyFill="1" applyBorder="1" applyAlignment="1" applyProtection="1">
      <alignment horizontal="center" vertical="center"/>
      <protection locked="0"/>
    </xf>
    <xf numFmtId="49" fontId="17" fillId="9" borderId="0" xfId="0" applyNumberFormat="1" applyFont="1" applyFill="1" applyAlignment="1">
      <alignment horizontal="center" vertical="center" wrapText="1"/>
    </xf>
    <xf numFmtId="0" fontId="3" fillId="6" borderId="31" xfId="0" applyFont="1" applyFill="1" applyBorder="1" applyAlignment="1" applyProtection="1">
      <alignment horizontal="center" vertical="center"/>
      <protection locked="0"/>
    </xf>
    <xf numFmtId="0" fontId="3" fillId="6" borderId="11" xfId="0" applyFont="1" applyFill="1" applyBorder="1" applyAlignment="1">
      <alignment horizontal="center" vertical="center"/>
    </xf>
    <xf numFmtId="0" fontId="3" fillId="6" borderId="22" xfId="0" applyFont="1" applyFill="1" applyBorder="1" applyAlignment="1" applyProtection="1">
      <alignment horizontal="center" vertical="center"/>
      <protection locked="0"/>
    </xf>
    <xf numFmtId="0" fontId="3" fillId="6" borderId="23" xfId="0" applyFont="1" applyFill="1" applyBorder="1" applyAlignment="1" applyProtection="1">
      <alignment horizontal="center" vertical="center"/>
      <protection locked="0"/>
    </xf>
    <xf numFmtId="0" fontId="3" fillId="6" borderId="24" xfId="0" applyFont="1" applyFill="1" applyBorder="1" applyAlignment="1" applyProtection="1">
      <alignment horizontal="center" vertical="center"/>
      <protection locked="0"/>
    </xf>
    <xf numFmtId="49" fontId="5" fillId="6" borderId="0" xfId="0" applyNumberFormat="1" applyFont="1" applyFill="1" applyAlignment="1">
      <alignment horizontal="center" vertical="center"/>
    </xf>
    <xf numFmtId="0" fontId="3" fillId="6" borderId="3" xfId="0" applyFont="1" applyFill="1" applyBorder="1" applyAlignment="1" applyProtection="1">
      <alignment horizontal="center"/>
      <protection locked="0"/>
    </xf>
    <xf numFmtId="0" fontId="0" fillId="0" borderId="5" xfId="0" applyBorder="1" applyAlignment="1" applyProtection="1">
      <alignment horizontal="center"/>
      <protection locked="0"/>
    </xf>
    <xf numFmtId="0" fontId="4" fillId="6" borderId="7" xfId="0" applyFont="1" applyFill="1" applyBorder="1" applyAlignment="1">
      <alignment horizontal="center"/>
    </xf>
    <xf numFmtId="0" fontId="3" fillId="6" borderId="3" xfId="0" applyFont="1" applyFill="1" applyBorder="1" applyAlignment="1" applyProtection="1">
      <alignment horizontal="center" wrapText="1"/>
      <protection locked="0"/>
    </xf>
    <xf numFmtId="0" fontId="3" fillId="6" borderId="5" xfId="0" applyFont="1" applyFill="1" applyBorder="1" applyAlignment="1" applyProtection="1">
      <alignment horizontal="center" wrapText="1"/>
      <protection locked="0"/>
    </xf>
    <xf numFmtId="0" fontId="4" fillId="6" borderId="0" xfId="0" applyFont="1" applyFill="1" applyAlignment="1">
      <alignment horizontal="center"/>
    </xf>
    <xf numFmtId="0" fontId="12" fillId="0" borderId="0" xfId="0" applyFont="1" applyAlignment="1">
      <alignment horizontal="center"/>
    </xf>
    <xf numFmtId="0" fontId="3" fillId="6" borderId="0" xfId="0" applyFont="1" applyFill="1" applyAlignment="1">
      <alignment horizontal="center"/>
    </xf>
    <xf numFmtId="0" fontId="3" fillId="6" borderId="2" xfId="0" applyFont="1" applyFill="1" applyBorder="1" applyAlignment="1" applyProtection="1">
      <alignment horizontal="center" vertical="center" wrapText="1"/>
      <protection locked="0"/>
    </xf>
    <xf numFmtId="0" fontId="3" fillId="6" borderId="3" xfId="0" quotePrefix="1" applyFont="1" applyFill="1" applyBorder="1" applyAlignment="1" applyProtection="1">
      <alignment horizontal="center" vertical="center" wrapText="1"/>
      <protection locked="0"/>
    </xf>
    <xf numFmtId="0" fontId="3" fillId="6" borderId="16" xfId="0" applyFont="1" applyFill="1" applyBorder="1" applyAlignment="1" applyProtection="1">
      <alignment horizontal="center" vertical="center"/>
      <protection locked="0"/>
    </xf>
    <xf numFmtId="0" fontId="0" fillId="0" borderId="17" xfId="0" applyBorder="1" applyAlignment="1" applyProtection="1">
      <alignment horizontal="center" vertical="center"/>
      <protection locked="0"/>
    </xf>
    <xf numFmtId="0" fontId="0" fillId="0" borderId="6" xfId="0" applyBorder="1" applyAlignment="1">
      <alignment horizontal="center" vertical="center"/>
    </xf>
    <xf numFmtId="0" fontId="3" fillId="6" borderId="13" xfId="0" applyFont="1" applyFill="1" applyBorder="1" applyAlignment="1" applyProtection="1">
      <alignment horizontal="center" vertical="center"/>
      <protection locked="0"/>
    </xf>
    <xf numFmtId="0" fontId="3" fillId="6" borderId="0" xfId="0" applyFont="1" applyFill="1" applyAlignment="1" applyProtection="1">
      <alignment horizontal="center" vertical="center"/>
      <protection locked="0"/>
    </xf>
    <xf numFmtId="0" fontId="3" fillId="6" borderId="1" xfId="0" applyFont="1" applyFill="1" applyBorder="1" applyAlignment="1" applyProtection="1">
      <alignment horizontal="center" vertical="center"/>
      <protection locked="0"/>
    </xf>
    <xf numFmtId="0" fontId="3" fillId="6" borderId="5" xfId="0" applyFont="1" applyFill="1" applyBorder="1" applyAlignment="1" applyProtection="1">
      <alignment horizontal="center"/>
      <protection locked="0"/>
    </xf>
    <xf numFmtId="0" fontId="29" fillId="9" borderId="0" xfId="0" applyFont="1" applyFill="1" applyAlignment="1">
      <alignment horizontal="center" vertical="center"/>
    </xf>
    <xf numFmtId="0" fontId="28" fillId="4" borderId="0" xfId="0" applyFont="1" applyFill="1" applyAlignment="1">
      <alignment horizontal="center" vertical="center"/>
    </xf>
    <xf numFmtId="0" fontId="15" fillId="4" borderId="0" xfId="0" applyFont="1" applyFill="1" applyAlignment="1">
      <alignment horizontal="center" vertical="center" wrapText="1"/>
    </xf>
    <xf numFmtId="0" fontId="4" fillId="6" borderId="0" xfId="0" applyFont="1" applyFill="1" applyAlignment="1">
      <alignment horizontal="center" wrapText="1"/>
    </xf>
    <xf numFmtId="0" fontId="0" fillId="0" borderId="0" xfId="0" applyAlignment="1">
      <alignment horizontal="center"/>
    </xf>
    <xf numFmtId="0" fontId="3" fillId="7" borderId="0" xfId="0" applyFont="1" applyFill="1" applyAlignment="1">
      <alignment horizontal="center"/>
    </xf>
    <xf numFmtId="0" fontId="5" fillId="6" borderId="0" xfId="0" applyFont="1" applyFill="1" applyAlignment="1">
      <alignment horizontal="center"/>
    </xf>
    <xf numFmtId="0" fontId="12" fillId="6" borderId="0" xfId="0" applyFont="1" applyFill="1" applyAlignment="1">
      <alignment horizontal="center"/>
    </xf>
    <xf numFmtId="0" fontId="31" fillId="0" borderId="0" xfId="0" applyFont="1" applyAlignment="1">
      <alignment horizontal="center" vertical="center"/>
    </xf>
    <xf numFmtId="0" fontId="0" fillId="6" borderId="0" xfId="0" applyFill="1" applyAlignment="1">
      <alignment horizontal="center"/>
    </xf>
  </cellXfs>
  <cellStyles count="4">
    <cellStyle name="Hyperlink" xfId="1" builtinId="8"/>
    <cellStyle name="Normal" xfId="0" builtinId="0"/>
    <cellStyle name="Percent" xfId="3" builtinId="5"/>
    <cellStyle name="Percent 2" xfId="2" xr:uid="{3672BEEF-E612-40E5-B4C5-7817A346FD20}"/>
  </cellStyles>
  <dxfs count="40">
    <dxf>
      <fill>
        <patternFill>
          <bgColor theme="9"/>
        </patternFill>
      </fill>
    </dxf>
    <dxf>
      <font>
        <color theme="0"/>
      </font>
      <fill>
        <patternFill>
          <bgColor theme="3"/>
        </patternFill>
      </fill>
    </dxf>
    <dxf>
      <fill>
        <patternFill>
          <bgColor theme="4"/>
        </patternFill>
      </fill>
    </dxf>
    <dxf>
      <fill>
        <patternFill>
          <bgColor theme="7"/>
        </patternFill>
      </fill>
    </dxf>
    <dxf>
      <fill>
        <patternFill>
          <bgColor theme="5" tint="0.79998168889431442"/>
        </patternFill>
      </fill>
    </dxf>
    <dxf>
      <fill>
        <patternFill>
          <bgColor theme="9"/>
        </patternFill>
      </fill>
    </dxf>
    <dxf>
      <font>
        <color theme="0"/>
      </font>
      <fill>
        <patternFill>
          <bgColor theme="3"/>
        </patternFill>
      </fill>
    </dxf>
    <dxf>
      <fill>
        <patternFill>
          <bgColor theme="4"/>
        </patternFill>
      </fill>
    </dxf>
    <dxf>
      <fill>
        <patternFill>
          <bgColor theme="7"/>
        </patternFill>
      </fill>
    </dxf>
    <dxf>
      <fill>
        <patternFill>
          <bgColor theme="5" tint="0.79998168889431442"/>
        </patternFill>
      </fill>
    </dxf>
    <dxf>
      <font>
        <color theme="0"/>
      </font>
      <fill>
        <patternFill>
          <bgColor theme="3"/>
        </patternFill>
      </fill>
    </dxf>
    <dxf>
      <fill>
        <patternFill>
          <bgColor theme="4"/>
        </patternFill>
      </fill>
    </dxf>
    <dxf>
      <fill>
        <patternFill>
          <bgColor theme="7"/>
        </patternFill>
      </fill>
    </dxf>
    <dxf>
      <fill>
        <patternFill>
          <bgColor theme="5" tint="0.79998168889431442"/>
        </patternFill>
      </fill>
    </dxf>
    <dxf>
      <fill>
        <patternFill>
          <bgColor theme="9"/>
        </patternFill>
      </fill>
    </dxf>
    <dxf>
      <font>
        <color theme="0"/>
      </font>
      <fill>
        <patternFill>
          <bgColor theme="3"/>
        </patternFill>
      </fill>
    </dxf>
    <dxf>
      <fill>
        <patternFill>
          <bgColor theme="4"/>
        </patternFill>
      </fill>
    </dxf>
    <dxf>
      <fill>
        <patternFill>
          <bgColor theme="7"/>
        </patternFill>
      </fill>
    </dxf>
    <dxf>
      <fill>
        <patternFill>
          <bgColor theme="5" tint="0.79998168889431442"/>
        </patternFill>
      </fill>
    </dxf>
    <dxf>
      <fill>
        <patternFill>
          <bgColor theme="8" tint="0.79998168889431442"/>
        </patternFill>
      </fill>
    </dxf>
    <dxf>
      <fill>
        <patternFill>
          <bgColor theme="8" tint="0.79998168889431442"/>
        </patternFill>
      </fill>
    </dxf>
    <dxf>
      <font>
        <color theme="0"/>
      </font>
      <fill>
        <patternFill>
          <bgColor theme="3"/>
        </patternFill>
      </fill>
    </dxf>
    <dxf>
      <fill>
        <patternFill>
          <bgColor theme="4"/>
        </patternFill>
      </fill>
    </dxf>
    <dxf>
      <fill>
        <patternFill>
          <bgColor theme="9"/>
        </patternFill>
      </fill>
    </dxf>
    <dxf>
      <fill>
        <patternFill>
          <bgColor theme="7"/>
        </patternFill>
      </fill>
    </dxf>
    <dxf>
      <fill>
        <patternFill>
          <bgColor theme="5" tint="0.79998168889431442"/>
        </patternFill>
      </fill>
    </dxf>
    <dxf>
      <fill>
        <patternFill>
          <bgColor theme="4"/>
        </patternFill>
      </fill>
    </dxf>
    <dxf>
      <fill>
        <patternFill>
          <bgColor theme="9"/>
        </patternFill>
      </fill>
    </dxf>
    <dxf>
      <fill>
        <patternFill>
          <bgColor theme="7"/>
        </patternFill>
      </fill>
    </dxf>
    <dxf>
      <font>
        <color theme="0"/>
      </font>
      <fill>
        <patternFill>
          <bgColor theme="3"/>
        </patternFill>
      </fill>
    </dxf>
    <dxf>
      <fill>
        <patternFill>
          <bgColor theme="5" tint="0.79998168889431442"/>
        </patternFill>
      </fill>
    </dxf>
    <dxf>
      <fill>
        <patternFill>
          <bgColor theme="4"/>
        </patternFill>
      </fill>
    </dxf>
    <dxf>
      <fill>
        <patternFill>
          <bgColor theme="9"/>
        </patternFill>
      </fill>
    </dxf>
    <dxf>
      <fill>
        <patternFill>
          <bgColor theme="7"/>
        </patternFill>
      </fill>
    </dxf>
    <dxf>
      <font>
        <color theme="0"/>
      </font>
      <fill>
        <patternFill>
          <bgColor theme="3"/>
        </patternFill>
      </fill>
    </dxf>
    <dxf>
      <fill>
        <patternFill>
          <bgColor theme="4"/>
        </patternFill>
      </fill>
    </dxf>
    <dxf>
      <fill>
        <patternFill>
          <bgColor theme="9"/>
        </patternFill>
      </fill>
    </dxf>
    <dxf>
      <fill>
        <patternFill>
          <bgColor theme="7"/>
        </patternFill>
      </fill>
    </dxf>
    <dxf>
      <font>
        <color theme="0"/>
      </font>
      <fill>
        <patternFill>
          <bgColor theme="3"/>
        </patternFill>
      </fill>
    </dxf>
    <dxf>
      <fill>
        <patternFill>
          <bgColor theme="5" tint="0.79998168889431442"/>
        </patternFill>
      </fill>
    </dxf>
  </dxfs>
  <tableStyles count="0" defaultTableStyle="TableStyleMedium2" defaultPivotStyle="PivotStyleLight16"/>
  <colors>
    <mruColors>
      <color rgb="FFD55E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7" Type="http://schemas.openxmlformats.org/officeDocument/2006/relationships/image" Target="../media/image7.jp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jp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3" Type="http://schemas.openxmlformats.org/officeDocument/2006/relationships/image" Target="../media/image22.jpg"/><Relationship Id="rId2" Type="http://schemas.openxmlformats.org/officeDocument/2006/relationships/image" Target="../media/image21.jpg"/><Relationship Id="rId1" Type="http://schemas.openxmlformats.org/officeDocument/2006/relationships/image" Target="../media/image20.png"/><Relationship Id="rId5" Type="http://schemas.openxmlformats.org/officeDocument/2006/relationships/image" Target="../media/image24.jpg"/><Relationship Id="rId4" Type="http://schemas.openxmlformats.org/officeDocument/2006/relationships/image" Target="../media/image23.jpg"/></Relationships>
</file>

<file path=xl/drawings/_rels/drawing3.xml.rels><?xml version="1.0" encoding="UTF-8" standalone="yes"?>
<Relationships xmlns="http://schemas.openxmlformats.org/package/2006/relationships"><Relationship Id="rId8" Type="http://schemas.openxmlformats.org/officeDocument/2006/relationships/image" Target="../media/image32.png"/><Relationship Id="rId13" Type="http://schemas.openxmlformats.org/officeDocument/2006/relationships/image" Target="../media/image37.png"/><Relationship Id="rId3" Type="http://schemas.openxmlformats.org/officeDocument/2006/relationships/image" Target="../media/image27.png"/><Relationship Id="rId7" Type="http://schemas.openxmlformats.org/officeDocument/2006/relationships/image" Target="../media/image31.jpeg"/><Relationship Id="rId12" Type="http://schemas.openxmlformats.org/officeDocument/2006/relationships/image" Target="../media/image36.png"/><Relationship Id="rId2" Type="http://schemas.openxmlformats.org/officeDocument/2006/relationships/image" Target="../media/image26.png"/><Relationship Id="rId1" Type="http://schemas.openxmlformats.org/officeDocument/2006/relationships/image" Target="../media/image25.png"/><Relationship Id="rId6" Type="http://schemas.openxmlformats.org/officeDocument/2006/relationships/image" Target="../media/image30.png"/><Relationship Id="rId11" Type="http://schemas.openxmlformats.org/officeDocument/2006/relationships/image" Target="../media/image35.PNG"/><Relationship Id="rId5" Type="http://schemas.openxmlformats.org/officeDocument/2006/relationships/image" Target="../media/image29.png"/><Relationship Id="rId10" Type="http://schemas.openxmlformats.org/officeDocument/2006/relationships/image" Target="../media/image34.png"/><Relationship Id="rId4" Type="http://schemas.openxmlformats.org/officeDocument/2006/relationships/image" Target="../media/image28.png"/><Relationship Id="rId9" Type="http://schemas.openxmlformats.org/officeDocument/2006/relationships/image" Target="../media/image33.png"/><Relationship Id="rId14" Type="http://schemas.openxmlformats.org/officeDocument/2006/relationships/image" Target="../media/image38.png"/></Relationships>
</file>

<file path=xl/drawings/_rels/drawing4.xml.rels><?xml version="1.0" encoding="UTF-8" standalone="yes"?>
<Relationships xmlns="http://schemas.openxmlformats.org/package/2006/relationships"><Relationship Id="rId3" Type="http://schemas.openxmlformats.org/officeDocument/2006/relationships/image" Target="../media/image41.png"/><Relationship Id="rId7" Type="http://schemas.openxmlformats.org/officeDocument/2006/relationships/image" Target="../media/image45.png"/><Relationship Id="rId2" Type="http://schemas.openxmlformats.org/officeDocument/2006/relationships/image" Target="../media/image40.png"/><Relationship Id="rId1" Type="http://schemas.openxmlformats.org/officeDocument/2006/relationships/image" Target="../media/image39.jpg"/><Relationship Id="rId6" Type="http://schemas.openxmlformats.org/officeDocument/2006/relationships/image" Target="../media/image44.png"/><Relationship Id="rId5" Type="http://schemas.openxmlformats.org/officeDocument/2006/relationships/image" Target="../media/image43.png"/><Relationship Id="rId4" Type="http://schemas.openxmlformats.org/officeDocument/2006/relationships/image" Target="../media/image42.png"/></Relationships>
</file>

<file path=xl/drawings/_rels/drawing5.xml.rels><?xml version="1.0" encoding="UTF-8" standalone="yes"?>
<Relationships xmlns="http://schemas.openxmlformats.org/package/2006/relationships"><Relationship Id="rId2" Type="http://schemas.openxmlformats.org/officeDocument/2006/relationships/image" Target="../media/image47.png"/><Relationship Id="rId1" Type="http://schemas.openxmlformats.org/officeDocument/2006/relationships/image" Target="../media/image46.png"/></Relationships>
</file>

<file path=xl/drawings/drawing1.xml><?xml version="1.0" encoding="utf-8"?>
<xdr:wsDr xmlns:xdr="http://schemas.openxmlformats.org/drawingml/2006/spreadsheetDrawing" xmlns:a="http://schemas.openxmlformats.org/drawingml/2006/main">
  <xdr:twoCellAnchor editAs="oneCell">
    <xdr:from>
      <xdr:col>58</xdr:col>
      <xdr:colOff>38100</xdr:colOff>
      <xdr:row>3</xdr:row>
      <xdr:rowOff>127000</xdr:rowOff>
    </xdr:from>
    <xdr:to>
      <xdr:col>72</xdr:col>
      <xdr:colOff>254000</xdr:colOff>
      <xdr:row>22</xdr:row>
      <xdr:rowOff>64592</xdr:rowOff>
    </xdr:to>
    <xdr:pic>
      <xdr:nvPicPr>
        <xdr:cNvPr id="37" name="Picture 36">
          <a:extLst>
            <a:ext uri="{FF2B5EF4-FFF2-40B4-BE49-F238E27FC236}">
              <a16:creationId xmlns:a16="http://schemas.microsoft.com/office/drawing/2014/main" id="{5568AF0B-4FAA-1C45-9AC8-D19CC49FF7B7}"/>
            </a:ext>
          </a:extLst>
        </xdr:cNvPr>
        <xdr:cNvPicPr>
          <a:picLocks noChangeAspect="1"/>
        </xdr:cNvPicPr>
      </xdr:nvPicPr>
      <xdr:blipFill>
        <a:blip xmlns:r="http://schemas.openxmlformats.org/officeDocument/2006/relationships" r:embed="rId1"/>
        <a:stretch>
          <a:fillRect/>
        </a:stretch>
      </xdr:blipFill>
      <xdr:spPr>
        <a:xfrm>
          <a:off x="40767000" y="723900"/>
          <a:ext cx="10058400" cy="3557092"/>
        </a:xfrm>
        <a:prstGeom prst="rect">
          <a:avLst/>
        </a:prstGeom>
      </xdr:spPr>
    </xdr:pic>
    <xdr:clientData/>
  </xdr:twoCellAnchor>
  <xdr:twoCellAnchor editAs="oneCell">
    <xdr:from>
      <xdr:col>102</xdr:col>
      <xdr:colOff>9525</xdr:colOff>
      <xdr:row>2</xdr:row>
      <xdr:rowOff>12501</xdr:rowOff>
    </xdr:from>
    <xdr:to>
      <xdr:col>125</xdr:col>
      <xdr:colOff>144851</xdr:colOff>
      <xdr:row>98</xdr:row>
      <xdr:rowOff>119908</xdr:rowOff>
    </xdr:to>
    <xdr:pic>
      <xdr:nvPicPr>
        <xdr:cNvPr id="11" name="Picture 10">
          <a:extLst>
            <a:ext uri="{FF2B5EF4-FFF2-40B4-BE49-F238E27FC236}">
              <a16:creationId xmlns:a16="http://schemas.microsoft.com/office/drawing/2014/main" id="{B6143BF9-EF29-45E1-97EE-3B0581E1C9F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xdr:blipFill>
      <xdr:spPr>
        <a:xfrm>
          <a:off x="62398275" y="431601"/>
          <a:ext cx="14156126" cy="18624007"/>
        </a:xfrm>
        <a:prstGeom prst="rect">
          <a:avLst/>
        </a:prstGeom>
      </xdr:spPr>
    </xdr:pic>
    <xdr:clientData/>
  </xdr:twoCellAnchor>
  <xdr:twoCellAnchor editAs="oneCell">
    <xdr:from>
      <xdr:col>125</xdr:col>
      <xdr:colOff>0</xdr:colOff>
      <xdr:row>2</xdr:row>
      <xdr:rowOff>0</xdr:rowOff>
    </xdr:from>
    <xdr:to>
      <xdr:col>140</xdr:col>
      <xdr:colOff>313143</xdr:colOff>
      <xdr:row>100</xdr:row>
      <xdr:rowOff>111924</xdr:rowOff>
    </xdr:to>
    <xdr:pic>
      <xdr:nvPicPr>
        <xdr:cNvPr id="18" name="Picture 17">
          <a:extLst>
            <a:ext uri="{FF2B5EF4-FFF2-40B4-BE49-F238E27FC236}">
              <a16:creationId xmlns:a16="http://schemas.microsoft.com/office/drawing/2014/main" id="{AC1D8BA1-DACD-5B85-58ED-C5229ADFC5A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76409550" y="419100"/>
          <a:ext cx="9457143" cy="19009524"/>
        </a:xfrm>
        <a:prstGeom prst="rect">
          <a:avLst/>
        </a:prstGeom>
      </xdr:spPr>
    </xdr:pic>
    <xdr:clientData/>
  </xdr:twoCellAnchor>
  <xdr:twoCellAnchor editAs="oneCell">
    <xdr:from>
      <xdr:col>90</xdr:col>
      <xdr:colOff>381000</xdr:colOff>
      <xdr:row>89</xdr:row>
      <xdr:rowOff>66675</xdr:rowOff>
    </xdr:from>
    <xdr:to>
      <xdr:col>101</xdr:col>
      <xdr:colOff>28575</xdr:colOff>
      <xdr:row>110</xdr:row>
      <xdr:rowOff>152400</xdr:rowOff>
    </xdr:to>
    <xdr:pic>
      <xdr:nvPicPr>
        <xdr:cNvPr id="17" name="Picture 16">
          <a:extLst>
            <a:ext uri="{FF2B5EF4-FFF2-40B4-BE49-F238E27FC236}">
              <a16:creationId xmlns:a16="http://schemas.microsoft.com/office/drawing/2014/main" id="{968A58BC-C39A-48A7-8711-551C630CA6F9}"/>
            </a:ext>
          </a:extLst>
        </xdr:cNvPr>
        <xdr:cNvPicPr>
          <a:picLocks noChangeAspect="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l="21679" t="21944" r="25430" b="18473"/>
        <a:stretch/>
      </xdr:blipFill>
      <xdr:spPr>
        <a:xfrm>
          <a:off x="60940950" y="17287875"/>
          <a:ext cx="6353175" cy="4086225"/>
        </a:xfrm>
        <a:prstGeom prst="rect">
          <a:avLst/>
        </a:prstGeom>
      </xdr:spPr>
    </xdr:pic>
    <xdr:clientData/>
  </xdr:twoCellAnchor>
  <xdr:twoCellAnchor editAs="oneCell">
    <xdr:from>
      <xdr:col>49</xdr:col>
      <xdr:colOff>504825</xdr:colOff>
      <xdr:row>103</xdr:row>
      <xdr:rowOff>47625</xdr:rowOff>
    </xdr:from>
    <xdr:to>
      <xdr:col>59</xdr:col>
      <xdr:colOff>59434</xdr:colOff>
      <xdr:row>128</xdr:row>
      <xdr:rowOff>125824</xdr:rowOff>
    </xdr:to>
    <xdr:pic>
      <xdr:nvPicPr>
        <xdr:cNvPr id="7" name="Picture 6">
          <a:extLst>
            <a:ext uri="{FF2B5EF4-FFF2-40B4-BE49-F238E27FC236}">
              <a16:creationId xmlns:a16="http://schemas.microsoft.com/office/drawing/2014/main" id="{C23EAF92-5724-F4B3-851C-5E4B580F90F9}"/>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30508575" y="19935825"/>
          <a:ext cx="5650609" cy="4907374"/>
        </a:xfrm>
        <a:prstGeom prst="rect">
          <a:avLst/>
        </a:prstGeom>
      </xdr:spPr>
    </xdr:pic>
    <xdr:clientData/>
  </xdr:twoCellAnchor>
  <xdr:twoCellAnchor editAs="oneCell">
    <xdr:from>
      <xdr:col>9</xdr:col>
      <xdr:colOff>342909</xdr:colOff>
      <xdr:row>96</xdr:row>
      <xdr:rowOff>9534</xdr:rowOff>
    </xdr:from>
    <xdr:to>
      <xdr:col>19</xdr:col>
      <xdr:colOff>78566</xdr:colOff>
      <xdr:row>126</xdr:row>
      <xdr:rowOff>69041</xdr:rowOff>
    </xdr:to>
    <xdr:pic>
      <xdr:nvPicPr>
        <xdr:cNvPr id="6" name="Picture 5">
          <a:extLst>
            <a:ext uri="{FF2B5EF4-FFF2-40B4-BE49-F238E27FC236}">
              <a16:creationId xmlns:a16="http://schemas.microsoft.com/office/drawing/2014/main" id="{93A374C5-01C5-B9AD-3C99-4766F64EF11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5962659" y="18564234"/>
          <a:ext cx="5831657" cy="5831657"/>
        </a:xfrm>
        <a:prstGeom prst="rect">
          <a:avLst/>
        </a:prstGeom>
      </xdr:spPr>
    </xdr:pic>
    <xdr:clientData/>
  </xdr:twoCellAnchor>
  <xdr:twoCellAnchor editAs="oneCell">
    <xdr:from>
      <xdr:col>140</xdr:col>
      <xdr:colOff>0</xdr:colOff>
      <xdr:row>2</xdr:row>
      <xdr:rowOff>0</xdr:rowOff>
    </xdr:from>
    <xdr:to>
      <xdr:col>163</xdr:col>
      <xdr:colOff>190500</xdr:colOff>
      <xdr:row>100</xdr:row>
      <xdr:rowOff>114300</xdr:rowOff>
    </xdr:to>
    <xdr:pic>
      <xdr:nvPicPr>
        <xdr:cNvPr id="20" name="Picture 19">
          <a:extLst>
            <a:ext uri="{FF2B5EF4-FFF2-40B4-BE49-F238E27FC236}">
              <a16:creationId xmlns:a16="http://schemas.microsoft.com/office/drawing/2014/main" id="{8FB41566-176C-9AE4-4963-A5790907729F}"/>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85553550" y="419100"/>
          <a:ext cx="14211300" cy="19011900"/>
        </a:xfrm>
        <a:prstGeom prst="rect">
          <a:avLst/>
        </a:prstGeom>
      </xdr:spPr>
    </xdr:pic>
    <xdr:clientData/>
  </xdr:twoCellAnchor>
  <xdr:twoCellAnchor editAs="oneCell">
    <xdr:from>
      <xdr:col>163</xdr:col>
      <xdr:colOff>142875</xdr:colOff>
      <xdr:row>2</xdr:row>
      <xdr:rowOff>9525</xdr:rowOff>
    </xdr:from>
    <xdr:to>
      <xdr:col>172</xdr:col>
      <xdr:colOff>561237</xdr:colOff>
      <xdr:row>127</xdr:row>
      <xdr:rowOff>130321</xdr:rowOff>
    </xdr:to>
    <xdr:pic>
      <xdr:nvPicPr>
        <xdr:cNvPr id="5" name="Picture 4">
          <a:extLst>
            <a:ext uri="{FF2B5EF4-FFF2-40B4-BE49-F238E27FC236}">
              <a16:creationId xmlns:a16="http://schemas.microsoft.com/office/drawing/2014/main" id="{37A870A1-EDF0-4EB3-8521-4A4626A9DF6B}"/>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99717225" y="428625"/>
          <a:ext cx="5904762" cy="24228571"/>
        </a:xfrm>
        <a:prstGeom prst="rect">
          <a:avLst/>
        </a:prstGeom>
      </xdr:spPr>
    </xdr:pic>
    <xdr:clientData/>
  </xdr:twoCellAnchor>
  <xdr:twoCellAnchor editAs="oneCell">
    <xdr:from>
      <xdr:col>80</xdr:col>
      <xdr:colOff>0</xdr:colOff>
      <xdr:row>129</xdr:row>
      <xdr:rowOff>190500</xdr:rowOff>
    </xdr:from>
    <xdr:to>
      <xdr:col>89</xdr:col>
      <xdr:colOff>142875</xdr:colOff>
      <xdr:row>155</xdr:row>
      <xdr:rowOff>161925</xdr:rowOff>
    </xdr:to>
    <xdr:pic>
      <xdr:nvPicPr>
        <xdr:cNvPr id="24" name="Picture 23">
          <a:extLst>
            <a:ext uri="{FF2B5EF4-FFF2-40B4-BE49-F238E27FC236}">
              <a16:creationId xmlns:a16="http://schemas.microsoft.com/office/drawing/2014/main" id="{6BF998D9-C2A3-A14D-40FA-709A6B6AAD0C}"/>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49015650" y="25107900"/>
          <a:ext cx="5648325" cy="4943475"/>
        </a:xfrm>
        <a:prstGeom prst="rect">
          <a:avLst/>
        </a:prstGeom>
      </xdr:spPr>
    </xdr:pic>
    <xdr:clientData/>
  </xdr:twoCellAnchor>
  <xdr:twoCellAnchor editAs="oneCell">
    <xdr:from>
      <xdr:col>10</xdr:col>
      <xdr:colOff>648510</xdr:colOff>
      <xdr:row>28</xdr:row>
      <xdr:rowOff>72057</xdr:rowOff>
    </xdr:from>
    <xdr:to>
      <xdr:col>18</xdr:col>
      <xdr:colOff>54042</xdr:colOff>
      <xdr:row>51</xdr:row>
      <xdr:rowOff>72163</xdr:rowOff>
    </xdr:to>
    <xdr:pic>
      <xdr:nvPicPr>
        <xdr:cNvPr id="8" name="Picture 7">
          <a:extLst>
            <a:ext uri="{FF2B5EF4-FFF2-40B4-BE49-F238E27FC236}">
              <a16:creationId xmlns:a16="http://schemas.microsoft.com/office/drawing/2014/main" id="{71B2AE30-E917-3247-819F-EECE55AEB12C}"/>
            </a:ext>
          </a:extLst>
        </xdr:cNvPr>
        <xdr:cNvPicPr>
          <a:picLocks noChangeAspect="1"/>
        </xdr:cNvPicPr>
      </xdr:nvPicPr>
      <xdr:blipFill rotWithShape="1">
        <a:blip xmlns:r="http://schemas.openxmlformats.org/officeDocument/2006/relationships" r:embed="rId10"/>
        <a:srcRect l="12854" t="6304" r="12382" b="7407"/>
        <a:stretch/>
      </xdr:blipFill>
      <xdr:spPr>
        <a:xfrm>
          <a:off x="7818155" y="5395248"/>
          <a:ext cx="5025958" cy="4350532"/>
        </a:xfrm>
        <a:prstGeom prst="rect">
          <a:avLst/>
        </a:prstGeom>
      </xdr:spPr>
    </xdr:pic>
    <xdr:clientData/>
  </xdr:twoCellAnchor>
  <xdr:twoCellAnchor editAs="oneCell">
    <xdr:from>
      <xdr:col>29</xdr:col>
      <xdr:colOff>668420</xdr:colOff>
      <xdr:row>27</xdr:row>
      <xdr:rowOff>38197</xdr:rowOff>
    </xdr:from>
    <xdr:to>
      <xdr:col>38</xdr:col>
      <xdr:colOff>693884</xdr:colOff>
      <xdr:row>52</xdr:row>
      <xdr:rowOff>38197</xdr:rowOff>
    </xdr:to>
    <xdr:pic>
      <xdr:nvPicPr>
        <xdr:cNvPr id="23" name="Picture 22">
          <a:extLst>
            <a:ext uri="{FF2B5EF4-FFF2-40B4-BE49-F238E27FC236}">
              <a16:creationId xmlns:a16="http://schemas.microsoft.com/office/drawing/2014/main" id="{C0560C60-4DD1-3D45-A9F8-540D1F26150E}"/>
            </a:ext>
          </a:extLst>
        </xdr:cNvPr>
        <xdr:cNvPicPr>
          <a:picLocks noChangeAspect="1"/>
        </xdr:cNvPicPr>
      </xdr:nvPicPr>
      <xdr:blipFill>
        <a:blip xmlns:r="http://schemas.openxmlformats.org/officeDocument/2006/relationships" r:embed="rId11"/>
        <a:stretch>
          <a:fillRect/>
        </a:stretch>
      </xdr:blipFill>
      <xdr:spPr>
        <a:xfrm>
          <a:off x="21036164" y="5223235"/>
          <a:ext cx="6365915" cy="4774436"/>
        </a:xfrm>
        <a:prstGeom prst="rect">
          <a:avLst/>
        </a:prstGeom>
      </xdr:spPr>
    </xdr:pic>
    <xdr:clientData/>
  </xdr:twoCellAnchor>
  <xdr:twoCellAnchor editAs="oneCell">
    <xdr:from>
      <xdr:col>39</xdr:col>
      <xdr:colOff>697067</xdr:colOff>
      <xdr:row>27</xdr:row>
      <xdr:rowOff>114586</xdr:rowOff>
    </xdr:from>
    <xdr:to>
      <xdr:col>48</xdr:col>
      <xdr:colOff>687519</xdr:colOff>
      <xdr:row>52</xdr:row>
      <xdr:rowOff>38196</xdr:rowOff>
    </xdr:to>
    <xdr:pic>
      <xdr:nvPicPr>
        <xdr:cNvPr id="26" name="Picture 25">
          <a:extLst>
            <a:ext uri="{FF2B5EF4-FFF2-40B4-BE49-F238E27FC236}">
              <a16:creationId xmlns:a16="http://schemas.microsoft.com/office/drawing/2014/main" id="{E302C1BE-4F46-7D4F-821E-BB60CE832D4C}"/>
            </a:ext>
          </a:extLst>
        </xdr:cNvPr>
        <xdr:cNvPicPr>
          <a:picLocks noChangeAspect="1"/>
        </xdr:cNvPicPr>
      </xdr:nvPicPr>
      <xdr:blipFill>
        <a:blip xmlns:r="http://schemas.openxmlformats.org/officeDocument/2006/relationships" r:embed="rId12"/>
        <a:stretch>
          <a:fillRect/>
        </a:stretch>
      </xdr:blipFill>
      <xdr:spPr>
        <a:xfrm>
          <a:off x="28102330" y="5299624"/>
          <a:ext cx="6264061" cy="4698046"/>
        </a:xfrm>
        <a:prstGeom prst="rect">
          <a:avLst/>
        </a:prstGeom>
      </xdr:spPr>
    </xdr:pic>
    <xdr:clientData/>
  </xdr:twoCellAnchor>
  <xdr:twoCellAnchor editAs="oneCell">
    <xdr:from>
      <xdr:col>49</xdr:col>
      <xdr:colOff>592031</xdr:colOff>
      <xdr:row>27</xdr:row>
      <xdr:rowOff>7162</xdr:rowOff>
    </xdr:from>
    <xdr:to>
      <xdr:col>59</xdr:col>
      <xdr:colOff>219624</xdr:colOff>
      <xdr:row>52</xdr:row>
      <xdr:rowOff>181428</xdr:rowOff>
    </xdr:to>
    <xdr:pic>
      <xdr:nvPicPr>
        <xdr:cNvPr id="27" name="Picture 26">
          <a:extLst>
            <a:ext uri="{FF2B5EF4-FFF2-40B4-BE49-F238E27FC236}">
              <a16:creationId xmlns:a16="http://schemas.microsoft.com/office/drawing/2014/main" id="{074DE924-EC1B-FF4A-BFF8-36FBF8594FE3}"/>
            </a:ext>
          </a:extLst>
        </xdr:cNvPr>
        <xdr:cNvPicPr>
          <a:picLocks noChangeAspect="1"/>
        </xdr:cNvPicPr>
      </xdr:nvPicPr>
      <xdr:blipFill>
        <a:blip xmlns:r="http://schemas.openxmlformats.org/officeDocument/2006/relationships" r:embed="rId13"/>
        <a:stretch>
          <a:fillRect/>
        </a:stretch>
      </xdr:blipFill>
      <xdr:spPr>
        <a:xfrm>
          <a:off x="34967971" y="5192200"/>
          <a:ext cx="6598270" cy="4948702"/>
        </a:xfrm>
        <a:prstGeom prst="rect">
          <a:avLst/>
        </a:prstGeom>
      </xdr:spPr>
    </xdr:pic>
    <xdr:clientData/>
  </xdr:twoCellAnchor>
  <xdr:twoCellAnchor editAs="oneCell">
    <xdr:from>
      <xdr:col>60</xdr:col>
      <xdr:colOff>9548</xdr:colOff>
      <xdr:row>27</xdr:row>
      <xdr:rowOff>105038</xdr:rowOff>
    </xdr:from>
    <xdr:to>
      <xdr:col>68</xdr:col>
      <xdr:colOff>681151</xdr:colOff>
      <xdr:row>52</xdr:row>
      <xdr:rowOff>66842</xdr:rowOff>
    </xdr:to>
    <xdr:pic>
      <xdr:nvPicPr>
        <xdr:cNvPr id="28" name="Picture 27">
          <a:extLst>
            <a:ext uri="{FF2B5EF4-FFF2-40B4-BE49-F238E27FC236}">
              <a16:creationId xmlns:a16="http://schemas.microsoft.com/office/drawing/2014/main" id="{20F490E7-1857-594D-8371-44DDA976F9A3}"/>
            </a:ext>
          </a:extLst>
        </xdr:cNvPr>
        <xdr:cNvPicPr>
          <a:picLocks noChangeAspect="1"/>
        </xdr:cNvPicPr>
      </xdr:nvPicPr>
      <xdr:blipFill>
        <a:blip xmlns:r="http://schemas.openxmlformats.org/officeDocument/2006/relationships" r:embed="rId14"/>
        <a:stretch>
          <a:fillRect/>
        </a:stretch>
      </xdr:blipFill>
      <xdr:spPr>
        <a:xfrm>
          <a:off x="42053232" y="5290076"/>
          <a:ext cx="6314987" cy="4736240"/>
        </a:xfrm>
        <a:prstGeom prst="rect">
          <a:avLst/>
        </a:prstGeom>
      </xdr:spPr>
    </xdr:pic>
    <xdr:clientData/>
  </xdr:twoCellAnchor>
  <xdr:twoCellAnchor editAs="oneCell">
    <xdr:from>
      <xdr:col>19</xdr:col>
      <xdr:colOff>611128</xdr:colOff>
      <xdr:row>27</xdr:row>
      <xdr:rowOff>9548</xdr:rowOff>
    </xdr:from>
    <xdr:to>
      <xdr:col>29</xdr:col>
      <xdr:colOff>190978</xdr:colOff>
      <xdr:row>52</xdr:row>
      <xdr:rowOff>148007</xdr:rowOff>
    </xdr:to>
    <xdr:pic>
      <xdr:nvPicPr>
        <xdr:cNvPr id="29" name="Picture 28">
          <a:extLst>
            <a:ext uri="{FF2B5EF4-FFF2-40B4-BE49-F238E27FC236}">
              <a16:creationId xmlns:a16="http://schemas.microsoft.com/office/drawing/2014/main" id="{02A84652-8054-B547-AF6D-84D64B87CF25}"/>
            </a:ext>
          </a:extLst>
        </xdr:cNvPr>
        <xdr:cNvPicPr>
          <a:picLocks noChangeAspect="1"/>
        </xdr:cNvPicPr>
      </xdr:nvPicPr>
      <xdr:blipFill>
        <a:blip xmlns:r="http://schemas.openxmlformats.org/officeDocument/2006/relationships" r:embed="rId15"/>
        <a:stretch>
          <a:fillRect/>
        </a:stretch>
      </xdr:blipFill>
      <xdr:spPr>
        <a:xfrm>
          <a:off x="14008196" y="5194586"/>
          <a:ext cx="6550526" cy="4912895"/>
        </a:xfrm>
        <a:prstGeom prst="rect">
          <a:avLst/>
        </a:prstGeom>
      </xdr:spPr>
    </xdr:pic>
    <xdr:clientData/>
  </xdr:twoCellAnchor>
  <xdr:twoCellAnchor editAs="oneCell">
    <xdr:from>
      <xdr:col>72</xdr:col>
      <xdr:colOff>203200</xdr:colOff>
      <xdr:row>3</xdr:row>
      <xdr:rowOff>127000</xdr:rowOff>
    </xdr:from>
    <xdr:to>
      <xdr:col>88</xdr:col>
      <xdr:colOff>545676</xdr:colOff>
      <xdr:row>22</xdr:row>
      <xdr:rowOff>101600</xdr:rowOff>
    </xdr:to>
    <xdr:pic>
      <xdr:nvPicPr>
        <xdr:cNvPr id="33" name="Picture 32">
          <a:extLst>
            <a:ext uri="{FF2B5EF4-FFF2-40B4-BE49-F238E27FC236}">
              <a16:creationId xmlns:a16="http://schemas.microsoft.com/office/drawing/2014/main" id="{2D6A2EBC-9487-2842-9D98-6FB1C4BCFB62}"/>
            </a:ext>
          </a:extLst>
        </xdr:cNvPr>
        <xdr:cNvPicPr>
          <a:picLocks noChangeAspect="1"/>
        </xdr:cNvPicPr>
      </xdr:nvPicPr>
      <xdr:blipFill>
        <a:blip xmlns:r="http://schemas.openxmlformats.org/officeDocument/2006/relationships" r:embed="rId16"/>
        <a:stretch>
          <a:fillRect/>
        </a:stretch>
      </xdr:blipFill>
      <xdr:spPr>
        <a:xfrm>
          <a:off x="50774600" y="723900"/>
          <a:ext cx="11543876" cy="3594100"/>
        </a:xfrm>
        <a:prstGeom prst="rect">
          <a:avLst/>
        </a:prstGeom>
      </xdr:spPr>
    </xdr:pic>
    <xdr:clientData/>
  </xdr:twoCellAnchor>
  <xdr:twoCellAnchor editAs="oneCell">
    <xdr:from>
      <xdr:col>69</xdr:col>
      <xdr:colOff>609600</xdr:colOff>
      <xdr:row>18</xdr:row>
      <xdr:rowOff>152400</xdr:rowOff>
    </xdr:from>
    <xdr:to>
      <xdr:col>74</xdr:col>
      <xdr:colOff>393034</xdr:colOff>
      <xdr:row>25</xdr:row>
      <xdr:rowOff>157470</xdr:rowOff>
    </xdr:to>
    <xdr:pic>
      <xdr:nvPicPr>
        <xdr:cNvPr id="34" name="Picture 33">
          <a:extLst>
            <a:ext uri="{FF2B5EF4-FFF2-40B4-BE49-F238E27FC236}">
              <a16:creationId xmlns:a16="http://schemas.microsoft.com/office/drawing/2014/main" id="{63A4153D-6B5C-BB45-810E-146E31254AF4}"/>
            </a:ext>
          </a:extLst>
        </xdr:cNvPr>
        <xdr:cNvPicPr>
          <a:picLocks noChangeAspect="1"/>
        </xdr:cNvPicPr>
      </xdr:nvPicPr>
      <xdr:blipFill>
        <a:blip xmlns:r="http://schemas.openxmlformats.org/officeDocument/2006/relationships" r:embed="rId17" cstate="screen">
          <a:extLst>
            <a:ext uri="{28A0092B-C50C-407E-A947-70E740481C1C}">
              <a14:useLocalDpi xmlns:a14="http://schemas.microsoft.com/office/drawing/2010/main"/>
            </a:ext>
          </a:extLst>
        </a:blip>
        <a:stretch>
          <a:fillRect/>
        </a:stretch>
      </xdr:blipFill>
      <xdr:spPr>
        <a:xfrm>
          <a:off x="49085500" y="3606800"/>
          <a:ext cx="3275934" cy="1338570"/>
        </a:xfrm>
        <a:prstGeom prst="rect">
          <a:avLst/>
        </a:prstGeom>
      </xdr:spPr>
    </xdr:pic>
    <xdr:clientData/>
  </xdr:twoCellAnchor>
  <xdr:twoCellAnchor editAs="oneCell">
    <xdr:from>
      <xdr:col>44</xdr:col>
      <xdr:colOff>76199</xdr:colOff>
      <xdr:row>0</xdr:row>
      <xdr:rowOff>12700</xdr:rowOff>
    </xdr:from>
    <xdr:to>
      <xdr:col>56</xdr:col>
      <xdr:colOff>530352</xdr:colOff>
      <xdr:row>25</xdr:row>
      <xdr:rowOff>177800</xdr:rowOff>
    </xdr:to>
    <xdr:pic>
      <xdr:nvPicPr>
        <xdr:cNvPr id="38" name="Picture 37">
          <a:extLst>
            <a:ext uri="{FF2B5EF4-FFF2-40B4-BE49-F238E27FC236}">
              <a16:creationId xmlns:a16="http://schemas.microsoft.com/office/drawing/2014/main" id="{0089F299-EF08-E941-A52F-380E5FF96E6F}"/>
            </a:ext>
          </a:extLst>
        </xdr:cNvPr>
        <xdr:cNvPicPr>
          <a:picLocks noChangeAspect="1"/>
        </xdr:cNvPicPr>
      </xdr:nvPicPr>
      <xdr:blipFill>
        <a:blip xmlns:r="http://schemas.openxmlformats.org/officeDocument/2006/relationships" r:embed="rId18"/>
        <a:stretch>
          <a:fillRect/>
        </a:stretch>
      </xdr:blipFill>
      <xdr:spPr>
        <a:xfrm>
          <a:off x="31026099" y="12700"/>
          <a:ext cx="8836153" cy="4953000"/>
        </a:xfrm>
        <a:prstGeom prst="rect">
          <a:avLst/>
        </a:prstGeom>
      </xdr:spPr>
    </xdr:pic>
    <xdr:clientData/>
  </xdr:twoCellAnchor>
  <xdr:twoCellAnchor editAs="oneCell">
    <xdr:from>
      <xdr:col>31</xdr:col>
      <xdr:colOff>495300</xdr:colOff>
      <xdr:row>0</xdr:row>
      <xdr:rowOff>50800</xdr:rowOff>
    </xdr:from>
    <xdr:to>
      <xdr:col>41</xdr:col>
      <xdr:colOff>114300</xdr:colOff>
      <xdr:row>25</xdr:row>
      <xdr:rowOff>186159</xdr:rowOff>
    </xdr:to>
    <xdr:pic>
      <xdr:nvPicPr>
        <xdr:cNvPr id="39" name="Picture 38">
          <a:extLst>
            <a:ext uri="{FF2B5EF4-FFF2-40B4-BE49-F238E27FC236}">
              <a16:creationId xmlns:a16="http://schemas.microsoft.com/office/drawing/2014/main" id="{59ED89ED-9BA9-264A-AD5A-7394215D1A1A}"/>
            </a:ext>
          </a:extLst>
        </xdr:cNvPr>
        <xdr:cNvPicPr>
          <a:picLocks noChangeAspect="1"/>
        </xdr:cNvPicPr>
      </xdr:nvPicPr>
      <xdr:blipFill>
        <a:blip xmlns:r="http://schemas.openxmlformats.org/officeDocument/2006/relationships" r:embed="rId19"/>
        <a:stretch>
          <a:fillRect/>
        </a:stretch>
      </xdr:blipFill>
      <xdr:spPr>
        <a:xfrm>
          <a:off x="22301200" y="50800"/>
          <a:ext cx="6667500" cy="4923259"/>
        </a:xfrm>
        <a:prstGeom prst="rect">
          <a:avLst/>
        </a:prstGeom>
      </xdr:spPr>
    </xdr:pic>
    <xdr:clientData/>
  </xdr:twoCellAnchor>
  <xdr:twoCellAnchor editAs="oneCell">
    <xdr:from>
      <xdr:col>44</xdr:col>
      <xdr:colOff>304800</xdr:colOff>
      <xdr:row>18</xdr:row>
      <xdr:rowOff>101600</xdr:rowOff>
    </xdr:from>
    <xdr:to>
      <xdr:col>49</xdr:col>
      <xdr:colOff>88234</xdr:colOff>
      <xdr:row>25</xdr:row>
      <xdr:rowOff>106670</xdr:rowOff>
    </xdr:to>
    <xdr:pic>
      <xdr:nvPicPr>
        <xdr:cNvPr id="40" name="Picture 39">
          <a:extLst>
            <a:ext uri="{FF2B5EF4-FFF2-40B4-BE49-F238E27FC236}">
              <a16:creationId xmlns:a16="http://schemas.microsoft.com/office/drawing/2014/main" id="{6024D718-1AD7-6C4D-AFF4-0F88F7588E47}"/>
            </a:ext>
          </a:extLst>
        </xdr:cNvPr>
        <xdr:cNvPicPr>
          <a:picLocks noChangeAspect="1"/>
        </xdr:cNvPicPr>
      </xdr:nvPicPr>
      <xdr:blipFill>
        <a:blip xmlns:r="http://schemas.openxmlformats.org/officeDocument/2006/relationships" r:embed="rId17" cstate="screen">
          <a:extLst>
            <a:ext uri="{28A0092B-C50C-407E-A947-70E740481C1C}">
              <a14:useLocalDpi xmlns:a14="http://schemas.microsoft.com/office/drawing/2010/main"/>
            </a:ext>
          </a:extLst>
        </a:blip>
        <a:stretch>
          <a:fillRect/>
        </a:stretch>
      </xdr:blipFill>
      <xdr:spPr>
        <a:xfrm>
          <a:off x="31254700" y="3556000"/>
          <a:ext cx="3275934" cy="1338570"/>
        </a:xfrm>
        <a:prstGeom prst="rect">
          <a:avLst/>
        </a:prstGeom>
      </xdr:spPr>
    </xdr:pic>
    <xdr:clientData/>
  </xdr:twoCellAnchor>
  <xdr:twoCellAnchor editAs="oneCell">
    <xdr:from>
      <xdr:col>31</xdr:col>
      <xdr:colOff>342900</xdr:colOff>
      <xdr:row>1</xdr:row>
      <xdr:rowOff>38100</xdr:rowOff>
    </xdr:from>
    <xdr:to>
      <xdr:col>36</xdr:col>
      <xdr:colOff>126334</xdr:colOff>
      <xdr:row>8</xdr:row>
      <xdr:rowOff>43170</xdr:rowOff>
    </xdr:to>
    <xdr:pic>
      <xdr:nvPicPr>
        <xdr:cNvPr id="41" name="Picture 40">
          <a:extLst>
            <a:ext uri="{FF2B5EF4-FFF2-40B4-BE49-F238E27FC236}">
              <a16:creationId xmlns:a16="http://schemas.microsoft.com/office/drawing/2014/main" id="{CE0E3A01-354F-9B43-8743-3C10762D7B0E}"/>
            </a:ext>
          </a:extLst>
        </xdr:cNvPr>
        <xdr:cNvPicPr>
          <a:picLocks noChangeAspect="1"/>
        </xdr:cNvPicPr>
      </xdr:nvPicPr>
      <xdr:blipFill>
        <a:blip xmlns:r="http://schemas.openxmlformats.org/officeDocument/2006/relationships" r:embed="rId17" cstate="screen">
          <a:extLst>
            <a:ext uri="{28A0092B-C50C-407E-A947-70E740481C1C}">
              <a14:useLocalDpi xmlns:a14="http://schemas.microsoft.com/office/drawing/2010/main"/>
            </a:ext>
          </a:extLst>
        </a:blip>
        <a:stretch>
          <a:fillRect/>
        </a:stretch>
      </xdr:blipFill>
      <xdr:spPr>
        <a:xfrm>
          <a:off x="22148800" y="254000"/>
          <a:ext cx="3275934" cy="133857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9</xdr:col>
      <xdr:colOff>600075</xdr:colOff>
      <xdr:row>27</xdr:row>
      <xdr:rowOff>9525</xdr:rowOff>
    </xdr:from>
    <xdr:to>
      <xdr:col>19</xdr:col>
      <xdr:colOff>47070</xdr:colOff>
      <xdr:row>52</xdr:row>
      <xdr:rowOff>180975</xdr:rowOff>
    </xdr:to>
    <xdr:pic>
      <xdr:nvPicPr>
        <xdr:cNvPr id="2" name="Picture 1">
          <a:extLst>
            <a:ext uri="{FF2B5EF4-FFF2-40B4-BE49-F238E27FC236}">
              <a16:creationId xmlns:a16="http://schemas.microsoft.com/office/drawing/2014/main" id="{A39CC5AF-41A4-441B-A2A4-1F2B4CCDCCC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086475" y="5419725"/>
          <a:ext cx="5542995" cy="4933950"/>
        </a:xfrm>
        <a:prstGeom prst="rect">
          <a:avLst/>
        </a:prstGeom>
      </xdr:spPr>
    </xdr:pic>
    <xdr:clientData/>
  </xdr:twoCellAnchor>
  <xdr:twoCellAnchor editAs="oneCell">
    <xdr:from>
      <xdr:col>121</xdr:col>
      <xdr:colOff>0</xdr:colOff>
      <xdr:row>0</xdr:row>
      <xdr:rowOff>0</xdr:rowOff>
    </xdr:from>
    <xdr:to>
      <xdr:col>146</xdr:col>
      <xdr:colOff>228600</xdr:colOff>
      <xdr:row>173</xdr:row>
      <xdr:rowOff>19050</xdr:rowOff>
    </xdr:to>
    <xdr:pic>
      <xdr:nvPicPr>
        <xdr:cNvPr id="3" name="Picture 2">
          <a:extLst>
            <a:ext uri="{FF2B5EF4-FFF2-40B4-BE49-F238E27FC236}">
              <a16:creationId xmlns:a16="http://schemas.microsoft.com/office/drawing/2014/main" id="{071BA902-F7F9-4062-AE29-0B12A8C64CD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3771125" y="0"/>
          <a:ext cx="15468600" cy="33299400"/>
        </a:xfrm>
        <a:prstGeom prst="rect">
          <a:avLst/>
        </a:prstGeom>
      </xdr:spPr>
    </xdr:pic>
    <xdr:clientData/>
  </xdr:twoCellAnchor>
  <xdr:twoCellAnchor editAs="oneCell">
    <xdr:from>
      <xdr:col>0</xdr:col>
      <xdr:colOff>0</xdr:colOff>
      <xdr:row>27</xdr:row>
      <xdr:rowOff>0</xdr:rowOff>
    </xdr:from>
    <xdr:to>
      <xdr:col>9</xdr:col>
      <xdr:colOff>161925</xdr:colOff>
      <xdr:row>52</xdr:row>
      <xdr:rowOff>180975</xdr:rowOff>
    </xdr:to>
    <xdr:pic>
      <xdr:nvPicPr>
        <xdr:cNvPr id="4" name="Picture 3">
          <a:extLst>
            <a:ext uri="{FF2B5EF4-FFF2-40B4-BE49-F238E27FC236}">
              <a16:creationId xmlns:a16="http://schemas.microsoft.com/office/drawing/2014/main" id="{7442C1AF-43A8-4075-9121-74324D052A9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5410200"/>
          <a:ext cx="5648325" cy="4943475"/>
        </a:xfrm>
        <a:prstGeom prst="rect">
          <a:avLst/>
        </a:prstGeom>
      </xdr:spPr>
    </xdr:pic>
    <xdr:clientData/>
  </xdr:twoCellAnchor>
  <xdr:twoCellAnchor editAs="oneCell">
    <xdr:from>
      <xdr:col>30</xdr:col>
      <xdr:colOff>0</xdr:colOff>
      <xdr:row>27</xdr:row>
      <xdr:rowOff>9525</xdr:rowOff>
    </xdr:from>
    <xdr:to>
      <xdr:col>39</xdr:col>
      <xdr:colOff>257175</xdr:colOff>
      <xdr:row>52</xdr:row>
      <xdr:rowOff>171450</xdr:rowOff>
    </xdr:to>
    <xdr:pic>
      <xdr:nvPicPr>
        <xdr:cNvPr id="5" name="Picture 4">
          <a:extLst>
            <a:ext uri="{FF2B5EF4-FFF2-40B4-BE49-F238E27FC236}">
              <a16:creationId xmlns:a16="http://schemas.microsoft.com/office/drawing/2014/main" id="{DE60F8E0-96A4-4573-B699-10DCF5D2627B}"/>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288000" y="5667375"/>
          <a:ext cx="5762625" cy="4924425"/>
        </a:xfrm>
        <a:prstGeom prst="rect">
          <a:avLst/>
        </a:prstGeom>
      </xdr:spPr>
    </xdr:pic>
    <xdr:clientData/>
  </xdr:twoCellAnchor>
  <xdr:twoCellAnchor editAs="oneCell">
    <xdr:from>
      <xdr:col>39</xdr:col>
      <xdr:colOff>590550</xdr:colOff>
      <xdr:row>27</xdr:row>
      <xdr:rowOff>0</xdr:rowOff>
    </xdr:from>
    <xdr:to>
      <xdr:col>49</xdr:col>
      <xdr:colOff>257175</xdr:colOff>
      <xdr:row>52</xdr:row>
      <xdr:rowOff>161925</xdr:rowOff>
    </xdr:to>
    <xdr:pic>
      <xdr:nvPicPr>
        <xdr:cNvPr id="6" name="Picture 5">
          <a:extLst>
            <a:ext uri="{FF2B5EF4-FFF2-40B4-BE49-F238E27FC236}">
              <a16:creationId xmlns:a16="http://schemas.microsoft.com/office/drawing/2014/main" id="{F9F95645-B5FC-4038-AF61-E6F1E50DF774}"/>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4384000" y="5657850"/>
          <a:ext cx="5762625" cy="49244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53</xdr:col>
      <xdr:colOff>226060</xdr:colOff>
      <xdr:row>5</xdr:row>
      <xdr:rowOff>111125</xdr:rowOff>
    </xdr:from>
    <xdr:to>
      <xdr:col>66</xdr:col>
      <xdr:colOff>65405</xdr:colOff>
      <xdr:row>22</xdr:row>
      <xdr:rowOff>134442</xdr:rowOff>
    </xdr:to>
    <xdr:pic>
      <xdr:nvPicPr>
        <xdr:cNvPr id="4" name="Picture 3">
          <a:extLst>
            <a:ext uri="{FF2B5EF4-FFF2-40B4-BE49-F238E27FC236}">
              <a16:creationId xmlns:a16="http://schemas.microsoft.com/office/drawing/2014/main" id="{45BF6A46-72E9-4D77-8A0D-092334B1771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7706300" y="1096645"/>
          <a:ext cx="8952865" cy="3304997"/>
        </a:xfrm>
        <a:prstGeom prst="rect">
          <a:avLst/>
        </a:prstGeom>
      </xdr:spPr>
    </xdr:pic>
    <xdr:clientData/>
  </xdr:twoCellAnchor>
  <xdr:twoCellAnchor editAs="oneCell">
    <xdr:from>
      <xdr:col>13</xdr:col>
      <xdr:colOff>285750</xdr:colOff>
      <xdr:row>87</xdr:row>
      <xdr:rowOff>19050</xdr:rowOff>
    </xdr:from>
    <xdr:to>
      <xdr:col>22</xdr:col>
      <xdr:colOff>162673</xdr:colOff>
      <xdr:row>116</xdr:row>
      <xdr:rowOff>76979</xdr:rowOff>
    </xdr:to>
    <xdr:pic>
      <xdr:nvPicPr>
        <xdr:cNvPr id="9" name="Picture 8">
          <a:extLst>
            <a:ext uri="{FF2B5EF4-FFF2-40B4-BE49-F238E27FC236}">
              <a16:creationId xmlns:a16="http://schemas.microsoft.com/office/drawing/2014/main" id="{F77DFDC5-CA2F-4A88-BEBD-4814B4730204}"/>
            </a:ext>
          </a:extLst>
        </xdr:cNvPr>
        <xdr:cNvPicPr>
          <a:picLocks noChangeAspect="1"/>
        </xdr:cNvPicPr>
      </xdr:nvPicPr>
      <xdr:blipFill>
        <a:blip xmlns:r="http://schemas.openxmlformats.org/officeDocument/2006/relationships" r:embed="rId2"/>
        <a:stretch>
          <a:fillRect/>
        </a:stretch>
      </xdr:blipFill>
      <xdr:spPr>
        <a:xfrm>
          <a:off x="8286750" y="16859250"/>
          <a:ext cx="5363323" cy="5582429"/>
        </a:xfrm>
        <a:prstGeom prst="rect">
          <a:avLst/>
        </a:prstGeom>
      </xdr:spPr>
    </xdr:pic>
    <xdr:clientData/>
  </xdr:twoCellAnchor>
  <xdr:twoCellAnchor editAs="oneCell">
    <xdr:from>
      <xdr:col>22</xdr:col>
      <xdr:colOff>428625</xdr:colOff>
      <xdr:row>158</xdr:row>
      <xdr:rowOff>38100</xdr:rowOff>
    </xdr:from>
    <xdr:to>
      <xdr:col>35</xdr:col>
      <xdr:colOff>276225</xdr:colOff>
      <xdr:row>181</xdr:row>
      <xdr:rowOff>28575</xdr:rowOff>
    </xdr:to>
    <xdr:pic>
      <xdr:nvPicPr>
        <xdr:cNvPr id="10" name="Picture 9">
          <a:extLst>
            <a:ext uri="{FF2B5EF4-FFF2-40B4-BE49-F238E27FC236}">
              <a16:creationId xmlns:a16="http://schemas.microsoft.com/office/drawing/2014/main" id="{6B0CB0C6-8641-4994-A447-E8DEDCD9937D}"/>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3916025" y="30594300"/>
          <a:ext cx="7772400" cy="4371975"/>
        </a:xfrm>
        <a:prstGeom prst="rect">
          <a:avLst/>
        </a:prstGeom>
        <a:ln w="57150">
          <a:solidFill>
            <a:schemeClr val="accent1"/>
          </a:solidFill>
        </a:ln>
      </xdr:spPr>
    </xdr:pic>
    <xdr:clientData/>
  </xdr:twoCellAnchor>
  <xdr:twoCellAnchor editAs="oneCell">
    <xdr:from>
      <xdr:col>22</xdr:col>
      <xdr:colOff>597675</xdr:colOff>
      <xdr:row>132</xdr:row>
      <xdr:rowOff>159525</xdr:rowOff>
    </xdr:from>
    <xdr:to>
      <xdr:col>35</xdr:col>
      <xdr:colOff>445275</xdr:colOff>
      <xdr:row>155</xdr:row>
      <xdr:rowOff>150000</xdr:rowOff>
    </xdr:to>
    <xdr:pic>
      <xdr:nvPicPr>
        <xdr:cNvPr id="11" name="Picture 10">
          <a:extLst>
            <a:ext uri="{FF2B5EF4-FFF2-40B4-BE49-F238E27FC236}">
              <a16:creationId xmlns:a16="http://schemas.microsoft.com/office/drawing/2014/main" id="{63F7BB4C-8FE9-4FAB-B9CE-B15F4737559A}"/>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4085075" y="25762725"/>
          <a:ext cx="7772400" cy="4371975"/>
        </a:xfrm>
        <a:prstGeom prst="rect">
          <a:avLst/>
        </a:prstGeom>
        <a:ln w="57150">
          <a:solidFill>
            <a:schemeClr val="accent2"/>
          </a:solidFill>
        </a:ln>
      </xdr:spPr>
    </xdr:pic>
    <xdr:clientData/>
  </xdr:twoCellAnchor>
  <xdr:twoCellAnchor editAs="oneCell">
    <xdr:from>
      <xdr:col>9</xdr:col>
      <xdr:colOff>23775</xdr:colOff>
      <xdr:row>140</xdr:row>
      <xdr:rowOff>119025</xdr:rowOff>
    </xdr:from>
    <xdr:to>
      <xdr:col>21</xdr:col>
      <xdr:colOff>461925</xdr:colOff>
      <xdr:row>163</xdr:row>
      <xdr:rowOff>109500</xdr:rowOff>
    </xdr:to>
    <xdr:pic>
      <xdr:nvPicPr>
        <xdr:cNvPr id="12" name="Picture 11">
          <a:extLst>
            <a:ext uri="{FF2B5EF4-FFF2-40B4-BE49-F238E27FC236}">
              <a16:creationId xmlns:a16="http://schemas.microsoft.com/office/drawing/2014/main" id="{72104A52-1329-4007-A8DB-15C9D1DF5865}"/>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5567325" y="27246225"/>
          <a:ext cx="7772400" cy="4371975"/>
        </a:xfrm>
        <a:prstGeom prst="rect">
          <a:avLst/>
        </a:prstGeom>
        <a:ln w="57150">
          <a:solidFill>
            <a:schemeClr val="accent6"/>
          </a:solidFill>
        </a:ln>
      </xdr:spPr>
    </xdr:pic>
    <xdr:clientData/>
  </xdr:twoCellAnchor>
  <xdr:twoCellAnchor editAs="oneCell">
    <xdr:from>
      <xdr:col>9</xdr:col>
      <xdr:colOff>183300</xdr:colOff>
      <xdr:row>116</xdr:row>
      <xdr:rowOff>88050</xdr:rowOff>
    </xdr:from>
    <xdr:to>
      <xdr:col>22</xdr:col>
      <xdr:colOff>11850</xdr:colOff>
      <xdr:row>138</xdr:row>
      <xdr:rowOff>78525</xdr:rowOff>
    </xdr:to>
    <xdr:pic>
      <xdr:nvPicPr>
        <xdr:cNvPr id="13" name="Picture 12">
          <a:extLst>
            <a:ext uri="{FF2B5EF4-FFF2-40B4-BE49-F238E27FC236}">
              <a16:creationId xmlns:a16="http://schemas.microsoft.com/office/drawing/2014/main" id="{13D61426-C74F-4BC0-B08D-619956E42A36}"/>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5726850" y="22452750"/>
          <a:ext cx="7772400" cy="4371975"/>
        </a:xfrm>
        <a:prstGeom prst="rect">
          <a:avLst/>
        </a:prstGeom>
        <a:ln w="57150">
          <a:solidFill>
            <a:schemeClr val="tx2"/>
          </a:solidFill>
        </a:ln>
      </xdr:spPr>
    </xdr:pic>
    <xdr:clientData/>
  </xdr:twoCellAnchor>
  <xdr:twoCellAnchor editAs="oneCell">
    <xdr:from>
      <xdr:col>4</xdr:col>
      <xdr:colOff>590205</xdr:colOff>
      <xdr:row>1</xdr:row>
      <xdr:rowOff>21705</xdr:rowOff>
    </xdr:from>
    <xdr:to>
      <xdr:col>10</xdr:col>
      <xdr:colOff>261994</xdr:colOff>
      <xdr:row>26</xdr:row>
      <xdr:rowOff>160251</xdr:rowOff>
    </xdr:to>
    <xdr:pic>
      <xdr:nvPicPr>
        <xdr:cNvPr id="14" name="Picture 13">
          <a:extLst>
            <a:ext uri="{FF2B5EF4-FFF2-40B4-BE49-F238E27FC236}">
              <a16:creationId xmlns:a16="http://schemas.microsoft.com/office/drawing/2014/main" id="{77EE531F-B661-7E41-BF68-4C6B425D0082}"/>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455325" y="235065"/>
          <a:ext cx="3888189" cy="4964546"/>
        </a:xfrm>
        <a:prstGeom prst="rect">
          <a:avLst/>
        </a:prstGeom>
      </xdr:spPr>
    </xdr:pic>
    <xdr:clientData/>
  </xdr:twoCellAnchor>
  <xdr:twoCellAnchor editAs="oneCell">
    <xdr:from>
      <xdr:col>14</xdr:col>
      <xdr:colOff>512618</xdr:colOff>
      <xdr:row>1</xdr:row>
      <xdr:rowOff>42024</xdr:rowOff>
    </xdr:from>
    <xdr:to>
      <xdr:col>20</xdr:col>
      <xdr:colOff>143983</xdr:colOff>
      <xdr:row>27</xdr:row>
      <xdr:rowOff>304</xdr:rowOff>
    </xdr:to>
    <xdr:pic>
      <xdr:nvPicPr>
        <xdr:cNvPr id="7" name="Picture 6">
          <a:extLst>
            <a:ext uri="{FF2B5EF4-FFF2-40B4-BE49-F238E27FC236}">
              <a16:creationId xmlns:a16="http://schemas.microsoft.com/office/drawing/2014/main" id="{D542348A-58AE-2149-8F00-84A39FA8DEF6}"/>
            </a:ext>
          </a:extLst>
        </xdr:cNvPr>
        <xdr:cNvPicPr>
          <a:picLocks noChangeAspect="1"/>
        </xdr:cNvPicPr>
      </xdr:nvPicPr>
      <xdr:blipFill>
        <a:blip xmlns:r="http://schemas.openxmlformats.org/officeDocument/2006/relationships" r:embed="rId8"/>
        <a:stretch>
          <a:fillRect/>
        </a:stretch>
      </xdr:blipFill>
      <xdr:spPr>
        <a:xfrm>
          <a:off x="10408458" y="255384"/>
          <a:ext cx="3837605" cy="4977320"/>
        </a:xfrm>
        <a:prstGeom prst="rect">
          <a:avLst/>
        </a:prstGeom>
      </xdr:spPr>
    </xdr:pic>
    <xdr:clientData/>
  </xdr:twoCellAnchor>
  <xdr:twoCellAnchor editAs="oneCell">
    <xdr:from>
      <xdr:col>33</xdr:col>
      <xdr:colOff>0</xdr:colOff>
      <xdr:row>1</xdr:row>
      <xdr:rowOff>0</xdr:rowOff>
    </xdr:from>
    <xdr:to>
      <xdr:col>41</xdr:col>
      <xdr:colOff>447040</xdr:colOff>
      <xdr:row>24</xdr:row>
      <xdr:rowOff>132080</xdr:rowOff>
    </xdr:to>
    <xdr:pic>
      <xdr:nvPicPr>
        <xdr:cNvPr id="16" name="Picture 15">
          <a:extLst>
            <a:ext uri="{FF2B5EF4-FFF2-40B4-BE49-F238E27FC236}">
              <a16:creationId xmlns:a16="http://schemas.microsoft.com/office/drawing/2014/main" id="{B7A49781-396A-534E-BEAB-A7411E8782BE}"/>
            </a:ext>
          </a:extLst>
        </xdr:cNvPr>
        <xdr:cNvPicPr>
          <a:picLocks noChangeAspect="1"/>
        </xdr:cNvPicPr>
      </xdr:nvPicPr>
      <xdr:blipFill>
        <a:blip xmlns:r="http://schemas.openxmlformats.org/officeDocument/2006/relationships" r:embed="rId9"/>
        <a:stretch>
          <a:fillRect/>
        </a:stretch>
      </xdr:blipFill>
      <xdr:spPr>
        <a:xfrm>
          <a:off x="23215600" y="213360"/>
          <a:ext cx="6096000" cy="4572000"/>
        </a:xfrm>
        <a:prstGeom prst="rect">
          <a:avLst/>
        </a:prstGeom>
      </xdr:spPr>
    </xdr:pic>
    <xdr:clientData/>
  </xdr:twoCellAnchor>
  <xdr:oneCellAnchor>
    <xdr:from>
      <xdr:col>38</xdr:col>
      <xdr:colOff>294640</xdr:colOff>
      <xdr:row>15</xdr:row>
      <xdr:rowOff>30480</xdr:rowOff>
    </xdr:from>
    <xdr:ext cx="2543175" cy="2286000"/>
    <xdr:pic>
      <xdr:nvPicPr>
        <xdr:cNvPr id="17" name="image28.png" title="Image">
          <a:extLst>
            <a:ext uri="{FF2B5EF4-FFF2-40B4-BE49-F238E27FC236}">
              <a16:creationId xmlns:a16="http://schemas.microsoft.com/office/drawing/2014/main" id="{0062016E-CA7A-3B47-B95D-79F4EEB1E814}"/>
            </a:ext>
          </a:extLst>
        </xdr:cNvPr>
        <xdr:cNvPicPr preferRelativeResize="0"/>
      </xdr:nvPicPr>
      <xdr:blipFill>
        <a:blip xmlns:r="http://schemas.openxmlformats.org/officeDocument/2006/relationships" r:embed="rId10" cstate="screen">
          <a:extLst>
            <a:ext uri="{28A0092B-C50C-407E-A947-70E740481C1C}">
              <a14:useLocalDpi xmlns:a14="http://schemas.microsoft.com/office/drawing/2010/main"/>
            </a:ext>
          </a:extLst>
        </a:blip>
        <a:stretch>
          <a:fillRect/>
        </a:stretch>
      </xdr:blipFill>
      <xdr:spPr>
        <a:xfrm>
          <a:off x="27025600" y="2946400"/>
          <a:ext cx="2543175" cy="2286000"/>
        </a:xfrm>
        <a:prstGeom prst="rect">
          <a:avLst/>
        </a:prstGeom>
        <a:noFill/>
      </xdr:spPr>
    </xdr:pic>
    <xdr:clientData fLocksWithSheet="0"/>
  </xdr:oneCellAnchor>
  <xdr:twoCellAnchor editAs="oneCell">
    <xdr:from>
      <xdr:col>38</xdr:col>
      <xdr:colOff>456498</xdr:colOff>
      <xdr:row>1</xdr:row>
      <xdr:rowOff>13768</xdr:rowOff>
    </xdr:from>
    <xdr:to>
      <xdr:col>41</xdr:col>
      <xdr:colOff>690880</xdr:colOff>
      <xdr:row>15</xdr:row>
      <xdr:rowOff>60960</xdr:rowOff>
    </xdr:to>
    <xdr:pic>
      <xdr:nvPicPr>
        <xdr:cNvPr id="18" name="Picture 17">
          <a:extLst>
            <a:ext uri="{FF2B5EF4-FFF2-40B4-BE49-F238E27FC236}">
              <a16:creationId xmlns:a16="http://schemas.microsoft.com/office/drawing/2014/main" id="{F17EB0D2-6A87-BC47-A5B0-D2066643E03F}"/>
            </a:ext>
          </a:extLst>
        </xdr:cNvPr>
        <xdr:cNvPicPr>
          <a:picLocks noChangeAspect="1"/>
        </xdr:cNvPicPr>
      </xdr:nvPicPr>
      <xdr:blipFill rotWithShape="1">
        <a:blip xmlns:r="http://schemas.openxmlformats.org/officeDocument/2006/relationships" r:embed="rId11"/>
        <a:srcRect l="12000"/>
        <a:stretch/>
      </xdr:blipFill>
      <xdr:spPr>
        <a:xfrm>
          <a:off x="27187458" y="227128"/>
          <a:ext cx="2367982" cy="2749752"/>
        </a:xfrm>
        <a:prstGeom prst="rect">
          <a:avLst/>
        </a:prstGeom>
      </xdr:spPr>
    </xdr:pic>
    <xdr:clientData/>
  </xdr:twoCellAnchor>
  <xdr:oneCellAnchor>
    <xdr:from>
      <xdr:col>43</xdr:col>
      <xdr:colOff>30480</xdr:colOff>
      <xdr:row>1</xdr:row>
      <xdr:rowOff>30480</xdr:rowOff>
    </xdr:from>
    <xdr:ext cx="4135120" cy="3718560"/>
    <xdr:pic>
      <xdr:nvPicPr>
        <xdr:cNvPr id="19" name="image29.png">
          <a:extLst>
            <a:ext uri="{FF2B5EF4-FFF2-40B4-BE49-F238E27FC236}">
              <a16:creationId xmlns:a16="http://schemas.microsoft.com/office/drawing/2014/main" id="{88F1A204-2643-444A-AB26-DDA472D82E81}"/>
            </a:ext>
          </a:extLst>
        </xdr:cNvPr>
        <xdr:cNvPicPr preferRelativeResize="0"/>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30297120" y="243840"/>
          <a:ext cx="4135120" cy="3718560"/>
        </a:xfrm>
        <a:prstGeom prst="rect">
          <a:avLst/>
        </a:prstGeom>
        <a:noFill/>
      </xdr:spPr>
    </xdr:pic>
    <xdr:clientData fLocksWithSheet="0"/>
  </xdr:oneCellAnchor>
  <xdr:twoCellAnchor editAs="oneCell">
    <xdr:from>
      <xdr:col>47</xdr:col>
      <xdr:colOff>619760</xdr:colOff>
      <xdr:row>13</xdr:row>
      <xdr:rowOff>93980</xdr:rowOff>
    </xdr:from>
    <xdr:to>
      <xdr:col>53</xdr:col>
      <xdr:colOff>101600</xdr:colOff>
      <xdr:row>28</xdr:row>
      <xdr:rowOff>101600</xdr:rowOff>
    </xdr:to>
    <xdr:pic>
      <xdr:nvPicPr>
        <xdr:cNvPr id="20" name="Picture 19">
          <a:extLst>
            <a:ext uri="{FF2B5EF4-FFF2-40B4-BE49-F238E27FC236}">
              <a16:creationId xmlns:a16="http://schemas.microsoft.com/office/drawing/2014/main" id="{3A0E81A9-A3FF-8440-8754-EBB8B046FB52}"/>
            </a:ext>
          </a:extLst>
        </xdr:cNvPr>
        <xdr:cNvPicPr>
          <a:picLocks noChangeAspect="1"/>
        </xdr:cNvPicPr>
      </xdr:nvPicPr>
      <xdr:blipFill>
        <a:blip xmlns:r="http://schemas.openxmlformats.org/officeDocument/2006/relationships" r:embed="rId13"/>
        <a:stretch>
          <a:fillRect/>
        </a:stretch>
      </xdr:blipFill>
      <xdr:spPr>
        <a:xfrm>
          <a:off x="33710880" y="2623820"/>
          <a:ext cx="3870960" cy="2903220"/>
        </a:xfrm>
        <a:prstGeom prst="rect">
          <a:avLst/>
        </a:prstGeom>
      </xdr:spPr>
    </xdr:pic>
    <xdr:clientData/>
  </xdr:twoCellAnchor>
  <xdr:twoCellAnchor editAs="oneCell">
    <xdr:from>
      <xdr:col>23</xdr:col>
      <xdr:colOff>10159</xdr:colOff>
      <xdr:row>1</xdr:row>
      <xdr:rowOff>172720</xdr:rowOff>
    </xdr:from>
    <xdr:to>
      <xdr:col>31</xdr:col>
      <xdr:colOff>687492</xdr:colOff>
      <xdr:row>26</xdr:row>
      <xdr:rowOff>60960</xdr:rowOff>
    </xdr:to>
    <xdr:pic>
      <xdr:nvPicPr>
        <xdr:cNvPr id="21" name="Picture 20">
          <a:extLst>
            <a:ext uri="{FF2B5EF4-FFF2-40B4-BE49-F238E27FC236}">
              <a16:creationId xmlns:a16="http://schemas.microsoft.com/office/drawing/2014/main" id="{4CB823CD-E7AA-6A45-BDD0-52202DC607FF}"/>
            </a:ext>
          </a:extLst>
        </xdr:cNvPr>
        <xdr:cNvPicPr>
          <a:picLocks noChangeAspect="1"/>
        </xdr:cNvPicPr>
      </xdr:nvPicPr>
      <xdr:blipFill>
        <a:blip xmlns:r="http://schemas.openxmlformats.org/officeDocument/2006/relationships" r:embed="rId14"/>
        <a:stretch>
          <a:fillRect/>
        </a:stretch>
      </xdr:blipFill>
      <xdr:spPr>
        <a:xfrm>
          <a:off x="16215359" y="386080"/>
          <a:ext cx="6285653" cy="471424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53</xdr:col>
      <xdr:colOff>19051</xdr:colOff>
      <xdr:row>1</xdr:row>
      <xdr:rowOff>57150</xdr:rowOff>
    </xdr:from>
    <xdr:to>
      <xdr:col>61</xdr:col>
      <xdr:colOff>533401</xdr:colOff>
      <xdr:row>27</xdr:row>
      <xdr:rowOff>55059</xdr:rowOff>
    </xdr:to>
    <xdr:pic>
      <xdr:nvPicPr>
        <xdr:cNvPr id="4" name="Picture 3">
          <a:extLst>
            <a:ext uri="{FF2B5EF4-FFF2-40B4-BE49-F238E27FC236}">
              <a16:creationId xmlns:a16="http://schemas.microsoft.com/office/drawing/2014/main" id="{6F276536-72F2-4626-B80F-E17BFDF1B32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2327851" y="247650"/>
          <a:ext cx="5391150" cy="4950909"/>
        </a:xfrm>
        <a:prstGeom prst="rect">
          <a:avLst/>
        </a:prstGeom>
      </xdr:spPr>
    </xdr:pic>
    <xdr:clientData/>
  </xdr:twoCellAnchor>
  <xdr:oneCellAnchor>
    <xdr:from>
      <xdr:col>3</xdr:col>
      <xdr:colOff>444500</xdr:colOff>
      <xdr:row>1</xdr:row>
      <xdr:rowOff>50800</xdr:rowOff>
    </xdr:from>
    <xdr:ext cx="5410200" cy="3800475"/>
    <xdr:pic>
      <xdr:nvPicPr>
        <xdr:cNvPr id="8" name="image36.png" title="Image">
          <a:extLst>
            <a:ext uri="{FF2B5EF4-FFF2-40B4-BE49-F238E27FC236}">
              <a16:creationId xmlns:a16="http://schemas.microsoft.com/office/drawing/2014/main" id="{8C0040FE-BD60-3A4A-98C0-BC8FE59BF543}"/>
            </a:ext>
          </a:extLst>
        </xdr:cNvPr>
        <xdr:cNvPicPr preferRelativeResize="0"/>
      </xdr:nvPicPr>
      <xdr:blipFill>
        <a:blip xmlns:r="http://schemas.openxmlformats.org/officeDocument/2006/relationships" r:embed="rId2" cstate="screen">
          <a:extLst>
            <a:ext uri="{28A0092B-C50C-407E-A947-70E740481C1C}">
              <a14:useLocalDpi xmlns:a14="http://schemas.microsoft.com/office/drawing/2010/main"/>
            </a:ext>
          </a:extLst>
        </a:blip>
        <a:stretch>
          <a:fillRect/>
        </a:stretch>
      </xdr:blipFill>
      <xdr:spPr>
        <a:xfrm>
          <a:off x="2540000" y="241300"/>
          <a:ext cx="5410200" cy="3800475"/>
        </a:xfrm>
        <a:prstGeom prst="rect">
          <a:avLst/>
        </a:prstGeom>
        <a:noFill/>
      </xdr:spPr>
    </xdr:pic>
    <xdr:clientData fLocksWithSheet="0"/>
  </xdr:oneCellAnchor>
  <xdr:oneCellAnchor>
    <xdr:from>
      <xdr:col>7</xdr:col>
      <xdr:colOff>246239</xdr:colOff>
      <xdr:row>20</xdr:row>
      <xdr:rowOff>82315</xdr:rowOff>
    </xdr:from>
    <xdr:ext cx="2105025" cy="1238250"/>
    <xdr:pic>
      <xdr:nvPicPr>
        <xdr:cNvPr id="9" name="image33.png" title="Image">
          <a:extLst>
            <a:ext uri="{FF2B5EF4-FFF2-40B4-BE49-F238E27FC236}">
              <a16:creationId xmlns:a16="http://schemas.microsoft.com/office/drawing/2014/main" id="{B4FA3A7F-8DE3-4B49-B926-D4D7B625D12E}"/>
            </a:ext>
          </a:extLst>
        </xdr:cNvPr>
        <xdr:cNvPicPr preferRelativeResize="0"/>
      </xdr:nvPicPr>
      <xdr:blipFill>
        <a:blip xmlns:r="http://schemas.openxmlformats.org/officeDocument/2006/relationships" r:embed="rId3" cstate="print"/>
        <a:stretch>
          <a:fillRect/>
        </a:stretch>
      </xdr:blipFill>
      <xdr:spPr>
        <a:xfrm>
          <a:off x="5135739" y="3892315"/>
          <a:ext cx="2105025" cy="1238250"/>
        </a:xfrm>
        <a:prstGeom prst="rect">
          <a:avLst/>
        </a:prstGeom>
        <a:noFill/>
      </xdr:spPr>
    </xdr:pic>
    <xdr:clientData fLocksWithSheet="0"/>
  </xdr:oneCellAnchor>
  <xdr:oneCellAnchor>
    <xdr:from>
      <xdr:col>3</xdr:col>
      <xdr:colOff>444500</xdr:colOff>
      <xdr:row>17</xdr:row>
      <xdr:rowOff>175096</xdr:rowOff>
    </xdr:from>
    <xdr:ext cx="2028825" cy="1428750"/>
    <xdr:pic>
      <xdr:nvPicPr>
        <xdr:cNvPr id="10" name="image40.png" title="Image">
          <a:extLst>
            <a:ext uri="{FF2B5EF4-FFF2-40B4-BE49-F238E27FC236}">
              <a16:creationId xmlns:a16="http://schemas.microsoft.com/office/drawing/2014/main" id="{FAABF5FF-CF19-3248-9E0D-37297784980F}"/>
            </a:ext>
          </a:extLst>
        </xdr:cNvPr>
        <xdr:cNvPicPr preferRelativeResize="0"/>
      </xdr:nvPicPr>
      <xdr:blipFill>
        <a:blip xmlns:r="http://schemas.openxmlformats.org/officeDocument/2006/relationships" r:embed="rId4" cstate="screen">
          <a:extLst>
            <a:ext uri="{28A0092B-C50C-407E-A947-70E740481C1C}">
              <a14:useLocalDpi xmlns:a14="http://schemas.microsoft.com/office/drawing/2010/main"/>
            </a:ext>
          </a:extLst>
        </a:blip>
        <a:stretch>
          <a:fillRect/>
        </a:stretch>
      </xdr:blipFill>
      <xdr:spPr>
        <a:xfrm>
          <a:off x="2540000" y="3413596"/>
          <a:ext cx="2028825" cy="1428750"/>
        </a:xfrm>
        <a:prstGeom prst="rect">
          <a:avLst/>
        </a:prstGeom>
        <a:noFill/>
      </xdr:spPr>
    </xdr:pic>
    <xdr:clientData fLocksWithSheet="0"/>
  </xdr:oneCellAnchor>
  <xdr:oneCellAnchor>
    <xdr:from>
      <xdr:col>13</xdr:col>
      <xdr:colOff>457200</xdr:colOff>
      <xdr:row>1</xdr:row>
      <xdr:rowOff>165100</xdr:rowOff>
    </xdr:from>
    <xdr:ext cx="5314950" cy="3152775"/>
    <xdr:pic>
      <xdr:nvPicPr>
        <xdr:cNvPr id="11" name="image39.png" title="Image">
          <a:extLst>
            <a:ext uri="{FF2B5EF4-FFF2-40B4-BE49-F238E27FC236}">
              <a16:creationId xmlns:a16="http://schemas.microsoft.com/office/drawing/2014/main" id="{5A17538B-E2FE-8748-B88C-E1C68926BAD9}"/>
            </a:ext>
          </a:extLst>
        </xdr:cNvPr>
        <xdr:cNvPicPr preferRelativeResize="0"/>
      </xdr:nvPicPr>
      <xdr:blipFill>
        <a:blip xmlns:r="http://schemas.openxmlformats.org/officeDocument/2006/relationships" r:embed="rId5" cstate="screen">
          <a:extLst>
            <a:ext uri="{28A0092B-C50C-407E-A947-70E740481C1C}">
              <a14:useLocalDpi xmlns:a14="http://schemas.microsoft.com/office/drawing/2010/main"/>
            </a:ext>
          </a:extLst>
        </a:blip>
        <a:stretch>
          <a:fillRect/>
        </a:stretch>
      </xdr:blipFill>
      <xdr:spPr>
        <a:xfrm>
          <a:off x="9537700" y="355600"/>
          <a:ext cx="5314950" cy="3152775"/>
        </a:xfrm>
        <a:prstGeom prst="rect">
          <a:avLst/>
        </a:prstGeom>
        <a:noFill/>
      </xdr:spPr>
    </xdr:pic>
    <xdr:clientData fLocksWithSheet="0"/>
  </xdr:oneCellAnchor>
  <xdr:oneCellAnchor>
    <xdr:from>
      <xdr:col>13</xdr:col>
      <xdr:colOff>457200</xdr:colOff>
      <xdr:row>16</xdr:row>
      <xdr:rowOff>17874</xdr:rowOff>
    </xdr:from>
    <xdr:ext cx="2295525" cy="1657350"/>
    <xdr:pic>
      <xdr:nvPicPr>
        <xdr:cNvPr id="12" name="image37.png" title="Image">
          <a:extLst>
            <a:ext uri="{FF2B5EF4-FFF2-40B4-BE49-F238E27FC236}">
              <a16:creationId xmlns:a16="http://schemas.microsoft.com/office/drawing/2014/main" id="{262836C8-6AC6-C941-9FB8-4A09BB6B1551}"/>
            </a:ext>
          </a:extLst>
        </xdr:cNvPr>
        <xdr:cNvPicPr preferRelativeResize="0"/>
      </xdr:nvPicPr>
      <xdr:blipFill>
        <a:blip xmlns:r="http://schemas.openxmlformats.org/officeDocument/2006/relationships" r:embed="rId6" cstate="print"/>
        <a:stretch>
          <a:fillRect/>
        </a:stretch>
      </xdr:blipFill>
      <xdr:spPr>
        <a:xfrm>
          <a:off x="9537700" y="3065874"/>
          <a:ext cx="2295525" cy="1657350"/>
        </a:xfrm>
        <a:prstGeom prst="rect">
          <a:avLst/>
        </a:prstGeom>
        <a:noFill/>
      </xdr:spPr>
    </xdr:pic>
    <xdr:clientData fLocksWithSheet="0"/>
  </xdr:oneCellAnchor>
  <xdr:oneCellAnchor>
    <xdr:from>
      <xdr:col>17</xdr:col>
      <xdr:colOff>428860</xdr:colOff>
      <xdr:row>19</xdr:row>
      <xdr:rowOff>39394</xdr:rowOff>
    </xdr:from>
    <xdr:ext cx="2705100" cy="1238250"/>
    <xdr:pic>
      <xdr:nvPicPr>
        <xdr:cNvPr id="13" name="image38.png" title="Image">
          <a:extLst>
            <a:ext uri="{FF2B5EF4-FFF2-40B4-BE49-F238E27FC236}">
              <a16:creationId xmlns:a16="http://schemas.microsoft.com/office/drawing/2014/main" id="{1886D45C-63E2-0F48-AFD4-B27BD1864B01}"/>
            </a:ext>
          </a:extLst>
        </xdr:cNvPr>
        <xdr:cNvPicPr preferRelativeResize="0"/>
      </xdr:nvPicPr>
      <xdr:blipFill>
        <a:blip xmlns:r="http://schemas.openxmlformats.org/officeDocument/2006/relationships" r:embed="rId7" cstate="screen">
          <a:extLst>
            <a:ext uri="{28A0092B-C50C-407E-A947-70E740481C1C}">
              <a14:useLocalDpi xmlns:a14="http://schemas.microsoft.com/office/drawing/2010/main"/>
            </a:ext>
          </a:extLst>
        </a:blip>
        <a:stretch>
          <a:fillRect/>
        </a:stretch>
      </xdr:blipFill>
      <xdr:spPr>
        <a:xfrm>
          <a:off x="12303360" y="3658894"/>
          <a:ext cx="2705100" cy="1238250"/>
        </a:xfrm>
        <a:prstGeom prst="rect">
          <a:avLst/>
        </a:prstGeom>
        <a:noFill/>
      </xdr:spPr>
    </xdr:pic>
    <xdr:clientData fLocksWithSheet="0"/>
  </xdr:oneCellAnchor>
  <xdr:twoCellAnchor>
    <xdr:from>
      <xdr:col>13</xdr:col>
      <xdr:colOff>660400</xdr:colOff>
      <xdr:row>2</xdr:row>
      <xdr:rowOff>88900</xdr:rowOff>
    </xdr:from>
    <xdr:to>
      <xdr:col>17</xdr:col>
      <xdr:colOff>431800</xdr:colOff>
      <xdr:row>4</xdr:row>
      <xdr:rowOff>0</xdr:rowOff>
    </xdr:to>
    <xdr:sp macro="" textlink="">
      <xdr:nvSpPr>
        <xdr:cNvPr id="14" name="TextBox 13">
          <a:extLst>
            <a:ext uri="{FF2B5EF4-FFF2-40B4-BE49-F238E27FC236}">
              <a16:creationId xmlns:a16="http://schemas.microsoft.com/office/drawing/2014/main" id="{C7ADD8C7-7A85-584B-892B-F67FDABEA9F6}"/>
            </a:ext>
          </a:extLst>
        </xdr:cNvPr>
        <xdr:cNvSpPr txBox="1"/>
      </xdr:nvSpPr>
      <xdr:spPr>
        <a:xfrm>
          <a:off x="9740900" y="469900"/>
          <a:ext cx="2565400" cy="292100"/>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t>Front Bulkhead Brace</a:t>
          </a:r>
          <a:r>
            <a:rPr lang="en-US" sz="1400" b="1" baseline="0"/>
            <a:t> Support</a:t>
          </a:r>
          <a:endParaRPr lang="en-US" sz="1400" b="1"/>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13</xdr:col>
      <xdr:colOff>12700</xdr:colOff>
      <xdr:row>1</xdr:row>
      <xdr:rowOff>3175</xdr:rowOff>
    </xdr:from>
    <xdr:to>
      <xdr:col>22</xdr:col>
      <xdr:colOff>12014</xdr:colOff>
      <xdr:row>26</xdr:row>
      <xdr:rowOff>174008</xdr:rowOff>
    </xdr:to>
    <xdr:pic>
      <xdr:nvPicPr>
        <xdr:cNvPr id="2" name="Picture 1">
          <a:extLst>
            <a:ext uri="{FF2B5EF4-FFF2-40B4-BE49-F238E27FC236}">
              <a16:creationId xmlns:a16="http://schemas.microsoft.com/office/drawing/2014/main" id="{6087CBEE-ACA1-425E-ABC2-136930D0CE0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937500" y="193675"/>
          <a:ext cx="5485714" cy="4933333"/>
        </a:xfrm>
        <a:prstGeom prst="rect">
          <a:avLst/>
        </a:prstGeom>
      </xdr:spPr>
    </xdr:pic>
    <xdr:clientData/>
  </xdr:twoCellAnchor>
  <xdr:twoCellAnchor editAs="oneCell">
    <xdr:from>
      <xdr:col>3</xdr:col>
      <xdr:colOff>0</xdr:colOff>
      <xdr:row>1</xdr:row>
      <xdr:rowOff>0</xdr:rowOff>
    </xdr:from>
    <xdr:to>
      <xdr:col>12</xdr:col>
      <xdr:colOff>766</xdr:colOff>
      <xdr:row>26</xdr:row>
      <xdr:rowOff>172139</xdr:rowOff>
    </xdr:to>
    <xdr:pic>
      <xdr:nvPicPr>
        <xdr:cNvPr id="3" name="Picture 2">
          <a:extLst>
            <a:ext uri="{FF2B5EF4-FFF2-40B4-BE49-F238E27FC236}">
              <a16:creationId xmlns:a16="http://schemas.microsoft.com/office/drawing/2014/main" id="{C9FBBA01-DDF0-4F41-BB37-A6436C81307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28800" y="190500"/>
          <a:ext cx="5487166" cy="4934639"/>
        </a:xfrm>
        <a:prstGeom prst="rect">
          <a:avLst/>
        </a:prstGeom>
      </xdr:spPr>
    </xdr:pic>
    <xdr:clientData/>
  </xdr:twoCellAnchor>
</xdr:wsDr>
</file>

<file path=xl/theme/theme1.xml><?xml version="1.0" encoding="utf-8"?>
<a:theme xmlns:a="http://schemas.openxmlformats.org/drawingml/2006/main" name="Office Theme">
  <a:themeElements>
    <a:clrScheme name="Unambiguous">
      <a:dk1>
        <a:sysClr val="windowText" lastClr="000000"/>
      </a:dk1>
      <a:lt1>
        <a:sysClr val="window" lastClr="FFFFFF"/>
      </a:lt1>
      <a:dk2>
        <a:srgbClr val="004E72"/>
      </a:dk2>
      <a:lt2>
        <a:srgbClr val="E7E6E6"/>
      </a:lt2>
      <a:accent1>
        <a:srgbClr val="56B4E9"/>
      </a:accent1>
      <a:accent2>
        <a:srgbClr val="CC79A7"/>
      </a:accent2>
      <a:accent3>
        <a:srgbClr val="009E73"/>
      </a:accent3>
      <a:accent4>
        <a:srgbClr val="D55E00"/>
      </a:accent4>
      <a:accent5>
        <a:srgbClr val="E69F00"/>
      </a:accent5>
      <a:accent6>
        <a:srgbClr val="F0E442"/>
      </a:accent6>
      <a:hlink>
        <a:srgbClr val="56B4E9"/>
      </a:hlink>
      <a:folHlink>
        <a:srgbClr val="D55E00"/>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mailto:elizabeth.g.rohrer@vanderbilt.edu" TargetMode="External"/><Relationship Id="rId2" Type="http://schemas.openxmlformats.org/officeDocument/2006/relationships/hyperlink" Target="https://www.youtube.com/watch?v=qyn3QOWh6Kg" TargetMode="External"/><Relationship Id="rId1" Type="http://schemas.openxmlformats.org/officeDocument/2006/relationships/hyperlink" Target="https://youtu.be/QUXIFI6CVtU" TargetMode="External"/><Relationship Id="rId6" Type="http://schemas.openxmlformats.org/officeDocument/2006/relationships/drawing" Target="../drawings/drawing1.xml"/><Relationship Id="rId5" Type="http://schemas.openxmlformats.org/officeDocument/2006/relationships/printerSettings" Target="../printerSettings/printerSettings1.bin"/><Relationship Id="rId4" Type="http://schemas.openxmlformats.org/officeDocument/2006/relationships/hyperlink" Target="mailto:philip.l.davis@vanderilt.edu"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55D4A4-BBD8-4992-9339-28B76E69241C}">
  <sheetPr codeName="Sheet1">
    <pageSetUpPr fitToPage="1"/>
  </sheetPr>
  <dimension ref="A1:FP166"/>
  <sheetViews>
    <sheetView tabSelected="1" topLeftCell="I1" zoomScaleNormal="100" workbookViewId="0">
      <selection activeCell="AQ13" sqref="AQ13"/>
    </sheetView>
  </sheetViews>
  <sheetFormatPr baseColWidth="10" defaultColWidth="9.1640625" defaultRowHeight="15" x14ac:dyDescent="0.2"/>
  <cols>
    <col min="1" max="1" width="11.1640625" style="25" customWidth="1"/>
    <col min="2" max="6" width="9.1640625" style="25" customWidth="1"/>
    <col min="7" max="7" width="9.1640625" style="25"/>
    <col min="8" max="8" width="9.1640625" style="25" customWidth="1"/>
    <col min="9" max="10" width="9.1640625" style="25"/>
    <col min="11" max="11" width="9.1640625" style="12"/>
    <col min="12" max="12" width="9.1640625" style="35"/>
    <col min="13" max="36" width="9.1640625" style="25"/>
    <col min="37" max="37" width="10" style="25" bestFit="1" customWidth="1"/>
    <col min="38" max="66" width="9.1640625" style="25"/>
    <col min="67" max="67" width="10" style="25" bestFit="1" customWidth="1"/>
    <col min="68" max="79" width="9.1640625" style="25"/>
    <col min="80" max="80" width="9.1640625" style="25" customWidth="1"/>
    <col min="81" max="86" width="9.1640625" style="25"/>
    <col min="87" max="88" width="9.33203125" style="25" bestFit="1" customWidth="1"/>
    <col min="89" max="16384" width="9.1640625" style="25"/>
  </cols>
  <sheetData>
    <row r="1" spans="1:172" ht="17.25" customHeight="1" x14ac:dyDescent="0.2">
      <c r="B1" s="32" t="s">
        <v>0</v>
      </c>
      <c r="C1" s="316" t="s">
        <v>1236</v>
      </c>
      <c r="D1" s="316"/>
      <c r="E1" s="316"/>
      <c r="F1" s="316"/>
      <c r="G1" s="316"/>
      <c r="H1" s="316"/>
      <c r="I1" s="316"/>
      <c r="J1" s="316"/>
      <c r="K1" s="11" t="str">
        <f>IF(C1="","BLANK","EQ")</f>
        <v>EQ</v>
      </c>
      <c r="L1" s="48"/>
      <c r="M1" s="55">
        <v>2025</v>
      </c>
      <c r="N1" s="24" t="s">
        <v>133</v>
      </c>
      <c r="O1" s="24"/>
      <c r="P1" s="24"/>
      <c r="Q1" s="24"/>
      <c r="R1" s="24"/>
      <c r="T1" s="56"/>
      <c r="W1" s="24"/>
      <c r="Y1" s="24"/>
      <c r="Z1" s="48" t="s">
        <v>132</v>
      </c>
      <c r="AA1" s="56" t="s">
        <v>1211</v>
      </c>
      <c r="AB1" s="25" t="s">
        <v>1212</v>
      </c>
      <c r="AC1" s="12"/>
      <c r="AD1" s="41"/>
      <c r="AE1" s="42"/>
      <c r="AF1" s="42"/>
      <c r="AG1" s="42"/>
      <c r="AH1" s="42"/>
      <c r="AI1" s="42"/>
      <c r="AJ1" s="42"/>
      <c r="AK1" s="42"/>
      <c r="AL1" s="42"/>
      <c r="AM1" s="42"/>
      <c r="AN1" s="42"/>
      <c r="AO1" s="42"/>
      <c r="AP1" s="42"/>
      <c r="AQ1" s="42"/>
      <c r="AR1" s="41"/>
      <c r="AS1" s="42"/>
      <c r="AT1" s="42"/>
      <c r="AU1" s="42"/>
      <c r="AV1" s="42"/>
      <c r="AW1" s="42"/>
      <c r="AX1" s="42"/>
      <c r="AY1" s="42"/>
      <c r="AZ1" s="42"/>
      <c r="BA1" s="42"/>
      <c r="BB1" s="42"/>
      <c r="BC1" s="42"/>
      <c r="BD1" s="42"/>
      <c r="BE1" s="42"/>
      <c r="BF1" s="41"/>
      <c r="BG1" s="51"/>
      <c r="BH1" s="51"/>
      <c r="BI1" s="51"/>
      <c r="BJ1" s="51"/>
      <c r="BK1" s="51"/>
      <c r="BL1" s="51"/>
      <c r="BM1" s="51"/>
      <c r="BN1" s="51"/>
      <c r="BO1" s="51"/>
      <c r="BP1" s="51"/>
      <c r="BQ1" s="51"/>
      <c r="BR1" s="51"/>
      <c r="BS1" s="51"/>
      <c r="BT1" s="51"/>
      <c r="BU1" s="51"/>
      <c r="BV1" s="51"/>
      <c r="BW1" s="51"/>
      <c r="BX1" s="51"/>
      <c r="BY1" s="51"/>
      <c r="BZ1" s="51"/>
      <c r="CA1" s="51"/>
      <c r="CB1" s="51"/>
      <c r="CC1" s="51"/>
      <c r="CD1" s="43"/>
      <c r="CE1" s="51"/>
      <c r="CF1" s="51"/>
      <c r="CG1" s="51"/>
      <c r="CH1" s="51"/>
      <c r="CI1" s="51"/>
      <c r="CJ1" s="51"/>
      <c r="CK1" s="51"/>
      <c r="CL1" s="102"/>
      <c r="CN1" s="12" t="s">
        <v>214</v>
      </c>
      <c r="CO1" s="12" t="s">
        <v>213</v>
      </c>
      <c r="CX1" s="18"/>
      <c r="CY1" s="303" t="s">
        <v>61</v>
      </c>
      <c r="CZ1" s="303"/>
      <c r="DA1" s="303"/>
      <c r="DB1" s="303"/>
      <c r="DC1" s="303"/>
      <c r="DD1" s="303"/>
      <c r="DE1" s="303"/>
      <c r="DF1" s="303"/>
      <c r="DG1" s="303"/>
      <c r="DH1" s="303"/>
      <c r="DI1" s="303"/>
      <c r="DJ1" s="303"/>
      <c r="DK1" s="303"/>
      <c r="DL1" s="303"/>
      <c r="DM1" s="303"/>
      <c r="DN1" s="303"/>
      <c r="DO1" s="303"/>
      <c r="DP1" s="303"/>
      <c r="DQ1" s="303"/>
      <c r="DR1" s="303"/>
      <c r="DS1" s="303"/>
      <c r="DT1" s="303"/>
      <c r="DU1" s="303"/>
      <c r="DV1" s="303" t="s">
        <v>71</v>
      </c>
      <c r="DW1" s="303"/>
      <c r="DX1" s="303"/>
      <c r="DY1" s="303"/>
      <c r="DZ1" s="303"/>
      <c r="EA1" s="303"/>
      <c r="EB1" s="303"/>
      <c r="EC1" s="303"/>
      <c r="ED1" s="303" t="s">
        <v>114</v>
      </c>
      <c r="EE1" s="303"/>
      <c r="EF1" s="303"/>
      <c r="EG1" s="303"/>
      <c r="EH1" s="303"/>
      <c r="EI1" s="303"/>
      <c r="EJ1" s="303"/>
      <c r="EK1" s="303" t="s">
        <v>72</v>
      </c>
      <c r="EL1" s="295"/>
      <c r="EM1" s="295"/>
      <c r="EN1" s="295"/>
      <c r="EO1" s="295"/>
      <c r="EP1" s="295"/>
      <c r="EQ1" s="295"/>
      <c r="ER1" s="295"/>
      <c r="ES1" s="295"/>
      <c r="ET1" s="295"/>
      <c r="EU1" s="295"/>
      <c r="EV1" s="295"/>
      <c r="EW1" s="295"/>
      <c r="EX1" s="295"/>
      <c r="EY1" s="295"/>
      <c r="EZ1" s="303" t="s">
        <v>73</v>
      </c>
      <c r="FA1" s="303"/>
      <c r="FB1" s="303"/>
      <c r="FC1" s="303"/>
      <c r="FD1" s="303"/>
      <c r="FE1" s="303"/>
      <c r="FF1" s="303"/>
      <c r="FG1" s="303"/>
      <c r="FI1" s="303" t="s">
        <v>295</v>
      </c>
      <c r="FJ1" s="303"/>
      <c r="FK1" s="303"/>
      <c r="FL1" s="303"/>
      <c r="FM1" s="303"/>
      <c r="FN1" s="303"/>
      <c r="FO1" s="303"/>
      <c r="FP1" s="303"/>
    </row>
    <row r="2" spans="1:172" ht="15.75" customHeight="1" x14ac:dyDescent="0.2">
      <c r="B2" s="32" t="s">
        <v>5</v>
      </c>
      <c r="C2" s="316" t="s">
        <v>1237</v>
      </c>
      <c r="D2" s="316"/>
      <c r="E2" s="316"/>
      <c r="F2" s="316"/>
      <c r="G2" s="316"/>
      <c r="H2" s="327"/>
      <c r="I2" s="327"/>
      <c r="J2" s="327"/>
      <c r="K2" s="11" t="str">
        <f>IF(C2="","BLANK","EQ")</f>
        <v>EQ</v>
      </c>
      <c r="L2" s="48"/>
      <c r="M2" s="11"/>
      <c r="N2" s="11"/>
      <c r="O2" s="11"/>
      <c r="P2" s="11"/>
      <c r="Q2" s="11"/>
      <c r="R2" s="11"/>
      <c r="S2" s="11"/>
      <c r="T2" s="11"/>
      <c r="U2" s="11"/>
      <c r="V2" s="11"/>
      <c r="W2" s="11"/>
      <c r="X2" s="11"/>
      <c r="Y2" s="11"/>
      <c r="Z2" s="11"/>
      <c r="AA2" s="11"/>
      <c r="AB2" s="25" t="s">
        <v>1213</v>
      </c>
      <c r="AC2" s="12"/>
      <c r="AD2" s="41"/>
      <c r="AE2" s="42"/>
      <c r="AF2" s="42"/>
      <c r="AG2" s="42"/>
      <c r="AH2" s="42"/>
      <c r="AI2" s="42"/>
      <c r="AJ2" s="42"/>
      <c r="AK2" s="42"/>
      <c r="AL2" s="42"/>
      <c r="AM2" s="42"/>
      <c r="AN2" s="42"/>
      <c r="AO2" s="42"/>
      <c r="AP2" s="42"/>
      <c r="AQ2" s="42"/>
      <c r="AR2" s="41"/>
      <c r="AS2" s="42"/>
      <c r="AT2" s="42"/>
      <c r="AU2" s="42"/>
      <c r="AV2" s="42"/>
      <c r="AW2" s="42"/>
      <c r="AX2" s="42"/>
      <c r="AY2" s="42"/>
      <c r="AZ2" s="42"/>
      <c r="BA2" s="42"/>
      <c r="BB2" s="42"/>
      <c r="BC2" s="42"/>
      <c r="BD2" s="42"/>
      <c r="BE2" s="42"/>
      <c r="BF2" s="41"/>
      <c r="BG2" s="51"/>
      <c r="BH2" s="51"/>
      <c r="BI2" s="51"/>
      <c r="BJ2" s="51"/>
      <c r="BK2" s="51"/>
      <c r="BL2" s="51"/>
      <c r="BM2" s="51"/>
      <c r="BN2" s="51"/>
      <c r="BO2" s="51"/>
      <c r="BP2" s="51"/>
      <c r="BQ2" s="51"/>
      <c r="BR2" s="51"/>
      <c r="BS2" s="51"/>
      <c r="BT2" s="51"/>
      <c r="BU2" s="51"/>
      <c r="BV2" s="51"/>
      <c r="BW2" s="51"/>
      <c r="BX2" s="51"/>
      <c r="BY2" s="51"/>
      <c r="BZ2" s="51"/>
      <c r="CA2" s="51"/>
      <c r="CB2" s="51"/>
      <c r="CC2" s="51"/>
      <c r="CD2" s="43"/>
      <c r="CE2" s="51"/>
      <c r="CF2" s="51"/>
      <c r="CG2" s="51"/>
      <c r="CH2" s="51"/>
      <c r="CI2" s="51"/>
      <c r="CJ2" s="51"/>
      <c r="CK2" s="51"/>
      <c r="CL2" s="102"/>
      <c r="CN2" s="25" t="s">
        <v>309</v>
      </c>
      <c r="CX2" s="18"/>
      <c r="CY2" s="303"/>
      <c r="CZ2" s="303"/>
      <c r="DA2" s="303"/>
      <c r="DB2" s="303"/>
      <c r="DC2" s="303"/>
      <c r="DD2" s="303"/>
      <c r="DE2" s="303"/>
      <c r="DF2" s="303"/>
      <c r="DG2" s="303"/>
      <c r="DH2" s="303"/>
      <c r="DI2" s="303"/>
      <c r="DJ2" s="303"/>
      <c r="DK2" s="303"/>
      <c r="DL2" s="303"/>
      <c r="DM2" s="303"/>
      <c r="DN2" s="303"/>
      <c r="DO2" s="303"/>
      <c r="DP2" s="303"/>
      <c r="DQ2" s="303"/>
      <c r="DR2" s="303"/>
      <c r="DS2" s="303"/>
      <c r="DT2" s="303"/>
      <c r="DU2" s="303"/>
      <c r="DV2" s="303"/>
      <c r="DW2" s="303"/>
      <c r="DX2" s="303"/>
      <c r="DY2" s="303"/>
      <c r="DZ2" s="303"/>
      <c r="EA2" s="303"/>
      <c r="EB2" s="303"/>
      <c r="EC2" s="303"/>
      <c r="ED2" s="303"/>
      <c r="EE2" s="303"/>
      <c r="EF2" s="303"/>
      <c r="EG2" s="303"/>
      <c r="EH2" s="303"/>
      <c r="EI2" s="303"/>
      <c r="EJ2" s="303"/>
      <c r="EK2" s="295"/>
      <c r="EL2" s="295"/>
      <c r="EM2" s="295"/>
      <c r="EN2" s="295"/>
      <c r="EO2" s="295"/>
      <c r="EP2" s="295"/>
      <c r="EQ2" s="295"/>
      <c r="ER2" s="295"/>
      <c r="ES2" s="295"/>
      <c r="ET2" s="295"/>
      <c r="EU2" s="295"/>
      <c r="EV2" s="295"/>
      <c r="EW2" s="295"/>
      <c r="EX2" s="295"/>
      <c r="EY2" s="295"/>
      <c r="EZ2" s="303"/>
      <c r="FA2" s="303"/>
      <c r="FB2" s="303"/>
      <c r="FC2" s="303"/>
      <c r="FD2" s="303"/>
      <c r="FE2" s="303"/>
      <c r="FF2" s="303"/>
      <c r="FG2" s="303"/>
      <c r="FI2" s="303"/>
      <c r="FJ2" s="303"/>
      <c r="FK2" s="303"/>
      <c r="FL2" s="303"/>
      <c r="FM2" s="303"/>
      <c r="FN2" s="303"/>
      <c r="FO2" s="303"/>
      <c r="FP2" s="303"/>
    </row>
    <row r="3" spans="1:172" ht="15.75" customHeight="1" x14ac:dyDescent="0.2">
      <c r="B3" s="32" t="s">
        <v>76</v>
      </c>
      <c r="C3" s="312" t="s">
        <v>420</v>
      </c>
      <c r="D3" s="313"/>
      <c r="E3" s="312" t="s">
        <v>419</v>
      </c>
      <c r="F3" s="313"/>
      <c r="G3" s="316" t="s">
        <v>230</v>
      </c>
      <c r="H3" s="316"/>
      <c r="I3" s="316" t="s">
        <v>230</v>
      </c>
      <c r="J3" s="316"/>
      <c r="K3" s="11" t="s">
        <v>56</v>
      </c>
      <c r="L3" s="48"/>
      <c r="M3" s="58" t="s">
        <v>514</v>
      </c>
      <c r="N3" s="59"/>
      <c r="O3" s="59"/>
      <c r="P3" s="59"/>
      <c r="Q3" s="59"/>
      <c r="R3" s="59"/>
      <c r="S3" s="59"/>
      <c r="T3" s="59"/>
      <c r="U3" s="59"/>
      <c r="V3" s="59"/>
      <c r="W3" s="59"/>
      <c r="X3" s="59"/>
      <c r="Y3" s="59"/>
      <c r="Z3" s="59"/>
      <c r="AA3" s="59"/>
      <c r="AB3" s="25" t="s">
        <v>1214</v>
      </c>
      <c r="AC3" s="12"/>
      <c r="AD3" s="41"/>
      <c r="AE3" s="42"/>
      <c r="AF3" s="42"/>
      <c r="AG3" s="42"/>
      <c r="AH3" s="42"/>
      <c r="AI3" s="42"/>
      <c r="AJ3" s="42"/>
      <c r="AK3" s="42"/>
      <c r="AL3" s="42"/>
      <c r="AM3" s="42"/>
      <c r="AN3" s="42"/>
      <c r="AO3" s="42"/>
      <c r="AP3" s="42"/>
      <c r="AQ3" s="42"/>
      <c r="AR3" s="41"/>
      <c r="AS3" s="42"/>
      <c r="AT3" s="42"/>
      <c r="AU3" s="42"/>
      <c r="AV3" s="42"/>
      <c r="AW3" s="42"/>
      <c r="AX3" s="42"/>
      <c r="AY3" s="42"/>
      <c r="AZ3" s="42"/>
      <c r="BA3" s="42"/>
      <c r="BB3" s="42"/>
      <c r="BC3" s="42"/>
      <c r="BD3" s="42"/>
      <c r="BE3" s="42"/>
      <c r="BF3" s="41"/>
      <c r="BG3" s="51"/>
      <c r="BH3" s="51"/>
      <c r="BI3" s="51"/>
      <c r="BJ3" s="51"/>
      <c r="BK3" s="51"/>
      <c r="BL3" s="51"/>
      <c r="BM3" s="51"/>
      <c r="BN3" s="51"/>
      <c r="BO3" s="51"/>
      <c r="BP3" s="51"/>
      <c r="BQ3" s="51"/>
      <c r="BR3" s="51"/>
      <c r="BS3" s="51"/>
      <c r="BT3" s="51"/>
      <c r="BU3" s="51"/>
      <c r="BV3" s="51"/>
      <c r="BW3" s="51"/>
      <c r="BX3" s="51"/>
      <c r="BY3" s="51"/>
      <c r="BZ3" s="51"/>
      <c r="CA3" s="51"/>
      <c r="CB3" s="51"/>
      <c r="CC3" s="51"/>
      <c r="CD3" s="43"/>
      <c r="CE3" s="51"/>
      <c r="CF3" s="51"/>
      <c r="CG3" s="51"/>
      <c r="CH3" s="51"/>
      <c r="CI3" s="51"/>
      <c r="CJ3" s="51"/>
      <c r="CK3" s="51"/>
      <c r="CL3" s="102"/>
      <c r="CM3" s="12"/>
      <c r="CN3" s="25" t="s">
        <v>307</v>
      </c>
      <c r="CX3" s="18"/>
    </row>
    <row r="4" spans="1:172" ht="15.75" customHeight="1" x14ac:dyDescent="0.2">
      <c r="B4" s="32" t="s">
        <v>75</v>
      </c>
      <c r="C4" s="314">
        <v>130</v>
      </c>
      <c r="D4" s="315"/>
      <c r="E4" s="314"/>
      <c r="F4" s="315"/>
      <c r="G4" s="314"/>
      <c r="H4" s="315"/>
      <c r="I4" s="319"/>
      <c r="J4" s="319"/>
      <c r="K4" s="11" t="str">
        <f>IF(AND(C4="",G4="",E4="",I4=""),"BLANK","EQ")</f>
        <v>EQ</v>
      </c>
      <c r="L4" s="48"/>
      <c r="M4" s="30" t="s">
        <v>130</v>
      </c>
      <c r="N4" s="30"/>
      <c r="O4" s="30"/>
      <c r="P4" s="30"/>
      <c r="Q4" s="30"/>
      <c r="R4" s="30"/>
      <c r="S4" s="30"/>
      <c r="T4" s="30"/>
      <c r="U4" s="30"/>
      <c r="V4" s="30"/>
      <c r="W4" s="30"/>
      <c r="X4" s="30"/>
      <c r="Y4" s="30"/>
      <c r="Z4" s="30"/>
      <c r="AA4" s="30"/>
      <c r="AC4" s="12"/>
      <c r="AD4" s="41"/>
      <c r="AE4" s="42"/>
      <c r="AF4" s="42"/>
      <c r="AG4" s="42"/>
      <c r="AH4" s="42"/>
      <c r="AI4" s="42"/>
      <c r="AJ4" s="42"/>
      <c r="AK4" s="42"/>
      <c r="AL4" s="42"/>
      <c r="AM4" s="42"/>
      <c r="AN4" s="42"/>
      <c r="AO4" s="42"/>
      <c r="AP4" s="42"/>
      <c r="AQ4" s="42"/>
      <c r="AR4" s="41"/>
      <c r="AS4" s="42"/>
      <c r="AT4" s="42"/>
      <c r="AU4" s="42"/>
      <c r="AV4" s="42"/>
      <c r="AW4" s="42"/>
      <c r="AX4" s="42"/>
      <c r="AY4" s="42"/>
      <c r="AZ4" s="42"/>
      <c r="BA4" s="42"/>
      <c r="BB4" s="42"/>
      <c r="BC4" s="42"/>
      <c r="BD4" s="42"/>
      <c r="BE4" s="42"/>
      <c r="BF4" s="41"/>
      <c r="BG4" s="51"/>
      <c r="BH4" s="51"/>
      <c r="BI4" s="51"/>
      <c r="BJ4" s="51"/>
      <c r="BK4" s="51"/>
      <c r="BL4" s="51"/>
      <c r="BM4" s="51"/>
      <c r="BN4" s="51"/>
      <c r="BO4" s="51"/>
      <c r="BP4" s="51"/>
      <c r="BQ4" s="51"/>
      <c r="BR4" s="51"/>
      <c r="BS4" s="51"/>
      <c r="BT4" s="51"/>
      <c r="BU4" s="51"/>
      <c r="BV4" s="51"/>
      <c r="BW4" s="51"/>
      <c r="BX4" s="51"/>
      <c r="BY4" s="51"/>
      <c r="BZ4" s="51"/>
      <c r="CA4" s="51"/>
      <c r="CB4" s="51"/>
      <c r="CC4" s="51"/>
      <c r="CD4" s="43"/>
      <c r="CE4" s="51"/>
      <c r="CF4" s="51"/>
      <c r="CG4" s="51"/>
      <c r="CH4" s="51"/>
      <c r="CI4" s="51"/>
      <c r="CJ4" s="51"/>
      <c r="CK4" s="51"/>
      <c r="CL4" s="102"/>
      <c r="CM4" s="12"/>
      <c r="CN4" s="25" t="s">
        <v>308</v>
      </c>
      <c r="CX4" s="18"/>
    </row>
    <row r="5" spans="1:172" ht="15.75" customHeight="1" x14ac:dyDescent="0.2">
      <c r="B5" s="32" t="s">
        <v>12</v>
      </c>
      <c r="C5" s="316" t="s">
        <v>1238</v>
      </c>
      <c r="D5" s="316"/>
      <c r="E5" s="316"/>
      <c r="F5" s="316"/>
      <c r="G5" s="316"/>
      <c r="H5" s="317"/>
      <c r="I5" s="317"/>
      <c r="J5" s="317"/>
      <c r="K5" s="11" t="str">
        <f>IF(C5="","BLANK","EQ")</f>
        <v>EQ</v>
      </c>
      <c r="L5" s="48"/>
      <c r="M5" s="30" t="s">
        <v>116</v>
      </c>
      <c r="N5" s="30"/>
      <c r="O5" s="30"/>
      <c r="P5" s="30"/>
      <c r="Q5" s="30"/>
      <c r="R5" s="30"/>
      <c r="S5" s="30"/>
      <c r="T5" s="30"/>
      <c r="U5" s="30"/>
      <c r="V5" s="30"/>
      <c r="W5" s="30"/>
      <c r="X5" s="30"/>
      <c r="Y5" s="30"/>
      <c r="Z5" s="30"/>
      <c r="AA5" s="30"/>
      <c r="AC5" s="12"/>
      <c r="AD5" s="41"/>
      <c r="AE5" s="42"/>
      <c r="AF5" s="42"/>
      <c r="AG5" s="42"/>
      <c r="AH5" s="42"/>
      <c r="AI5" s="42"/>
      <c r="AJ5" s="42"/>
      <c r="AK5" s="42"/>
      <c r="AL5" s="42"/>
      <c r="AM5" s="42"/>
      <c r="AN5" s="42"/>
      <c r="AO5" s="42"/>
      <c r="AP5" s="42"/>
      <c r="AQ5" s="42"/>
      <c r="AR5" s="41"/>
      <c r="AS5" s="42"/>
      <c r="AT5" s="42"/>
      <c r="AU5" s="42"/>
      <c r="AV5" s="42"/>
      <c r="AW5" s="42"/>
      <c r="AX5" s="42"/>
      <c r="AY5" s="42"/>
      <c r="AZ5" s="42"/>
      <c r="BA5" s="42"/>
      <c r="BB5" s="42"/>
      <c r="BC5" s="42"/>
      <c r="BD5" s="42"/>
      <c r="BE5" s="42"/>
      <c r="BF5" s="41"/>
      <c r="BG5" s="51"/>
      <c r="BH5" s="51"/>
      <c r="BI5" s="51"/>
      <c r="BJ5" s="51"/>
      <c r="BK5" s="51"/>
      <c r="BL5" s="51"/>
      <c r="BM5" s="51"/>
      <c r="BN5" s="51"/>
      <c r="BO5" s="51"/>
      <c r="BP5" s="51"/>
      <c r="BQ5" s="51"/>
      <c r="BR5" s="51"/>
      <c r="BS5" s="51"/>
      <c r="BT5" s="51"/>
      <c r="BU5" s="51"/>
      <c r="BV5" s="51"/>
      <c r="BW5" s="51"/>
      <c r="BX5" s="51"/>
      <c r="BY5" s="51"/>
      <c r="BZ5" s="51"/>
      <c r="CA5" s="51"/>
      <c r="CB5" s="51"/>
      <c r="CC5" s="51"/>
      <c r="CD5" s="43"/>
      <c r="CE5" s="51"/>
      <c r="CF5" s="51"/>
      <c r="CG5" s="51"/>
      <c r="CH5" s="51"/>
      <c r="CI5" s="51"/>
      <c r="CJ5" s="51"/>
      <c r="CK5" s="51"/>
      <c r="CL5" s="102"/>
      <c r="CM5" s="12"/>
      <c r="CN5" s="25" t="s">
        <v>307</v>
      </c>
      <c r="CX5" s="18"/>
    </row>
    <row r="6" spans="1:172" ht="15.75" customHeight="1" x14ac:dyDescent="0.2">
      <c r="B6" s="32" t="s">
        <v>6</v>
      </c>
      <c r="C6" s="318" t="s">
        <v>1239</v>
      </c>
      <c r="D6" s="316"/>
      <c r="E6" s="316"/>
      <c r="F6" s="316"/>
      <c r="G6" s="316"/>
      <c r="H6" s="316"/>
      <c r="I6" s="316"/>
      <c r="J6" s="316"/>
      <c r="K6" s="11" t="str">
        <f>IF(C6="","BLANK","EQ")</f>
        <v>EQ</v>
      </c>
      <c r="L6" s="48"/>
      <c r="M6" s="30" t="s">
        <v>444</v>
      </c>
      <c r="N6" s="22"/>
      <c r="O6" s="22"/>
      <c r="P6" s="22"/>
      <c r="Q6" s="22"/>
      <c r="R6" s="22"/>
      <c r="S6" s="22"/>
      <c r="T6" s="22"/>
      <c r="U6" s="22"/>
      <c r="V6" s="22"/>
      <c r="W6" s="22"/>
      <c r="X6" s="22"/>
      <c r="Y6" s="22"/>
      <c r="Z6" s="22"/>
      <c r="AA6" s="22"/>
      <c r="AC6" s="12"/>
      <c r="AD6" s="41"/>
      <c r="AE6" s="42"/>
      <c r="AF6" s="42"/>
      <c r="AG6" s="42"/>
      <c r="AH6" s="42"/>
      <c r="AI6" s="42"/>
      <c r="AJ6" s="42"/>
      <c r="AK6" s="42"/>
      <c r="AL6" s="42"/>
      <c r="AM6" s="42"/>
      <c r="AN6" s="42"/>
      <c r="AO6" s="42"/>
      <c r="AP6" s="42"/>
      <c r="AQ6" s="42"/>
      <c r="AR6" s="41"/>
      <c r="AS6" s="42"/>
      <c r="AT6" s="42"/>
      <c r="AU6" s="42"/>
      <c r="AV6" s="42"/>
      <c r="AW6" s="42"/>
      <c r="AX6" s="42"/>
      <c r="AY6" s="42"/>
      <c r="AZ6" s="42"/>
      <c r="BA6" s="42"/>
      <c r="BB6" s="42"/>
      <c r="BC6" s="42"/>
      <c r="BD6" s="42"/>
      <c r="BE6" s="42"/>
      <c r="BF6" s="41"/>
      <c r="BG6" s="51"/>
      <c r="BH6" s="51"/>
      <c r="BI6" s="51"/>
      <c r="BJ6" s="51"/>
      <c r="BK6" s="51"/>
      <c r="BL6" s="51"/>
      <c r="BM6" s="51"/>
      <c r="BN6" s="51"/>
      <c r="BO6" s="51"/>
      <c r="BP6" s="51"/>
      <c r="BQ6" s="51"/>
      <c r="BR6" s="51"/>
      <c r="BS6" s="51"/>
      <c r="BT6" s="51"/>
      <c r="BU6" s="51"/>
      <c r="BV6" s="51"/>
      <c r="BW6" s="51"/>
      <c r="BX6" s="51"/>
      <c r="BY6" s="51"/>
      <c r="BZ6" s="51"/>
      <c r="CA6" s="51"/>
      <c r="CB6" s="51"/>
      <c r="CC6" s="51"/>
      <c r="CD6" s="43"/>
      <c r="CE6" s="51"/>
      <c r="CF6" s="51"/>
      <c r="CG6" s="51"/>
      <c r="CH6" s="51"/>
      <c r="CI6" s="51"/>
      <c r="CJ6" s="51"/>
      <c r="CK6" s="51"/>
      <c r="CL6" s="102"/>
      <c r="CM6" s="12"/>
      <c r="CX6" s="18"/>
    </row>
    <row r="7" spans="1:172" ht="15.75" customHeight="1" thickBot="1" x14ac:dyDescent="0.25">
      <c r="A7" s="296" t="s">
        <v>2</v>
      </c>
      <c r="B7" s="296"/>
      <c r="C7" s="296" t="s">
        <v>1</v>
      </c>
      <c r="D7" s="296"/>
      <c r="E7" s="296" t="s">
        <v>131</v>
      </c>
      <c r="F7" s="296"/>
      <c r="G7" s="320" t="s">
        <v>127</v>
      </c>
      <c r="H7" s="320"/>
      <c r="I7" s="320"/>
      <c r="J7" s="320"/>
      <c r="K7" s="11" t="s">
        <v>56</v>
      </c>
      <c r="L7" s="48"/>
      <c r="M7" s="33"/>
      <c r="AC7" s="12"/>
      <c r="AD7" s="41"/>
      <c r="AE7" s="42"/>
      <c r="AF7" s="42"/>
      <c r="AG7" s="42"/>
      <c r="AH7" s="42"/>
      <c r="AI7" s="42"/>
      <c r="AJ7" s="42"/>
      <c r="AK7" s="42"/>
      <c r="AL7" s="42"/>
      <c r="AM7" s="42"/>
      <c r="AN7" s="42"/>
      <c r="AO7" s="42"/>
      <c r="AP7" s="42"/>
      <c r="AQ7" s="42"/>
      <c r="AR7" s="41"/>
      <c r="AS7" s="42"/>
      <c r="AT7" s="42"/>
      <c r="AU7" s="42"/>
      <c r="AV7" s="42"/>
      <c r="AW7" s="42"/>
      <c r="AX7" s="42"/>
      <c r="AY7" s="42"/>
      <c r="AZ7" s="42"/>
      <c r="BA7" s="42"/>
      <c r="BB7" s="42"/>
      <c r="BC7" s="42"/>
      <c r="BD7" s="42"/>
      <c r="BE7" s="42"/>
      <c r="BF7" s="41"/>
      <c r="BG7" s="51"/>
      <c r="BH7" s="51"/>
      <c r="BI7" s="51"/>
      <c r="BJ7" s="51"/>
      <c r="BK7" s="51"/>
      <c r="BL7" s="51"/>
      <c r="BM7" s="51"/>
      <c r="BN7" s="51"/>
      <c r="BO7" s="51"/>
      <c r="BP7" s="51"/>
      <c r="BQ7" s="51"/>
      <c r="BR7" s="51"/>
      <c r="BS7" s="51"/>
      <c r="BT7" s="51"/>
      <c r="BU7" s="51"/>
      <c r="BV7" s="51"/>
      <c r="BW7" s="51"/>
      <c r="BX7" s="51"/>
      <c r="BY7" s="51"/>
      <c r="BZ7" s="51"/>
      <c r="CA7" s="51"/>
      <c r="CB7" s="51"/>
      <c r="CC7" s="51"/>
      <c r="CD7" s="43"/>
      <c r="CE7" s="51"/>
      <c r="CF7" s="51"/>
      <c r="CG7" s="51"/>
      <c r="CH7" s="51"/>
      <c r="CI7" s="51"/>
      <c r="CJ7" s="51"/>
      <c r="CK7" s="51"/>
      <c r="CL7" s="102"/>
      <c r="CM7" s="12"/>
      <c r="CN7" s="329" t="s">
        <v>229</v>
      </c>
      <c r="CO7" s="329"/>
      <c r="CP7" s="329"/>
      <c r="CQ7" s="329"/>
      <c r="CR7" s="329"/>
      <c r="CS7" s="329"/>
      <c r="CT7" s="329"/>
      <c r="CU7" s="329"/>
      <c r="CV7" s="329"/>
      <c r="CW7" s="329"/>
      <c r="CX7" s="44"/>
    </row>
    <row r="8" spans="1:172" ht="15.75" customHeight="1" thickBot="1" x14ac:dyDescent="0.25">
      <c r="A8" s="333" t="s">
        <v>1240</v>
      </c>
      <c r="B8" s="333"/>
      <c r="C8" s="330" t="s">
        <v>1241</v>
      </c>
      <c r="D8" s="331"/>
      <c r="E8" s="298" t="s">
        <v>1234</v>
      </c>
      <c r="F8" s="300"/>
      <c r="G8" s="298" t="s">
        <v>1235</v>
      </c>
      <c r="H8" s="299"/>
      <c r="I8" s="299"/>
      <c r="J8" s="300"/>
      <c r="K8" s="11" t="str">
        <f>IF(OR(E8="Other Equivalence",G8="EV - Other Equivalence"),"REJECT",
IF(OR(A8="",C8="",G8="Select Drop Down",E8="Select Drop Down"),"BLANK","EQ"))</f>
        <v>EQ</v>
      </c>
      <c r="L8" s="48"/>
      <c r="M8" s="118" t="s">
        <v>454</v>
      </c>
      <c r="R8" s="118" t="s">
        <v>453</v>
      </c>
      <c r="V8" s="12" t="s">
        <v>379</v>
      </c>
      <c r="W8" s="35" t="s">
        <v>523</v>
      </c>
      <c r="AC8" s="12"/>
      <c r="AD8" s="41"/>
      <c r="AE8" s="42"/>
      <c r="AF8" s="42"/>
      <c r="AG8" s="42"/>
      <c r="AH8" s="42"/>
      <c r="AI8" s="42"/>
      <c r="AJ8" s="42"/>
      <c r="AK8" s="42"/>
      <c r="AL8" s="42"/>
      <c r="AM8" s="42"/>
      <c r="AN8" s="42"/>
      <c r="AO8" s="42"/>
      <c r="AP8" s="42"/>
      <c r="AQ8" s="42"/>
      <c r="AR8" s="41"/>
      <c r="AS8" s="42"/>
      <c r="AT8" s="42"/>
      <c r="AU8" s="42"/>
      <c r="AV8" s="42"/>
      <c r="AW8" s="42"/>
      <c r="AX8" s="42"/>
      <c r="AY8" s="42"/>
      <c r="AZ8" s="42"/>
      <c r="BA8" s="42"/>
      <c r="BB8" s="42"/>
      <c r="BC8" s="42"/>
      <c r="BD8" s="42"/>
      <c r="BE8" s="42"/>
      <c r="BF8" s="41"/>
      <c r="BG8" s="51"/>
      <c r="BH8" s="51"/>
      <c r="BI8" s="51"/>
      <c r="BJ8" s="51"/>
      <c r="BK8" s="51"/>
      <c r="BL8" s="51"/>
      <c r="BM8" s="51"/>
      <c r="BN8" s="51"/>
      <c r="BO8" s="51"/>
      <c r="BP8" s="51"/>
      <c r="BQ8" s="51"/>
      <c r="BR8" s="51"/>
      <c r="BS8" s="51"/>
      <c r="BT8" s="51"/>
      <c r="BU8" s="51"/>
      <c r="BV8" s="51"/>
      <c r="BW8" s="51"/>
      <c r="BX8" s="51"/>
      <c r="BY8" s="51"/>
      <c r="BZ8" s="51"/>
      <c r="CA8" s="51"/>
      <c r="CB8" s="51"/>
      <c r="CC8" s="51"/>
      <c r="CD8" s="43"/>
      <c r="CE8" s="51"/>
      <c r="CF8" s="51"/>
      <c r="CG8" s="51"/>
      <c r="CH8" s="51"/>
      <c r="CI8" s="51"/>
      <c r="CJ8" s="51"/>
      <c r="CK8" s="51"/>
      <c r="CL8" s="102"/>
      <c r="CM8" s="12"/>
      <c r="CN8" s="329"/>
      <c r="CO8" s="329"/>
      <c r="CP8" s="329"/>
      <c r="CQ8" s="329"/>
      <c r="CR8" s="329"/>
      <c r="CS8" s="329"/>
      <c r="CT8" s="329"/>
      <c r="CU8" s="329"/>
      <c r="CV8" s="329"/>
      <c r="CW8" s="329"/>
      <c r="CX8" s="60"/>
    </row>
    <row r="9" spans="1:172" ht="15.75" customHeight="1" thickBot="1" x14ac:dyDescent="0.25">
      <c r="B9" s="117"/>
      <c r="C9" s="117"/>
      <c r="D9" s="117"/>
      <c r="F9" s="117" t="str">
        <f>IF(E8="Other Equivalence","FILL OUT THE MONOCOQUE/HYBRID/NON-FERROUS SES.",IF(G8="EV - Other Equivalence","COMPOSITE ACCUMULATORS REQUIRE COMPOSITE TESTING + MONOCOQUE SES",""))</f>
        <v/>
      </c>
      <c r="G9" s="117"/>
      <c r="H9" s="117"/>
      <c r="I9" s="117"/>
      <c r="J9" s="117"/>
      <c r="K9" s="11" t="str">
        <f>IF(K8="REJECT",K8,"")</f>
        <v/>
      </c>
      <c r="L9" s="48"/>
      <c r="M9" s="78"/>
      <c r="N9" s="61" t="s">
        <v>287</v>
      </c>
      <c r="O9" s="62"/>
      <c r="P9" s="62"/>
      <c r="Q9" s="62"/>
      <c r="R9" s="62"/>
      <c r="S9" s="62"/>
      <c r="T9" s="62"/>
      <c r="U9" s="62"/>
      <c r="V9" s="62"/>
      <c r="W9" s="62"/>
      <c r="X9" s="62"/>
      <c r="Y9" s="62"/>
      <c r="Z9" s="62"/>
      <c r="AA9" s="62"/>
      <c r="AC9" s="12"/>
      <c r="AD9" s="41"/>
      <c r="AE9" s="42"/>
      <c r="AF9" s="294" t="s">
        <v>53</v>
      </c>
      <c r="AG9" s="294"/>
      <c r="AH9" s="294"/>
      <c r="AI9" s="294"/>
      <c r="AJ9" s="294"/>
      <c r="AK9" s="294"/>
      <c r="AL9" s="294"/>
      <c r="AM9" s="294"/>
      <c r="AN9" s="294"/>
      <c r="AO9" s="294"/>
      <c r="AP9" s="294"/>
      <c r="AQ9" s="42"/>
      <c r="AR9" s="41"/>
      <c r="AS9" s="42"/>
      <c r="AT9" s="294" t="s">
        <v>54</v>
      </c>
      <c r="AU9" s="294"/>
      <c r="AV9" s="294"/>
      <c r="AW9" s="294"/>
      <c r="AX9" s="294"/>
      <c r="AY9" s="294"/>
      <c r="AZ9" s="294"/>
      <c r="BA9" s="294"/>
      <c r="BB9" s="294"/>
      <c r="BC9" s="294"/>
      <c r="BD9" s="294"/>
      <c r="BE9" s="42"/>
      <c r="BF9" s="41"/>
      <c r="BG9" s="51"/>
      <c r="BH9" s="10"/>
      <c r="BI9" s="10"/>
      <c r="BJ9" s="10"/>
      <c r="BK9" s="10"/>
      <c r="BL9" s="10"/>
      <c r="BM9" s="10"/>
      <c r="BN9" s="10"/>
      <c r="BO9" s="10"/>
      <c r="BP9" s="10"/>
      <c r="BQ9" s="10"/>
      <c r="BR9" s="10"/>
      <c r="BS9" s="10"/>
      <c r="BT9" s="10"/>
      <c r="BU9" s="10"/>
      <c r="BV9" s="10"/>
      <c r="BW9" s="10"/>
      <c r="BX9" s="10"/>
      <c r="BY9" s="10"/>
      <c r="BZ9" s="10"/>
      <c r="CA9" s="10"/>
      <c r="CB9" s="10"/>
      <c r="CC9" s="51"/>
      <c r="CD9" s="43"/>
      <c r="CE9" s="10"/>
      <c r="CF9" s="10"/>
      <c r="CG9" s="10"/>
      <c r="CH9" s="10"/>
      <c r="CI9" s="10"/>
      <c r="CJ9" s="10"/>
      <c r="CK9" s="10"/>
      <c r="CL9" s="85"/>
      <c r="CM9" s="12"/>
      <c r="CN9" s="329"/>
      <c r="CO9" s="329"/>
      <c r="CP9" s="329"/>
      <c r="CQ9" s="329"/>
      <c r="CR9" s="329"/>
      <c r="CS9" s="329"/>
      <c r="CT9" s="329"/>
      <c r="CU9" s="329"/>
      <c r="CV9" s="329"/>
      <c r="CW9" s="329"/>
      <c r="CX9" s="60"/>
    </row>
    <row r="10" spans="1:172" ht="15.75" customHeight="1" thickBot="1" x14ac:dyDescent="0.25">
      <c r="A10" s="301" t="s">
        <v>139</v>
      </c>
      <c r="B10" s="301"/>
      <c r="C10" s="301"/>
      <c r="D10" s="301" t="s">
        <v>8</v>
      </c>
      <c r="E10" s="301"/>
      <c r="F10" s="301"/>
      <c r="G10" s="301"/>
      <c r="H10" s="301"/>
      <c r="I10" s="301"/>
      <c r="J10" s="301" t="str">
        <f ca="1">IF(OR(A17="EQ",A17="CHECK"),"YES","NO")</f>
        <v>YES</v>
      </c>
      <c r="K10" s="301"/>
      <c r="L10" s="22"/>
      <c r="M10" s="308" t="s">
        <v>126</v>
      </c>
      <c r="N10" s="309"/>
      <c r="O10" s="309"/>
      <c r="P10" s="309"/>
      <c r="Q10" s="309"/>
      <c r="R10" s="309"/>
      <c r="S10" s="309"/>
      <c r="T10" s="309"/>
      <c r="U10" s="309"/>
      <c r="V10" s="309"/>
      <c r="W10" s="309"/>
      <c r="X10" s="309"/>
      <c r="Y10" s="309"/>
      <c r="Z10" s="309"/>
      <c r="AA10" s="310"/>
      <c r="AC10" s="13"/>
      <c r="AD10" s="41"/>
      <c r="AE10" s="42"/>
      <c r="AF10" s="294"/>
      <c r="AG10" s="294"/>
      <c r="AH10" s="294"/>
      <c r="AI10" s="294"/>
      <c r="AJ10" s="294"/>
      <c r="AK10" s="294"/>
      <c r="AL10" s="294"/>
      <c r="AM10" s="294"/>
      <c r="AN10" s="294"/>
      <c r="AO10" s="294"/>
      <c r="AP10" s="294"/>
      <c r="AQ10" s="42"/>
      <c r="AR10" s="41"/>
      <c r="AS10" s="42"/>
      <c r="AT10" s="294"/>
      <c r="AU10" s="294"/>
      <c r="AV10" s="294"/>
      <c r="AW10" s="294"/>
      <c r="AX10" s="294"/>
      <c r="AY10" s="294"/>
      <c r="AZ10" s="294"/>
      <c r="BA10" s="294"/>
      <c r="BB10" s="294"/>
      <c r="BC10" s="294"/>
      <c r="BD10" s="294"/>
      <c r="BE10" s="42"/>
      <c r="BF10" s="41"/>
      <c r="BG10" s="51"/>
      <c r="BH10" s="10"/>
      <c r="BI10" s="10"/>
      <c r="BJ10" s="10"/>
      <c r="BK10" s="10"/>
      <c r="BL10" s="10"/>
      <c r="BM10" s="294" t="s">
        <v>317</v>
      </c>
      <c r="BN10" s="294"/>
      <c r="BO10" s="294"/>
      <c r="BP10" s="294"/>
      <c r="BQ10" s="294"/>
      <c r="BR10" s="294"/>
      <c r="BS10" s="294"/>
      <c r="BT10" s="294"/>
      <c r="BU10" s="294"/>
      <c r="BV10" s="294"/>
      <c r="BW10" s="294"/>
      <c r="BX10" s="294"/>
      <c r="BY10" s="294"/>
      <c r="BZ10" s="294"/>
      <c r="CA10" s="294"/>
      <c r="CB10" s="294"/>
      <c r="CC10" s="294"/>
      <c r="CD10" s="294"/>
      <c r="CE10" s="294"/>
      <c r="CF10" s="294"/>
      <c r="CG10" s="294"/>
      <c r="CH10" s="10"/>
      <c r="CI10" s="10"/>
      <c r="CJ10" s="10"/>
      <c r="CK10" s="10"/>
      <c r="CL10" s="85"/>
      <c r="CM10" s="12"/>
      <c r="CN10" s="329"/>
      <c r="CO10" s="329"/>
      <c r="CP10" s="329"/>
      <c r="CQ10" s="329"/>
      <c r="CR10" s="329"/>
      <c r="CS10" s="329"/>
      <c r="CT10" s="329"/>
      <c r="CU10" s="329"/>
      <c r="CV10" s="329"/>
      <c r="CW10" s="329"/>
      <c r="CX10" s="60"/>
    </row>
    <row r="11" spans="1:172" ht="15.75" customHeight="1" x14ac:dyDescent="0.2">
      <c r="A11" s="301"/>
      <c r="B11" s="301"/>
      <c r="C11" s="301"/>
      <c r="D11" s="301"/>
      <c r="E11" s="301"/>
      <c r="F11" s="301"/>
      <c r="G11" s="301"/>
      <c r="H11" s="301"/>
      <c r="I11" s="301"/>
      <c r="J11" s="301"/>
      <c r="K11" s="301"/>
      <c r="L11" s="22"/>
      <c r="M11" s="30" t="s">
        <v>135</v>
      </c>
      <c r="N11" s="30"/>
      <c r="O11" s="30"/>
      <c r="P11" s="30"/>
      <c r="Q11" s="30"/>
      <c r="R11" s="30"/>
      <c r="S11" s="30"/>
      <c r="T11" s="30"/>
      <c r="U11" s="30"/>
      <c r="V11" s="49" t="s">
        <v>128</v>
      </c>
      <c r="W11" s="49" t="s">
        <v>56</v>
      </c>
      <c r="X11" s="49" t="s">
        <v>136</v>
      </c>
      <c r="Y11" s="49" t="s">
        <v>137</v>
      </c>
      <c r="Z11" s="49" t="s">
        <v>99</v>
      </c>
      <c r="AA11" s="30"/>
      <c r="AC11" s="13"/>
      <c r="AD11" s="41"/>
      <c r="AE11" s="42"/>
      <c r="AF11" s="42"/>
      <c r="AG11" s="294" t="s">
        <v>43</v>
      </c>
      <c r="AH11" s="294"/>
      <c r="AI11" s="294"/>
      <c r="AJ11" s="294"/>
      <c r="AK11" s="294"/>
      <c r="AL11" s="294"/>
      <c r="AM11" s="294"/>
      <c r="AN11" s="294"/>
      <c r="AO11" s="294"/>
      <c r="AP11" s="42"/>
      <c r="AQ11" s="42"/>
      <c r="AR11" s="41"/>
      <c r="AS11" s="42"/>
      <c r="AT11" s="42"/>
      <c r="AU11" s="294" t="s">
        <v>43</v>
      </c>
      <c r="AV11" s="294"/>
      <c r="AW11" s="294"/>
      <c r="AX11" s="294"/>
      <c r="AY11" s="294"/>
      <c r="AZ11" s="294"/>
      <c r="BA11" s="294"/>
      <c r="BB11" s="294"/>
      <c r="BC11" s="294"/>
      <c r="BD11" s="42"/>
      <c r="BE11" s="42"/>
      <c r="BF11" s="41"/>
      <c r="BG11" s="51"/>
      <c r="BH11" s="51"/>
      <c r="BI11" s="51"/>
      <c r="BJ11" s="51"/>
      <c r="BK11" s="51"/>
      <c r="BL11" s="51"/>
      <c r="BM11" s="294"/>
      <c r="BN11" s="294"/>
      <c r="BO11" s="294"/>
      <c r="BP11" s="294"/>
      <c r="BQ11" s="294"/>
      <c r="BR11" s="294"/>
      <c r="BS11" s="294"/>
      <c r="BT11" s="294"/>
      <c r="BU11" s="294"/>
      <c r="BV11" s="294"/>
      <c r="BW11" s="294"/>
      <c r="BX11" s="294"/>
      <c r="BY11" s="294"/>
      <c r="BZ11" s="294"/>
      <c r="CA11" s="294"/>
      <c r="CB11" s="294"/>
      <c r="CC11" s="294"/>
      <c r="CD11" s="294"/>
      <c r="CE11" s="294"/>
      <c r="CF11" s="294"/>
      <c r="CG11" s="294"/>
      <c r="CH11" s="10"/>
      <c r="CI11" s="10"/>
      <c r="CJ11" s="10"/>
      <c r="CK11" s="10"/>
      <c r="CL11" s="85"/>
      <c r="CM11" s="12"/>
      <c r="CN11" s="329"/>
      <c r="CO11" s="329"/>
      <c r="CP11" s="329"/>
      <c r="CQ11" s="329"/>
      <c r="CR11" s="329"/>
      <c r="CS11" s="329"/>
      <c r="CT11" s="329"/>
      <c r="CU11" s="329"/>
      <c r="CV11" s="329"/>
      <c r="CW11" s="329"/>
      <c r="CX11" s="60"/>
    </row>
    <row r="12" spans="1:172" ht="15.75" customHeight="1" x14ac:dyDescent="0.2">
      <c r="B12" s="34" t="s">
        <v>215</v>
      </c>
      <c r="C12" s="11" t="str">
        <f>IF(OR(COUNTIF(K1:K8,"BLANK"),COUNTIF(J56:DQ57,"BLANK")),"BLANK",
IF(OR(COUNTIF(K1:K9,"REJECT"),COUNTIF(J56:DQ57,"REJECT")),"REJECT",
IF(COUNTIF(J56:DQ57,"CHECK"),"CHECK","EQ")))</f>
        <v>EQ</v>
      </c>
      <c r="D12" s="63" t="s">
        <v>57</v>
      </c>
      <c r="E12" s="63"/>
      <c r="F12" s="63"/>
      <c r="G12" s="63"/>
      <c r="H12" s="63"/>
      <c r="I12" s="63"/>
      <c r="J12" s="63"/>
      <c r="K12" s="103"/>
      <c r="L12" s="22"/>
      <c r="M12" s="30" t="s">
        <v>16</v>
      </c>
      <c r="AC12" s="64"/>
      <c r="AD12" s="41"/>
      <c r="AE12" s="42"/>
      <c r="AF12" s="42"/>
      <c r="AG12" s="294"/>
      <c r="AH12" s="294"/>
      <c r="AI12" s="294"/>
      <c r="AJ12" s="294"/>
      <c r="AK12" s="294"/>
      <c r="AL12" s="294"/>
      <c r="AM12" s="294"/>
      <c r="AN12" s="294"/>
      <c r="AO12" s="294"/>
      <c r="AP12" s="42"/>
      <c r="AQ12" s="42"/>
      <c r="AR12" s="41"/>
      <c r="AS12" s="42"/>
      <c r="AT12" s="42"/>
      <c r="AU12" s="294"/>
      <c r="AV12" s="294"/>
      <c r="AW12" s="294"/>
      <c r="AX12" s="294"/>
      <c r="AY12" s="294"/>
      <c r="AZ12" s="294"/>
      <c r="BA12" s="294"/>
      <c r="BB12" s="294"/>
      <c r="BC12" s="294"/>
      <c r="BD12" s="42"/>
      <c r="BE12" s="42"/>
      <c r="BF12" s="41"/>
      <c r="BG12" s="51"/>
      <c r="BH12" s="51"/>
      <c r="BI12" s="51"/>
      <c r="BJ12" s="51"/>
      <c r="BK12" s="51"/>
      <c r="BL12" s="51"/>
      <c r="BM12" s="51"/>
      <c r="BN12" s="51"/>
      <c r="BO12" s="51"/>
      <c r="BP12" s="51"/>
      <c r="BQ12" s="51"/>
      <c r="BR12" s="51"/>
      <c r="BS12" s="51"/>
      <c r="BT12" s="51"/>
      <c r="BU12" s="51"/>
      <c r="BV12" s="51"/>
      <c r="BW12" s="51"/>
      <c r="BX12" s="51"/>
      <c r="BY12" s="51"/>
      <c r="BZ12" s="51"/>
      <c r="CA12" s="51"/>
      <c r="CB12" s="51"/>
      <c r="CC12" s="51"/>
      <c r="CD12" s="43"/>
      <c r="CE12" s="10"/>
      <c r="CF12" s="10"/>
      <c r="CG12" s="10"/>
      <c r="CH12" s="10"/>
      <c r="CI12" s="10"/>
      <c r="CJ12" s="10"/>
      <c r="CK12" s="10"/>
      <c r="CL12" s="85"/>
      <c r="CM12" s="12"/>
      <c r="CN12" s="329"/>
      <c r="CO12" s="329"/>
      <c r="CP12" s="329"/>
      <c r="CQ12" s="329"/>
      <c r="CR12" s="329"/>
      <c r="CS12" s="329"/>
      <c r="CT12" s="329"/>
      <c r="CU12" s="329"/>
      <c r="CV12" s="329"/>
      <c r="CW12" s="329"/>
    </row>
    <row r="13" spans="1:172" ht="15.75" customHeight="1" x14ac:dyDescent="0.2">
      <c r="A13" s="64"/>
      <c r="B13" s="34" t="s">
        <v>140</v>
      </c>
      <c r="C13" s="11" t="str">
        <f>BI148</f>
        <v>N/A</v>
      </c>
      <c r="D13" s="42" t="s">
        <v>55</v>
      </c>
      <c r="E13" s="42"/>
      <c r="F13" s="42"/>
      <c r="G13" s="42"/>
      <c r="H13" s="42"/>
      <c r="I13" s="42"/>
      <c r="J13" s="42"/>
      <c r="K13" s="103"/>
      <c r="L13" s="22"/>
      <c r="AC13" s="64"/>
      <c r="AD13" s="41"/>
      <c r="AE13" s="42"/>
      <c r="AF13" s="42"/>
      <c r="AG13" s="294" t="s">
        <v>44</v>
      </c>
      <c r="AH13" s="294"/>
      <c r="AI13" s="294"/>
      <c r="AJ13" s="294"/>
      <c r="AK13" s="294"/>
      <c r="AL13" s="294"/>
      <c r="AM13" s="294"/>
      <c r="AN13" s="294"/>
      <c r="AO13" s="294"/>
      <c r="AP13" s="42"/>
      <c r="AQ13" s="42"/>
      <c r="AR13" s="41"/>
      <c r="AS13" s="42"/>
      <c r="AT13" s="42"/>
      <c r="AU13" s="294" t="s">
        <v>44</v>
      </c>
      <c r="AV13" s="294"/>
      <c r="AW13" s="294"/>
      <c r="AX13" s="294"/>
      <c r="AY13" s="294"/>
      <c r="AZ13" s="294"/>
      <c r="BA13" s="294"/>
      <c r="BB13" s="294"/>
      <c r="BC13" s="294"/>
      <c r="BD13" s="42"/>
      <c r="BE13" s="42"/>
      <c r="BF13" s="41"/>
      <c r="BG13" s="51"/>
      <c r="BH13" s="51"/>
      <c r="BI13" s="51"/>
      <c r="BJ13" s="51"/>
      <c r="BK13" s="51"/>
      <c r="BL13" s="51"/>
      <c r="BM13" s="294" t="s">
        <v>52</v>
      </c>
      <c r="BN13" s="294"/>
      <c r="BO13" s="294"/>
      <c r="BP13" s="294"/>
      <c r="BQ13" s="294"/>
      <c r="BR13" s="294"/>
      <c r="BS13" s="294"/>
      <c r="BT13" s="294"/>
      <c r="BU13" s="294"/>
      <c r="BV13" s="294"/>
      <c r="BW13" s="294"/>
      <c r="BX13" s="294"/>
      <c r="BY13" s="294"/>
      <c r="BZ13" s="294"/>
      <c r="CA13" s="294"/>
      <c r="CB13" s="294"/>
      <c r="CC13" s="294"/>
      <c r="CD13" s="294"/>
      <c r="CE13" s="294"/>
      <c r="CF13" s="294"/>
      <c r="CG13" s="294"/>
      <c r="CH13" s="10"/>
      <c r="CI13" s="10"/>
      <c r="CJ13" s="10"/>
      <c r="CK13" s="10"/>
      <c r="CL13" s="85"/>
      <c r="CM13" s="12"/>
      <c r="CN13" s="18"/>
      <c r="CO13" s="18"/>
      <c r="CP13" s="18"/>
      <c r="CQ13" s="18"/>
      <c r="CR13" s="18"/>
      <c r="CS13" s="18"/>
      <c r="CT13" s="18"/>
      <c r="CU13" s="18"/>
      <c r="CV13" s="18"/>
      <c r="CW13" s="18"/>
      <c r="CX13" s="20"/>
    </row>
    <row r="14" spans="1:172" ht="15.75" customHeight="1" x14ac:dyDescent="0.2">
      <c r="A14" s="64"/>
      <c r="B14" s="34" t="s">
        <v>296</v>
      </c>
      <c r="C14" s="11" t="str">
        <f ca="1">BI150</f>
        <v>EQ</v>
      </c>
      <c r="D14" s="63" t="s">
        <v>39</v>
      </c>
      <c r="E14" s="63"/>
      <c r="F14" s="63"/>
      <c r="G14" s="63"/>
      <c r="H14" s="63"/>
      <c r="I14" s="63"/>
      <c r="J14" s="63"/>
      <c r="K14" s="103"/>
      <c r="L14" s="22"/>
      <c r="M14" s="65" t="s">
        <v>119</v>
      </c>
      <c r="N14" s="65"/>
      <c r="O14" s="65"/>
      <c r="P14" s="65"/>
      <c r="Q14" s="65"/>
      <c r="R14" s="65"/>
      <c r="S14" s="65"/>
      <c r="T14" s="65"/>
      <c r="U14" s="65"/>
      <c r="V14" s="65"/>
      <c r="W14" s="65"/>
      <c r="X14" s="65"/>
      <c r="Y14" s="65"/>
      <c r="Z14" s="65"/>
      <c r="AA14" s="65"/>
      <c r="AB14" s="2"/>
      <c r="AC14" s="64"/>
      <c r="AD14" s="41"/>
      <c r="AE14" s="42"/>
      <c r="AF14" s="42"/>
      <c r="AG14" s="294"/>
      <c r="AH14" s="294"/>
      <c r="AI14" s="294"/>
      <c r="AJ14" s="294"/>
      <c r="AK14" s="294"/>
      <c r="AL14" s="294"/>
      <c r="AM14" s="294"/>
      <c r="AN14" s="294"/>
      <c r="AO14" s="294"/>
      <c r="AP14" s="42"/>
      <c r="AQ14" s="42"/>
      <c r="AR14" s="41"/>
      <c r="AS14" s="42"/>
      <c r="AT14" s="42"/>
      <c r="AU14" s="294"/>
      <c r="AV14" s="294"/>
      <c r="AW14" s="294"/>
      <c r="AX14" s="294"/>
      <c r="AY14" s="294"/>
      <c r="AZ14" s="294"/>
      <c r="BA14" s="294"/>
      <c r="BB14" s="294"/>
      <c r="BC14" s="294"/>
      <c r="BD14" s="42"/>
      <c r="BE14" s="42"/>
      <c r="BF14" s="41"/>
      <c r="BG14" s="51"/>
      <c r="BH14" s="51"/>
      <c r="BI14" s="51"/>
      <c r="BJ14" s="51"/>
      <c r="BK14" s="51"/>
      <c r="BL14" s="51"/>
      <c r="BM14" s="294"/>
      <c r="BN14" s="294"/>
      <c r="BO14" s="294"/>
      <c r="BP14" s="294"/>
      <c r="BQ14" s="294"/>
      <c r="BR14" s="294"/>
      <c r="BS14" s="294"/>
      <c r="BT14" s="294"/>
      <c r="BU14" s="294"/>
      <c r="BV14" s="294"/>
      <c r="BW14" s="294"/>
      <c r="BX14" s="294"/>
      <c r="BY14" s="294"/>
      <c r="BZ14" s="294"/>
      <c r="CA14" s="294"/>
      <c r="CB14" s="294"/>
      <c r="CC14" s="294"/>
      <c r="CD14" s="294"/>
      <c r="CE14" s="294"/>
      <c r="CF14" s="294"/>
      <c r="CG14" s="294"/>
      <c r="CH14" s="10"/>
      <c r="CI14" s="10"/>
      <c r="CJ14" s="10"/>
      <c r="CK14" s="10"/>
      <c r="CL14" s="85"/>
      <c r="CM14" s="12"/>
      <c r="CN14" s="60" t="s">
        <v>124</v>
      </c>
      <c r="CO14" s="60"/>
      <c r="CP14" s="60"/>
      <c r="CQ14" s="60"/>
      <c r="CR14" s="60"/>
      <c r="CS14" s="60"/>
      <c r="CT14" s="60"/>
      <c r="CU14" s="60"/>
      <c r="CV14" s="60"/>
      <c r="CW14" s="60"/>
    </row>
    <row r="15" spans="1:172" ht="15.75" customHeight="1" x14ac:dyDescent="0.2">
      <c r="A15" s="64"/>
      <c r="B15" s="34" t="s">
        <v>297</v>
      </c>
      <c r="C15" s="11" t="str">
        <f>BI152</f>
        <v>EQ</v>
      </c>
      <c r="D15" s="66" t="s">
        <v>408</v>
      </c>
      <c r="E15" s="66"/>
      <c r="F15" s="66"/>
      <c r="G15" s="66"/>
      <c r="H15" s="66"/>
      <c r="I15" s="66"/>
      <c r="J15" s="66"/>
      <c r="K15" s="104"/>
      <c r="L15" s="48"/>
      <c r="M15" s="23" t="s">
        <v>120</v>
      </c>
      <c r="N15" s="23"/>
      <c r="O15" s="23"/>
      <c r="P15" s="23"/>
      <c r="Q15" s="23"/>
      <c r="R15" s="23"/>
      <c r="S15" s="23"/>
      <c r="T15" s="23"/>
      <c r="U15" s="23"/>
      <c r="V15" s="23"/>
      <c r="W15" s="23"/>
      <c r="X15" s="23"/>
      <c r="Y15" s="23"/>
      <c r="Z15" s="23"/>
      <c r="AA15" s="23"/>
      <c r="AB15" s="2"/>
      <c r="AC15" s="64"/>
      <c r="AD15" s="41"/>
      <c r="AE15" s="42"/>
      <c r="AF15" s="294" t="s">
        <v>45</v>
      </c>
      <c r="AG15" s="294"/>
      <c r="AH15" s="294"/>
      <c r="AI15" s="294"/>
      <c r="AJ15" s="294"/>
      <c r="AK15" s="294"/>
      <c r="AL15" s="294"/>
      <c r="AM15" s="294"/>
      <c r="AN15" s="294"/>
      <c r="AO15" s="294"/>
      <c r="AP15" s="294"/>
      <c r="AQ15" s="42"/>
      <c r="AR15" s="41"/>
      <c r="AS15" s="42"/>
      <c r="AT15" s="294" t="s">
        <v>45</v>
      </c>
      <c r="AU15" s="294"/>
      <c r="AV15" s="294"/>
      <c r="AW15" s="294"/>
      <c r="AX15" s="294"/>
      <c r="AY15" s="294"/>
      <c r="AZ15" s="294"/>
      <c r="BA15" s="294"/>
      <c r="BB15" s="294"/>
      <c r="BC15" s="294"/>
      <c r="BD15" s="294"/>
      <c r="BE15" s="42"/>
      <c r="BF15" s="41"/>
      <c r="BG15" s="51"/>
      <c r="BH15" s="10"/>
      <c r="BI15" s="10"/>
      <c r="BJ15" s="10"/>
      <c r="BK15" s="10"/>
      <c r="BL15" s="10"/>
      <c r="BM15" s="10"/>
      <c r="BN15" s="10"/>
      <c r="BO15" s="10"/>
      <c r="BP15" s="10"/>
      <c r="BQ15" s="10"/>
      <c r="BR15" s="10"/>
      <c r="BS15" s="10"/>
      <c r="BT15" s="10"/>
      <c r="BU15" s="10"/>
      <c r="BV15" s="10"/>
      <c r="BW15" s="10"/>
      <c r="BX15" s="10"/>
      <c r="BY15" s="10"/>
      <c r="BZ15" s="10"/>
      <c r="CA15" s="10"/>
      <c r="CB15" s="10"/>
      <c r="CC15" s="51"/>
      <c r="CD15" s="43"/>
      <c r="CE15" s="10"/>
      <c r="CF15" s="10"/>
      <c r="CG15" s="10"/>
      <c r="CH15" s="10"/>
      <c r="CI15" s="10"/>
      <c r="CJ15" s="10"/>
      <c r="CK15" s="10"/>
      <c r="CL15" s="85"/>
      <c r="CM15" s="12"/>
      <c r="CN15" s="60" t="s">
        <v>217</v>
      </c>
      <c r="CO15" s="60"/>
      <c r="CP15" s="60"/>
      <c r="CQ15" s="60"/>
      <c r="CR15" s="60"/>
      <c r="CS15" s="60"/>
      <c r="CT15" s="60" t="s">
        <v>276</v>
      </c>
      <c r="CU15" s="60"/>
      <c r="CV15" s="60"/>
      <c r="CW15" s="60"/>
    </row>
    <row r="16" spans="1:172" ht="15.75" customHeight="1" x14ac:dyDescent="0.2">
      <c r="A16" s="64"/>
      <c r="B16" s="34" t="s">
        <v>298</v>
      </c>
      <c r="C16" s="11" t="str">
        <f>BI154</f>
        <v>N/A</v>
      </c>
      <c r="D16" s="67" t="s">
        <v>208</v>
      </c>
      <c r="E16" s="68"/>
      <c r="F16" s="68"/>
      <c r="G16" s="68"/>
      <c r="H16" s="68"/>
      <c r="I16" s="68"/>
      <c r="J16" s="68"/>
      <c r="K16" s="104"/>
      <c r="L16" s="48"/>
      <c r="M16" s="21" t="s">
        <v>129</v>
      </c>
      <c r="N16" s="37" t="s">
        <v>128</v>
      </c>
      <c r="O16" s="21" t="s">
        <v>524</v>
      </c>
      <c r="P16" s="21"/>
      <c r="Q16" s="21"/>
      <c r="R16" s="21"/>
      <c r="S16" s="21"/>
      <c r="T16" s="21"/>
      <c r="U16" s="21"/>
      <c r="V16" s="21"/>
      <c r="W16" s="21"/>
      <c r="X16" s="21"/>
      <c r="Y16" s="21"/>
      <c r="Z16" s="21"/>
      <c r="AA16" s="21"/>
      <c r="AB16" s="2"/>
      <c r="AC16" s="64"/>
      <c r="AD16" s="41"/>
      <c r="AE16" s="42"/>
      <c r="AF16" s="294"/>
      <c r="AG16" s="294"/>
      <c r="AH16" s="294"/>
      <c r="AI16" s="294"/>
      <c r="AJ16" s="294"/>
      <c r="AK16" s="294"/>
      <c r="AL16" s="294"/>
      <c r="AM16" s="294"/>
      <c r="AN16" s="294"/>
      <c r="AO16" s="294"/>
      <c r="AP16" s="294"/>
      <c r="AQ16" s="42"/>
      <c r="AR16" s="41"/>
      <c r="AS16" s="42"/>
      <c r="AT16" s="294"/>
      <c r="AU16" s="294"/>
      <c r="AV16" s="294"/>
      <c r="AW16" s="294"/>
      <c r="AX16" s="294"/>
      <c r="AY16" s="294"/>
      <c r="AZ16" s="294"/>
      <c r="BA16" s="294"/>
      <c r="BB16" s="294"/>
      <c r="BC16" s="294"/>
      <c r="BD16" s="294"/>
      <c r="BE16" s="42"/>
      <c r="BF16" s="41"/>
      <c r="BG16" s="51"/>
      <c r="BH16" s="10"/>
      <c r="BI16" s="10"/>
      <c r="BJ16" s="10"/>
      <c r="BK16" s="10"/>
      <c r="BL16" s="10"/>
      <c r="BM16" s="10"/>
      <c r="BN16" s="10"/>
      <c r="BO16" s="10"/>
      <c r="BP16" s="10"/>
      <c r="BQ16" s="10"/>
      <c r="BR16" s="10"/>
      <c r="BS16" s="10"/>
      <c r="BT16" s="10"/>
      <c r="BU16" s="10"/>
      <c r="BV16" s="10"/>
      <c r="BW16" s="10"/>
      <c r="BX16" s="10"/>
      <c r="BY16" s="10"/>
      <c r="BZ16" s="10"/>
      <c r="CA16" s="10"/>
      <c r="CB16" s="10"/>
      <c r="CC16" s="51"/>
      <c r="CD16" s="43"/>
      <c r="CE16" s="10"/>
      <c r="CF16" s="10"/>
      <c r="CG16" s="10"/>
      <c r="CH16" s="10"/>
      <c r="CI16" s="10"/>
      <c r="CJ16" s="10"/>
      <c r="CK16" s="10"/>
      <c r="CL16" s="85"/>
      <c r="CM16" s="12"/>
      <c r="CN16" s="60" t="s">
        <v>125</v>
      </c>
      <c r="CO16" s="60"/>
      <c r="CP16" s="60"/>
      <c r="CQ16" s="60"/>
      <c r="CR16" s="60"/>
      <c r="CS16" s="60"/>
      <c r="CT16" s="60"/>
      <c r="CU16" s="60"/>
      <c r="CV16" s="60"/>
      <c r="CW16" s="60"/>
    </row>
    <row r="17" spans="1:102" ht="15.75" customHeight="1" x14ac:dyDescent="0.2">
      <c r="A17" s="328" t="str">
        <f ca="1">IF(SUMPRODUCT(--ISERROR(C12:C16))&gt;0,"REJECT",
IF(COUNTIF(C12:C16,"BLANK"),"BLANK",
IF(COUNTIF(C12:C16,"REJECT"),"REJECT",
IF(COUNTIF(C12:C16,"CHECK"),"CHECK","EQ"))))</f>
        <v>EQ</v>
      </c>
      <c r="B17" s="328"/>
      <c r="C17" s="328"/>
      <c r="D17" s="68" t="s">
        <v>15</v>
      </c>
      <c r="E17" s="68"/>
      <c r="F17" s="68"/>
      <c r="G17" s="68"/>
      <c r="H17" s="68"/>
      <c r="I17" s="68"/>
      <c r="J17" s="68"/>
      <c r="K17" s="104"/>
      <c r="L17" s="48"/>
      <c r="M17" s="23" t="s">
        <v>118</v>
      </c>
      <c r="P17" s="23"/>
      <c r="Q17" s="23"/>
      <c r="R17" s="23"/>
      <c r="S17" s="23"/>
      <c r="T17" s="23"/>
      <c r="U17" s="23"/>
      <c r="V17" s="23"/>
      <c r="W17" s="23"/>
      <c r="X17" s="23"/>
      <c r="Y17" s="23"/>
      <c r="Z17" s="23"/>
      <c r="AA17" s="23"/>
      <c r="AB17" s="2"/>
      <c r="AC17" s="64"/>
      <c r="AD17" s="41"/>
      <c r="AE17" s="42"/>
      <c r="AF17" s="42"/>
      <c r="AG17" s="42"/>
      <c r="AH17" s="42"/>
      <c r="AI17" s="42"/>
      <c r="AJ17" s="42"/>
      <c r="AK17" s="42"/>
      <c r="AL17" s="42"/>
      <c r="AM17" s="42"/>
      <c r="AN17" s="42"/>
      <c r="AO17" s="42"/>
      <c r="AP17" s="42"/>
      <c r="AQ17" s="42"/>
      <c r="AR17" s="41"/>
      <c r="AS17" s="42"/>
      <c r="AT17" s="42"/>
      <c r="AU17" s="42"/>
      <c r="AV17" s="42"/>
      <c r="AW17" s="42"/>
      <c r="AX17" s="42"/>
      <c r="AY17" s="42"/>
      <c r="AZ17" s="42"/>
      <c r="BA17" s="42"/>
      <c r="BB17" s="42"/>
      <c r="BC17" s="42"/>
      <c r="BD17" s="42"/>
      <c r="BE17" s="42"/>
      <c r="BF17" s="41"/>
      <c r="BG17" s="51"/>
      <c r="BH17" s="51"/>
      <c r="BI17" s="51"/>
      <c r="BJ17" s="51"/>
      <c r="BK17" s="51"/>
      <c r="BL17" s="51"/>
      <c r="BM17" s="51"/>
      <c r="BN17" s="51"/>
      <c r="BO17" s="51"/>
      <c r="BP17" s="51"/>
      <c r="BQ17" s="51"/>
      <c r="BR17" s="51"/>
      <c r="BS17" s="51"/>
      <c r="BT17" s="51"/>
      <c r="BU17" s="51"/>
      <c r="BV17" s="51"/>
      <c r="BW17" s="51"/>
      <c r="BX17" s="51"/>
      <c r="BY17" s="51"/>
      <c r="BZ17" s="51"/>
      <c r="CA17" s="51"/>
      <c r="CB17" s="51"/>
      <c r="CC17" s="51"/>
      <c r="CD17" s="43"/>
      <c r="CE17" s="51"/>
      <c r="CF17" s="51"/>
      <c r="CG17" s="51"/>
      <c r="CH17" s="51"/>
      <c r="CI17" s="51"/>
      <c r="CJ17" s="51"/>
      <c r="CK17" s="51"/>
      <c r="CL17" s="102"/>
      <c r="CM17" s="12"/>
      <c r="CN17" s="60"/>
      <c r="CO17" s="60"/>
      <c r="CP17" s="60"/>
      <c r="CQ17" s="60"/>
      <c r="CR17" s="60"/>
      <c r="CS17" s="60"/>
      <c r="CT17" s="60"/>
      <c r="CU17" s="60"/>
      <c r="CV17" s="60"/>
      <c r="CW17" s="60"/>
    </row>
    <row r="18" spans="1:102" ht="15.75" customHeight="1" x14ac:dyDescent="0.2">
      <c r="A18" s="328"/>
      <c r="B18" s="328"/>
      <c r="C18" s="328"/>
      <c r="D18" s="66" t="s">
        <v>60</v>
      </c>
      <c r="E18" s="66"/>
      <c r="F18" s="66"/>
      <c r="G18" s="66"/>
      <c r="H18" s="66"/>
      <c r="I18" s="66"/>
      <c r="J18" s="66"/>
      <c r="K18" s="104"/>
      <c r="L18" s="48"/>
      <c r="M18" s="31" t="s">
        <v>310</v>
      </c>
      <c r="AB18" s="2"/>
      <c r="AC18" s="64"/>
      <c r="AD18" s="41"/>
      <c r="AE18" s="42"/>
      <c r="AF18" s="42"/>
      <c r="AG18" s="42"/>
      <c r="AH18" s="42"/>
      <c r="AI18" s="42"/>
      <c r="AJ18" s="42"/>
      <c r="AK18" s="42"/>
      <c r="AL18" s="42"/>
      <c r="AM18" s="42"/>
      <c r="AN18" s="42"/>
      <c r="AO18" s="42"/>
      <c r="AP18" s="42"/>
      <c r="AQ18" s="42"/>
      <c r="AR18" s="41"/>
      <c r="AS18" s="42"/>
      <c r="AT18" s="42"/>
      <c r="AU18" s="42"/>
      <c r="AV18" s="42"/>
      <c r="AW18" s="42"/>
      <c r="AX18" s="42"/>
      <c r="AY18" s="42"/>
      <c r="AZ18" s="42"/>
      <c r="BA18" s="42"/>
      <c r="BB18" s="42"/>
      <c r="BC18" s="42"/>
      <c r="BD18" s="42"/>
      <c r="BE18" s="42"/>
      <c r="BF18" s="41"/>
      <c r="BG18" s="51"/>
      <c r="BH18" s="51"/>
      <c r="BI18" s="51"/>
      <c r="BJ18" s="51"/>
      <c r="BK18" s="51"/>
      <c r="BL18" s="51"/>
      <c r="BM18" s="51"/>
      <c r="BN18" s="51"/>
      <c r="BO18" s="51"/>
      <c r="BP18" s="51"/>
      <c r="BQ18" s="51"/>
      <c r="BR18" s="51"/>
      <c r="BS18" s="51"/>
      <c r="BT18" s="51"/>
      <c r="BU18" s="51"/>
      <c r="BV18" s="51"/>
      <c r="BW18" s="51"/>
      <c r="BX18" s="51"/>
      <c r="BY18" s="51"/>
      <c r="BZ18" s="51"/>
      <c r="CA18" s="51"/>
      <c r="CB18" s="51"/>
      <c r="CC18" s="51"/>
      <c r="CD18" s="43"/>
      <c r="CE18" s="51"/>
      <c r="CF18" s="51"/>
      <c r="CG18" s="51"/>
      <c r="CH18" s="51"/>
      <c r="CI18" s="51"/>
      <c r="CJ18" s="51"/>
      <c r="CK18" s="51"/>
      <c r="CL18" s="102"/>
      <c r="CM18" s="12"/>
      <c r="CN18" s="25" t="s">
        <v>113</v>
      </c>
    </row>
    <row r="19" spans="1:102" ht="15.75" customHeight="1" x14ac:dyDescent="0.2">
      <c r="A19" s="328"/>
      <c r="B19" s="328"/>
      <c r="C19" s="328"/>
      <c r="D19" s="69" t="s">
        <v>58</v>
      </c>
      <c r="E19" s="69"/>
      <c r="F19" s="69"/>
      <c r="G19" s="69"/>
      <c r="H19" s="69"/>
      <c r="I19" s="69"/>
      <c r="J19" s="69"/>
      <c r="K19" s="105"/>
      <c r="L19" s="48"/>
      <c r="AB19" s="3"/>
      <c r="AC19" s="17"/>
      <c r="AD19" s="41"/>
      <c r="AE19" s="42"/>
      <c r="AF19" s="42"/>
      <c r="AG19" s="42"/>
      <c r="AH19" s="42"/>
      <c r="AI19" s="42"/>
      <c r="AJ19" s="42"/>
      <c r="AK19" s="42"/>
      <c r="AL19" s="42"/>
      <c r="AM19" s="42"/>
      <c r="AN19" s="42"/>
      <c r="AO19" s="42"/>
      <c r="AP19" s="42"/>
      <c r="AQ19" s="42"/>
      <c r="AR19" s="41"/>
      <c r="AS19" s="42"/>
      <c r="AT19" s="42"/>
      <c r="AU19" s="42"/>
      <c r="AV19" s="42"/>
      <c r="AW19" s="42"/>
      <c r="AX19" s="42"/>
      <c r="AY19" s="42"/>
      <c r="AZ19" s="42"/>
      <c r="BA19" s="42"/>
      <c r="BB19" s="42"/>
      <c r="BC19" s="42"/>
      <c r="BD19" s="42"/>
      <c r="BE19" s="42"/>
      <c r="BF19" s="41"/>
      <c r="BG19" s="51"/>
      <c r="BH19" s="51"/>
      <c r="BI19" s="51"/>
      <c r="BJ19" s="51"/>
      <c r="BK19" s="51"/>
      <c r="BL19" s="51"/>
      <c r="BM19" s="51"/>
      <c r="BN19" s="51"/>
      <c r="BO19" s="51"/>
      <c r="BP19" s="51"/>
      <c r="BQ19" s="51"/>
      <c r="BR19" s="51"/>
      <c r="BS19" s="51"/>
      <c r="BT19" s="51"/>
      <c r="BU19" s="51"/>
      <c r="BV19" s="51"/>
      <c r="BW19" s="51"/>
      <c r="BX19" s="51"/>
      <c r="BY19" s="51"/>
      <c r="BZ19" s="51"/>
      <c r="CA19" s="51"/>
      <c r="CB19" s="51"/>
      <c r="CC19" s="51"/>
      <c r="CD19" s="43"/>
      <c r="CE19" s="51"/>
      <c r="CF19" s="51"/>
      <c r="CG19" s="51"/>
      <c r="CH19" s="51"/>
      <c r="CI19" s="51"/>
      <c r="CJ19" s="51"/>
      <c r="CK19" s="51"/>
      <c r="CL19" s="102"/>
      <c r="CM19" s="12"/>
      <c r="CN19" s="20" t="s">
        <v>439</v>
      </c>
      <c r="CO19" s="20"/>
      <c r="CP19" s="20"/>
      <c r="CQ19" s="20"/>
      <c r="CR19" s="20"/>
      <c r="CS19" s="20"/>
      <c r="CT19" s="20"/>
      <c r="CU19" s="20"/>
      <c r="CV19" s="20"/>
      <c r="CW19" s="20"/>
    </row>
    <row r="20" spans="1:102" ht="15.75" customHeight="1" x14ac:dyDescent="0.2">
      <c r="A20" s="328"/>
      <c r="B20" s="328"/>
      <c r="C20" s="328"/>
      <c r="D20" s="70" t="s">
        <v>9</v>
      </c>
      <c r="E20" s="70"/>
      <c r="F20" s="70"/>
      <c r="G20" s="70"/>
      <c r="H20" s="70"/>
      <c r="I20" s="70"/>
      <c r="J20" s="70"/>
      <c r="K20" s="105"/>
      <c r="L20" s="56" t="s">
        <v>138</v>
      </c>
      <c r="M20" s="30" t="s">
        <v>4</v>
      </c>
      <c r="AB20" s="3"/>
      <c r="AC20" s="17"/>
      <c r="AD20" s="41"/>
      <c r="AE20" s="42"/>
      <c r="AF20" s="42"/>
      <c r="AG20" s="42"/>
      <c r="AH20" s="42"/>
      <c r="AI20" s="42"/>
      <c r="AJ20" s="42"/>
      <c r="AK20" s="42"/>
      <c r="AL20" s="42"/>
      <c r="AM20" s="42"/>
      <c r="AN20" s="42"/>
      <c r="AO20" s="42"/>
      <c r="AP20" s="42"/>
      <c r="AQ20" s="42"/>
      <c r="AR20" s="41"/>
      <c r="AS20" s="42"/>
      <c r="AT20" s="42"/>
      <c r="AU20" s="42"/>
      <c r="AV20" s="42"/>
      <c r="AW20" s="42"/>
      <c r="AX20" s="42"/>
      <c r="AY20" s="42"/>
      <c r="AZ20" s="42"/>
      <c r="BA20" s="42"/>
      <c r="BB20" s="42"/>
      <c r="BC20" s="42"/>
      <c r="BD20" s="42"/>
      <c r="BE20" s="42"/>
      <c r="BF20" s="41"/>
      <c r="BG20" s="51"/>
      <c r="BH20" s="51"/>
      <c r="BI20" s="51"/>
      <c r="BJ20" s="51"/>
      <c r="BK20" s="51"/>
      <c r="BL20" s="51"/>
      <c r="BM20" s="51"/>
      <c r="BN20" s="51"/>
      <c r="BO20" s="51"/>
      <c r="BP20" s="51"/>
      <c r="BQ20" s="51"/>
      <c r="BR20" s="51"/>
      <c r="BS20" s="51"/>
      <c r="BT20" s="51"/>
      <c r="BU20" s="51"/>
      <c r="BV20" s="51"/>
      <c r="BW20" s="51"/>
      <c r="BX20" s="51"/>
      <c r="BY20" s="51"/>
      <c r="BZ20" s="51"/>
      <c r="CA20" s="51"/>
      <c r="CB20" s="51"/>
      <c r="CC20" s="51"/>
      <c r="CD20" s="43"/>
      <c r="CE20" s="51"/>
      <c r="CF20" s="51"/>
      <c r="CG20" s="51"/>
      <c r="CH20" s="51"/>
      <c r="CI20" s="51"/>
      <c r="CJ20" s="51"/>
      <c r="CK20" s="51"/>
      <c r="CL20" s="102"/>
      <c r="CN20" s="25" t="s">
        <v>112</v>
      </c>
      <c r="CX20" s="44"/>
    </row>
    <row r="21" spans="1:102" ht="15.75" customHeight="1" x14ac:dyDescent="0.2">
      <c r="A21" s="328"/>
      <c r="B21" s="328"/>
      <c r="C21" s="328"/>
      <c r="D21" s="70" t="s">
        <v>231</v>
      </c>
      <c r="E21" s="70"/>
      <c r="F21" s="70"/>
      <c r="G21" s="70"/>
      <c r="H21" s="70"/>
      <c r="I21" s="70"/>
      <c r="J21" s="70"/>
      <c r="K21" s="105"/>
      <c r="L21" s="56" t="s">
        <v>11</v>
      </c>
      <c r="M21" s="30" t="s">
        <v>106</v>
      </c>
      <c r="N21" s="30"/>
      <c r="O21" s="30"/>
      <c r="P21" s="30"/>
      <c r="Q21" s="30"/>
      <c r="R21" s="30"/>
      <c r="S21" s="30"/>
      <c r="T21" s="30"/>
      <c r="U21" s="30"/>
      <c r="V21" s="30"/>
      <c r="W21" s="30"/>
      <c r="X21" s="30"/>
      <c r="Y21" s="30"/>
      <c r="Z21" s="30"/>
      <c r="AA21" s="30"/>
      <c r="AB21" s="3"/>
      <c r="AC21" s="17"/>
      <c r="AD21" s="41"/>
      <c r="AE21" s="42"/>
      <c r="AF21" s="42"/>
      <c r="AG21" s="42"/>
      <c r="AH21" s="42"/>
      <c r="AI21" s="42"/>
      <c r="AJ21" s="42"/>
      <c r="AK21" s="42"/>
      <c r="AL21" s="42"/>
      <c r="AM21" s="42"/>
      <c r="AN21" s="42"/>
      <c r="AO21" s="42"/>
      <c r="AP21" s="42"/>
      <c r="AQ21" s="42"/>
      <c r="AR21" s="41"/>
      <c r="AS21" s="42"/>
      <c r="AT21" s="42"/>
      <c r="AU21" s="42"/>
      <c r="AV21" s="42"/>
      <c r="AW21" s="42"/>
      <c r="AX21" s="42"/>
      <c r="AY21" s="42"/>
      <c r="AZ21" s="42"/>
      <c r="BA21" s="42"/>
      <c r="BB21" s="42"/>
      <c r="BC21" s="42"/>
      <c r="BD21" s="42"/>
      <c r="BE21" s="42"/>
      <c r="BF21" s="41"/>
      <c r="BG21" s="51"/>
      <c r="BH21" s="51"/>
      <c r="BI21" s="51"/>
      <c r="BJ21" s="51"/>
      <c r="BK21" s="51"/>
      <c r="BL21" s="51"/>
      <c r="BM21" s="51"/>
      <c r="BN21" s="51"/>
      <c r="BO21" s="51"/>
      <c r="BP21" s="51"/>
      <c r="BQ21" s="51"/>
      <c r="BR21" s="51"/>
      <c r="BS21" s="51"/>
      <c r="BT21" s="51"/>
      <c r="BU21" s="51"/>
      <c r="BV21" s="51"/>
      <c r="BW21" s="51"/>
      <c r="BX21" s="51"/>
      <c r="BY21" s="51"/>
      <c r="BZ21" s="51"/>
      <c r="CA21" s="51"/>
      <c r="CB21" s="51"/>
      <c r="CC21" s="51"/>
      <c r="CD21" s="43"/>
      <c r="CE21" s="51"/>
      <c r="CF21" s="51"/>
      <c r="CG21" s="51"/>
      <c r="CH21" s="51"/>
      <c r="CI21" s="51"/>
      <c r="CJ21" s="51"/>
      <c r="CK21" s="51"/>
      <c r="CL21" s="102"/>
      <c r="CN21" s="25" t="s">
        <v>108</v>
      </c>
      <c r="CX21" s="44"/>
    </row>
    <row r="22" spans="1:102" ht="15.75" customHeight="1" x14ac:dyDescent="0.2">
      <c r="A22" s="328"/>
      <c r="B22" s="328"/>
      <c r="C22" s="328"/>
      <c r="D22" s="71" t="s">
        <v>59</v>
      </c>
      <c r="E22" s="71"/>
      <c r="F22" s="71"/>
      <c r="G22" s="71"/>
      <c r="H22" s="71"/>
      <c r="I22" s="71"/>
      <c r="J22" s="71"/>
      <c r="K22" s="106"/>
      <c r="L22" s="56" t="s">
        <v>403</v>
      </c>
      <c r="M22" s="30" t="s">
        <v>134</v>
      </c>
      <c r="N22" s="30"/>
      <c r="O22" s="30"/>
      <c r="P22" s="30"/>
      <c r="Q22" s="30"/>
      <c r="R22" s="30"/>
      <c r="S22" s="30"/>
      <c r="T22" s="30"/>
      <c r="U22" s="30"/>
      <c r="V22" s="30"/>
      <c r="W22" s="30"/>
      <c r="X22" s="30"/>
      <c r="Y22" s="30"/>
      <c r="Z22" s="30"/>
      <c r="AA22" s="30"/>
      <c r="AB22" s="3"/>
      <c r="AC22" s="17"/>
      <c r="AD22" s="41"/>
      <c r="AE22" s="42"/>
      <c r="AF22" s="42"/>
      <c r="AG22" s="42"/>
      <c r="AH22" s="42"/>
      <c r="AI22" s="42"/>
      <c r="AJ22" s="42"/>
      <c r="AK22" s="42"/>
      <c r="AL22" s="42"/>
      <c r="AM22" s="42"/>
      <c r="AN22" s="42"/>
      <c r="AO22" s="42"/>
      <c r="AP22" s="42"/>
      <c r="AQ22" s="42"/>
      <c r="AR22" s="41"/>
      <c r="AS22" s="42"/>
      <c r="AT22" s="42"/>
      <c r="AU22" s="42"/>
      <c r="AV22" s="42"/>
      <c r="AW22" s="42"/>
      <c r="AX22" s="42"/>
      <c r="AY22" s="42"/>
      <c r="AZ22" s="42"/>
      <c r="BA22" s="42"/>
      <c r="BB22" s="42"/>
      <c r="BC22" s="42"/>
      <c r="BD22" s="42"/>
      <c r="BE22" s="42"/>
      <c r="BF22" s="41"/>
      <c r="BG22" s="51"/>
      <c r="BH22" s="51"/>
      <c r="BI22" s="51"/>
      <c r="BJ22" s="51"/>
      <c r="BK22" s="51"/>
      <c r="BL22" s="51"/>
      <c r="BM22" s="51"/>
      <c r="BN22" s="51"/>
      <c r="BO22" s="51"/>
      <c r="BP22" s="51"/>
      <c r="BQ22" s="51"/>
      <c r="BR22" s="51"/>
      <c r="BS22" s="51"/>
      <c r="BT22" s="51"/>
      <c r="BU22" s="51"/>
      <c r="BV22" s="51"/>
      <c r="BW22" s="51"/>
      <c r="BX22" s="51"/>
      <c r="BY22" s="51"/>
      <c r="BZ22" s="51"/>
      <c r="CA22" s="51"/>
      <c r="CB22" s="51"/>
      <c r="CC22" s="51"/>
      <c r="CD22" s="43"/>
      <c r="CE22" s="51"/>
      <c r="CF22" s="51"/>
      <c r="CG22" s="51"/>
      <c r="CH22" s="51"/>
      <c r="CI22" s="51"/>
      <c r="CJ22" s="51"/>
      <c r="CK22" s="51"/>
      <c r="CL22" s="102"/>
      <c r="CN22" s="25" t="s">
        <v>107</v>
      </c>
      <c r="CX22" s="44"/>
    </row>
    <row r="23" spans="1:102" ht="15.75" customHeight="1" x14ac:dyDescent="0.2">
      <c r="A23" s="328"/>
      <c r="B23" s="328"/>
      <c r="C23" s="328"/>
      <c r="D23" s="72" t="s">
        <v>13</v>
      </c>
      <c r="E23" s="72"/>
      <c r="F23" s="72"/>
      <c r="G23" s="72"/>
      <c r="H23" s="72"/>
      <c r="I23" s="72"/>
      <c r="J23" s="72"/>
      <c r="K23" s="106"/>
      <c r="L23" s="12" t="s">
        <v>403</v>
      </c>
      <c r="M23" s="25" t="s">
        <v>418</v>
      </c>
      <c r="N23" s="30"/>
      <c r="O23" s="30"/>
      <c r="P23" s="30"/>
      <c r="Q23" s="30"/>
      <c r="R23" s="30"/>
      <c r="S23" s="30"/>
      <c r="T23" s="30"/>
      <c r="U23" s="30"/>
      <c r="V23" s="30"/>
      <c r="W23" s="30"/>
      <c r="X23" s="30"/>
      <c r="Y23" s="30"/>
      <c r="Z23" s="30"/>
      <c r="AA23" s="30"/>
      <c r="AB23" s="3"/>
      <c r="AC23" s="17"/>
      <c r="AD23" s="41"/>
      <c r="AE23" s="42"/>
      <c r="AF23" s="42"/>
      <c r="AG23" s="42"/>
      <c r="AH23" s="42"/>
      <c r="AI23" s="42"/>
      <c r="AJ23" s="42"/>
      <c r="AK23" s="42"/>
      <c r="AL23" s="42"/>
      <c r="AM23" s="42"/>
      <c r="AN23" s="42"/>
      <c r="AO23" s="42"/>
      <c r="AP23" s="42"/>
      <c r="AQ23" s="42"/>
      <c r="AR23" s="41"/>
      <c r="AS23" s="42"/>
      <c r="AT23" s="42"/>
      <c r="AU23" s="42"/>
      <c r="AV23" s="42"/>
      <c r="AW23" s="42"/>
      <c r="AX23" s="42"/>
      <c r="AY23" s="42"/>
      <c r="AZ23" s="42"/>
      <c r="BA23" s="42"/>
      <c r="BB23" s="42"/>
      <c r="BC23" s="42"/>
      <c r="BD23" s="42"/>
      <c r="BE23" s="42"/>
      <c r="BF23" s="41"/>
      <c r="BG23" s="51"/>
      <c r="BH23" s="51"/>
      <c r="BI23" s="51"/>
      <c r="BJ23" s="51"/>
      <c r="BK23" s="51"/>
      <c r="BL23" s="51"/>
      <c r="BM23" s="51"/>
      <c r="BN23" s="51"/>
      <c r="BO23" s="51"/>
      <c r="BP23" s="51"/>
      <c r="BQ23" s="51"/>
      <c r="BR23" s="51"/>
      <c r="BS23" s="51"/>
      <c r="BT23" s="51"/>
      <c r="BU23" s="51"/>
      <c r="BV23" s="51"/>
      <c r="BW23" s="51"/>
      <c r="BX23" s="51"/>
      <c r="BY23" s="51"/>
      <c r="BZ23" s="51"/>
      <c r="CA23" s="51"/>
      <c r="CB23" s="51"/>
      <c r="CC23" s="51"/>
      <c r="CD23" s="43"/>
      <c r="CE23" s="51"/>
      <c r="CF23" s="51"/>
      <c r="CG23" s="51"/>
      <c r="CH23" s="51"/>
      <c r="CI23" s="51"/>
      <c r="CJ23" s="51"/>
      <c r="CK23" s="51"/>
      <c r="CL23" s="102"/>
      <c r="CM23" s="22"/>
      <c r="CN23" s="25" t="s">
        <v>109</v>
      </c>
      <c r="CX23" s="44"/>
    </row>
    <row r="24" spans="1:102" ht="15.75" customHeight="1" thickBot="1" x14ac:dyDescent="0.25">
      <c r="A24" s="328"/>
      <c r="B24" s="328"/>
      <c r="C24" s="328"/>
      <c r="D24" s="72" t="s">
        <v>14</v>
      </c>
      <c r="E24" s="72"/>
      <c r="F24" s="72"/>
      <c r="G24" s="72"/>
      <c r="H24" s="72"/>
      <c r="I24" s="72"/>
      <c r="J24" s="72"/>
      <c r="K24" s="106"/>
      <c r="L24" s="56" t="s">
        <v>10</v>
      </c>
      <c r="M24" s="30" t="s">
        <v>518</v>
      </c>
      <c r="N24" s="30"/>
      <c r="O24" s="30"/>
      <c r="P24" s="30"/>
      <c r="Q24" s="30"/>
      <c r="R24" s="30"/>
      <c r="S24" s="30"/>
      <c r="T24" s="30"/>
      <c r="U24" s="30"/>
      <c r="V24" s="30"/>
      <c r="W24" s="30"/>
      <c r="X24" s="30"/>
      <c r="Y24" s="30"/>
      <c r="Z24" s="30"/>
      <c r="AA24" s="30"/>
      <c r="AB24" s="3"/>
      <c r="AC24" s="17"/>
      <c r="AD24" s="41"/>
      <c r="AE24" s="42"/>
      <c r="AF24" s="42"/>
      <c r="AG24" s="42"/>
      <c r="AH24" s="42"/>
      <c r="AI24" s="42"/>
      <c r="AJ24" s="42"/>
      <c r="AK24" s="42"/>
      <c r="AL24" s="42"/>
      <c r="AM24" s="42"/>
      <c r="AN24" s="42"/>
      <c r="AO24" s="42"/>
      <c r="AP24" s="42"/>
      <c r="AQ24" s="42"/>
      <c r="AR24" s="41"/>
      <c r="AS24" s="42"/>
      <c r="AT24" s="42"/>
      <c r="AU24" s="42"/>
      <c r="AV24" s="42"/>
      <c r="AW24" s="42"/>
      <c r="AX24" s="42"/>
      <c r="AY24" s="42"/>
      <c r="AZ24" s="42"/>
      <c r="BA24" s="42"/>
      <c r="BB24" s="42"/>
      <c r="BC24" s="42"/>
      <c r="BD24" s="42"/>
      <c r="BE24" s="42"/>
      <c r="BF24" s="41"/>
      <c r="BG24" s="51"/>
      <c r="BH24" s="51"/>
      <c r="BI24" s="51"/>
      <c r="BJ24" s="51"/>
      <c r="BK24" s="51"/>
      <c r="BL24" s="51"/>
      <c r="BM24" s="51"/>
      <c r="BN24" s="51"/>
      <c r="BO24" s="51"/>
      <c r="BP24" s="51"/>
      <c r="BQ24" s="51"/>
      <c r="BR24" s="51"/>
      <c r="BS24" s="51"/>
      <c r="BT24" s="51"/>
      <c r="BU24" s="51"/>
      <c r="BV24" s="51"/>
      <c r="BW24" s="51"/>
      <c r="BX24" s="51"/>
      <c r="BY24" s="51"/>
      <c r="BZ24" s="51"/>
      <c r="CA24" s="51"/>
      <c r="CB24" s="51"/>
      <c r="CC24" s="51"/>
      <c r="CD24" s="43"/>
      <c r="CE24" s="51"/>
      <c r="CF24" s="51"/>
      <c r="CG24" s="51"/>
      <c r="CH24" s="51"/>
      <c r="CI24" s="51"/>
      <c r="CJ24" s="51"/>
      <c r="CK24" s="51"/>
      <c r="CL24" s="102"/>
      <c r="CM24" s="22"/>
      <c r="CN24" s="25" t="s">
        <v>409</v>
      </c>
      <c r="CX24" s="44"/>
    </row>
    <row r="25" spans="1:102" ht="15.75" customHeight="1" x14ac:dyDescent="0.2">
      <c r="A25" s="321" t="s">
        <v>1215</v>
      </c>
      <c r="B25" s="322"/>
      <c r="C25" s="322"/>
      <c r="D25" s="322"/>
      <c r="E25" s="322"/>
      <c r="F25" s="322"/>
      <c r="G25" s="322"/>
      <c r="H25" s="323"/>
      <c r="I25" s="301" t="s">
        <v>17</v>
      </c>
      <c r="J25" s="301"/>
      <c r="K25" s="301"/>
      <c r="L25" s="56" t="s">
        <v>7</v>
      </c>
      <c r="M25" s="30" t="s">
        <v>421</v>
      </c>
      <c r="N25" s="30"/>
      <c r="O25" s="30"/>
      <c r="P25" s="30"/>
      <c r="Q25" s="30"/>
      <c r="R25" s="30"/>
      <c r="S25" s="30"/>
      <c r="T25" s="30"/>
      <c r="U25" s="30"/>
      <c r="V25" s="30"/>
      <c r="W25" s="30"/>
      <c r="X25" s="30"/>
      <c r="Y25" s="30"/>
      <c r="Z25" s="30"/>
      <c r="AA25" s="30"/>
      <c r="AB25" s="57"/>
      <c r="AC25" s="13"/>
      <c r="AD25" s="41"/>
      <c r="AE25" s="42"/>
      <c r="AF25" s="42"/>
      <c r="AG25" s="42"/>
      <c r="AH25" s="42"/>
      <c r="AI25" s="42"/>
      <c r="AJ25" s="42"/>
      <c r="AK25" s="42"/>
      <c r="AL25" s="42"/>
      <c r="AM25" s="42"/>
      <c r="AN25" s="42"/>
      <c r="AO25" s="42"/>
      <c r="AP25" s="42"/>
      <c r="AQ25" s="42"/>
      <c r="AR25" s="41"/>
      <c r="AS25" s="42"/>
      <c r="AT25" s="42"/>
      <c r="AU25" s="42"/>
      <c r="AV25" s="42"/>
      <c r="AW25" s="42"/>
      <c r="AX25" s="42"/>
      <c r="AY25" s="42"/>
      <c r="AZ25" s="42"/>
      <c r="BA25" s="42"/>
      <c r="BB25" s="42"/>
      <c r="BC25" s="42"/>
      <c r="BD25" s="42"/>
      <c r="BE25" s="42"/>
      <c r="BF25" s="41"/>
      <c r="BG25" s="51"/>
      <c r="BH25" s="51"/>
      <c r="BI25" s="51"/>
      <c r="BJ25" s="51"/>
      <c r="BK25" s="51"/>
      <c r="BL25" s="51"/>
      <c r="BM25" s="51"/>
      <c r="BN25" s="51"/>
      <c r="BO25" s="51"/>
      <c r="BP25" s="51"/>
      <c r="BQ25" s="51"/>
      <c r="BR25" s="51"/>
      <c r="BS25" s="51"/>
      <c r="BT25" s="51"/>
      <c r="BU25" s="51"/>
      <c r="BV25" s="51"/>
      <c r="BW25" s="51"/>
      <c r="BX25" s="51"/>
      <c r="BY25" s="51"/>
      <c r="BZ25" s="51"/>
      <c r="CA25" s="51"/>
      <c r="CB25" s="51"/>
      <c r="CC25" s="51"/>
      <c r="CD25" s="43"/>
      <c r="CE25" s="51"/>
      <c r="CF25" s="51"/>
      <c r="CG25" s="51"/>
      <c r="CH25" s="51"/>
      <c r="CI25" s="51"/>
      <c r="CJ25" s="51"/>
      <c r="CK25" s="51"/>
      <c r="CL25" s="102"/>
      <c r="CM25" s="22"/>
      <c r="CN25" s="332" t="s">
        <v>111</v>
      </c>
      <c r="CO25" s="332"/>
      <c r="CP25" s="25" t="s">
        <v>110</v>
      </c>
      <c r="CX25" s="44"/>
    </row>
    <row r="26" spans="1:102" ht="15.75" customHeight="1" thickBot="1" x14ac:dyDescent="0.25">
      <c r="A26" s="324"/>
      <c r="B26" s="325"/>
      <c r="C26" s="325"/>
      <c r="D26" s="325"/>
      <c r="E26" s="325"/>
      <c r="F26" s="325"/>
      <c r="G26" s="325"/>
      <c r="H26" s="326"/>
      <c r="I26" s="301"/>
      <c r="J26" s="301"/>
      <c r="K26" s="301"/>
      <c r="L26" s="56" t="s">
        <v>479</v>
      </c>
      <c r="M26" s="30" t="s">
        <v>117</v>
      </c>
      <c r="N26" s="30"/>
      <c r="O26" s="30"/>
      <c r="P26" s="30"/>
      <c r="Q26" s="30"/>
      <c r="R26" s="30"/>
      <c r="S26" s="30"/>
      <c r="T26" s="30"/>
      <c r="U26" s="30"/>
      <c r="V26" s="30"/>
      <c r="W26" s="30"/>
      <c r="X26" s="30"/>
      <c r="Y26" s="30"/>
      <c r="Z26" s="30"/>
      <c r="AA26" s="30"/>
      <c r="AB26" s="57"/>
      <c r="AC26" s="13"/>
      <c r="AD26" s="41"/>
      <c r="AE26" s="42"/>
      <c r="AF26" s="42"/>
      <c r="AG26" s="42"/>
      <c r="AH26" s="42"/>
      <c r="AI26" s="42"/>
      <c r="AJ26" s="42"/>
      <c r="AK26" s="42"/>
      <c r="AL26" s="42"/>
      <c r="AM26" s="42"/>
      <c r="AN26" s="42"/>
      <c r="AO26" s="42"/>
      <c r="AP26" s="42"/>
      <c r="AQ26" s="42"/>
      <c r="AR26" s="41"/>
      <c r="AS26" s="42"/>
      <c r="AT26" s="42"/>
      <c r="AU26" s="42"/>
      <c r="AV26" s="42"/>
      <c r="AW26" s="42"/>
      <c r="AX26" s="42"/>
      <c r="AY26" s="42"/>
      <c r="AZ26" s="42"/>
      <c r="BA26" s="42"/>
      <c r="BB26" s="42"/>
      <c r="BC26" s="42"/>
      <c r="BD26" s="42"/>
      <c r="BE26" s="42"/>
      <c r="BF26" s="41"/>
      <c r="BG26" s="51"/>
      <c r="BH26" s="51"/>
      <c r="BI26" s="51"/>
      <c r="BJ26" s="51"/>
      <c r="BK26" s="51"/>
      <c r="BL26" s="51"/>
      <c r="BM26" s="51"/>
      <c r="BN26" s="51"/>
      <c r="BO26" s="51"/>
      <c r="BP26" s="51"/>
      <c r="BQ26" s="51"/>
      <c r="BR26" s="51"/>
      <c r="BS26" s="51"/>
      <c r="BT26" s="51"/>
      <c r="BU26" s="51"/>
      <c r="BV26" s="51"/>
      <c r="BW26" s="51"/>
      <c r="BX26" s="51"/>
      <c r="BY26" s="51"/>
      <c r="BZ26" s="51"/>
      <c r="CA26" s="51"/>
      <c r="CB26" s="51"/>
      <c r="CC26" s="51"/>
      <c r="CD26" s="43"/>
      <c r="CE26" s="51"/>
      <c r="CF26" s="51"/>
      <c r="CG26" s="51"/>
      <c r="CH26" s="51"/>
      <c r="CI26" s="51"/>
      <c r="CJ26" s="51"/>
      <c r="CK26" s="51"/>
      <c r="CL26" s="102"/>
      <c r="CN26" s="44"/>
      <c r="CO26" s="44"/>
      <c r="CP26" s="44"/>
      <c r="CQ26" s="44"/>
      <c r="CR26" s="44"/>
      <c r="CS26" s="44"/>
      <c r="CT26" s="44"/>
      <c r="CU26" s="44"/>
      <c r="CV26" s="44"/>
      <c r="CW26" s="44"/>
      <c r="CX26" s="44"/>
    </row>
    <row r="27" spans="1:102" ht="15" customHeight="1" x14ac:dyDescent="0.2">
      <c r="A27" s="311" t="s">
        <v>327</v>
      </c>
      <c r="B27" s="311"/>
      <c r="C27" s="311"/>
      <c r="D27" s="311"/>
      <c r="E27" s="311"/>
      <c r="F27" s="311"/>
      <c r="G27" s="311"/>
      <c r="H27" s="311"/>
      <c r="I27" s="311"/>
      <c r="J27" s="311"/>
      <c r="K27" s="39"/>
      <c r="L27" s="40"/>
      <c r="M27" s="41"/>
      <c r="N27" s="41"/>
      <c r="O27" s="41"/>
      <c r="P27" s="41"/>
      <c r="Q27" s="41"/>
      <c r="R27" s="41"/>
      <c r="S27" s="41"/>
      <c r="T27" s="38"/>
      <c r="U27" s="41"/>
      <c r="V27" s="41"/>
      <c r="W27" s="41"/>
      <c r="X27" s="41"/>
      <c r="Y27" s="41"/>
      <c r="Z27" s="41"/>
      <c r="AA27" s="41"/>
      <c r="AB27" s="41"/>
      <c r="AC27" s="41"/>
      <c r="AD27" s="38"/>
      <c r="AE27" s="41"/>
      <c r="AF27" s="41"/>
      <c r="AG27" s="41"/>
      <c r="AH27" s="41"/>
      <c r="AI27" s="41"/>
      <c r="AJ27" s="41"/>
      <c r="AK27" s="41"/>
      <c r="AL27" s="41"/>
      <c r="AM27" s="41"/>
      <c r="AN27" s="38"/>
      <c r="AO27" s="41"/>
      <c r="AP27" s="41"/>
      <c r="AQ27" s="41"/>
      <c r="AR27" s="41"/>
      <c r="AS27" s="41"/>
      <c r="AT27" s="41"/>
      <c r="AU27" s="41"/>
      <c r="AV27" s="41"/>
      <c r="AW27" s="41"/>
      <c r="AX27" s="38"/>
      <c r="AY27" s="41"/>
      <c r="AZ27" s="41"/>
      <c r="BA27" s="41"/>
      <c r="BB27" s="41"/>
      <c r="BC27" s="41"/>
      <c r="BD27" s="41"/>
      <c r="BE27" s="41"/>
      <c r="BF27" s="41"/>
      <c r="BG27" s="41"/>
      <c r="BH27" s="38"/>
      <c r="BI27" s="41"/>
      <c r="BJ27" s="41"/>
      <c r="BK27" s="41"/>
      <c r="BL27" s="41"/>
      <c r="BM27" s="41"/>
      <c r="BN27" s="41"/>
      <c r="BO27" s="41"/>
      <c r="BP27" s="41"/>
      <c r="BQ27" s="41"/>
      <c r="BR27" s="38"/>
      <c r="BS27" s="41"/>
      <c r="BT27" s="41"/>
      <c r="BU27" s="41"/>
      <c r="BV27" s="41"/>
      <c r="BW27" s="41"/>
      <c r="BX27" s="41"/>
      <c r="BY27" s="41"/>
      <c r="BZ27" s="41"/>
      <c r="CA27" s="41"/>
      <c r="CB27" s="38"/>
      <c r="CC27" s="41"/>
      <c r="CD27" s="41"/>
      <c r="CE27" s="41"/>
      <c r="CF27" s="41"/>
      <c r="CG27" s="41"/>
      <c r="CH27" s="41"/>
      <c r="CI27" s="41"/>
      <c r="CJ27" s="41"/>
      <c r="CK27" s="41"/>
      <c r="CL27" s="38"/>
      <c r="CM27" s="13"/>
      <c r="CN27" s="303" t="s">
        <v>78</v>
      </c>
      <c r="CO27" s="303"/>
      <c r="CP27" s="303"/>
      <c r="CT27" s="44"/>
      <c r="CU27" s="44"/>
      <c r="CV27" s="44"/>
      <c r="CW27" s="44"/>
      <c r="CX27" s="44"/>
    </row>
    <row r="28" spans="1:102" ht="15" customHeight="1" x14ac:dyDescent="0.2">
      <c r="A28" s="311"/>
      <c r="B28" s="311"/>
      <c r="C28" s="311"/>
      <c r="D28" s="311"/>
      <c r="E28" s="311"/>
      <c r="F28" s="311"/>
      <c r="G28" s="311"/>
      <c r="H28" s="311"/>
      <c r="I28" s="311"/>
      <c r="J28" s="311"/>
      <c r="K28" s="10"/>
      <c r="L28" s="10"/>
      <c r="M28" s="10"/>
      <c r="N28" s="10"/>
      <c r="O28" s="10"/>
      <c r="P28" s="10"/>
      <c r="Q28" s="10"/>
      <c r="R28" s="10"/>
      <c r="S28" s="10"/>
      <c r="T28" s="38"/>
      <c r="U28" s="10"/>
      <c r="V28" s="10"/>
      <c r="W28" s="10"/>
      <c r="X28" s="10"/>
      <c r="Y28" s="10"/>
      <c r="Z28" s="10"/>
      <c r="AA28" s="10"/>
      <c r="AB28" s="10"/>
      <c r="AC28" s="10"/>
      <c r="AD28" s="38"/>
      <c r="AE28" s="42"/>
      <c r="AF28" s="42"/>
      <c r="AG28" s="42"/>
      <c r="AH28" s="42"/>
      <c r="AI28" s="42"/>
      <c r="AJ28" s="42"/>
      <c r="AK28" s="42"/>
      <c r="AL28" s="42"/>
      <c r="AM28" s="42"/>
      <c r="AN28" s="38"/>
      <c r="AO28" s="42"/>
      <c r="AP28" s="42"/>
      <c r="AQ28" s="42"/>
      <c r="AR28" s="42"/>
      <c r="AS28" s="42"/>
      <c r="AT28" s="42"/>
      <c r="AU28" s="42"/>
      <c r="AV28" s="42"/>
      <c r="AW28" s="42"/>
      <c r="AX28" s="38"/>
      <c r="AY28" s="42"/>
      <c r="AZ28" s="42"/>
      <c r="BA28" s="42"/>
      <c r="BB28" s="42"/>
      <c r="BC28" s="42"/>
      <c r="BD28" s="42"/>
      <c r="BE28" s="42"/>
      <c r="BF28" s="42"/>
      <c r="BG28" s="42"/>
      <c r="BH28" s="38"/>
      <c r="BI28" s="42"/>
      <c r="BJ28" s="42"/>
      <c r="BK28" s="42"/>
      <c r="BL28" s="42"/>
      <c r="BM28" s="42"/>
      <c r="BN28" s="42"/>
      <c r="BO28" s="42"/>
      <c r="BP28" s="42"/>
      <c r="BQ28" s="42"/>
      <c r="BR28" s="38"/>
      <c r="BS28" s="42"/>
      <c r="BT28" s="42"/>
      <c r="BU28" s="42"/>
      <c r="BV28" s="42"/>
      <c r="BW28" s="42"/>
      <c r="BX28" s="42"/>
      <c r="BY28" s="42"/>
      <c r="BZ28" s="42"/>
      <c r="CA28" s="42"/>
      <c r="CB28" s="38"/>
      <c r="CC28" s="10"/>
      <c r="CD28" s="10"/>
      <c r="CE28" s="10"/>
      <c r="CF28" s="10"/>
      <c r="CG28" s="10"/>
      <c r="CH28" s="10"/>
      <c r="CI28" s="10"/>
      <c r="CJ28" s="10"/>
      <c r="CK28" s="10"/>
      <c r="CL28" s="38"/>
      <c r="CM28" s="13"/>
      <c r="CN28" s="303"/>
      <c r="CO28" s="303"/>
      <c r="CP28" s="303"/>
      <c r="CT28" s="44"/>
      <c r="CU28" s="44"/>
      <c r="CV28" s="44"/>
      <c r="CW28" s="44"/>
      <c r="CX28" s="44"/>
    </row>
    <row r="29" spans="1:102" ht="15" customHeight="1" x14ac:dyDescent="0.2">
      <c r="A29" s="311"/>
      <c r="B29" s="311"/>
      <c r="C29" s="311"/>
      <c r="D29" s="311"/>
      <c r="E29" s="311"/>
      <c r="F29" s="311"/>
      <c r="G29" s="311"/>
      <c r="H29" s="311"/>
      <c r="I29" s="311"/>
      <c r="J29" s="311"/>
      <c r="K29" s="10"/>
      <c r="L29" s="10"/>
      <c r="M29" s="10"/>
      <c r="N29" s="10"/>
      <c r="O29" s="10"/>
      <c r="P29" s="10"/>
      <c r="Q29" s="10"/>
      <c r="R29" s="10"/>
      <c r="S29" s="10"/>
      <c r="T29" s="38"/>
      <c r="U29" s="10"/>
      <c r="V29" s="10"/>
      <c r="W29" s="10"/>
      <c r="X29" s="10"/>
      <c r="Y29" s="10"/>
      <c r="Z29" s="10"/>
      <c r="AA29" s="10"/>
      <c r="AB29" s="10"/>
      <c r="AC29" s="10"/>
      <c r="AD29" s="38"/>
      <c r="AE29" s="42"/>
      <c r="AF29" s="42"/>
      <c r="AG29" s="42"/>
      <c r="AH29" s="42"/>
      <c r="AI29" s="42"/>
      <c r="AJ29" s="42"/>
      <c r="AK29" s="42"/>
      <c r="AL29" s="42"/>
      <c r="AM29" s="42"/>
      <c r="AN29" s="38"/>
      <c r="AO29" s="42"/>
      <c r="AP29" s="42"/>
      <c r="AQ29" s="42"/>
      <c r="AR29" s="42"/>
      <c r="AS29" s="42"/>
      <c r="AT29" s="42"/>
      <c r="AU29" s="42"/>
      <c r="AV29" s="42"/>
      <c r="AW29" s="42"/>
      <c r="AX29" s="38"/>
      <c r="AY29" s="42"/>
      <c r="AZ29" s="42"/>
      <c r="BA29" s="42"/>
      <c r="BB29" s="42"/>
      <c r="BC29" s="42"/>
      <c r="BD29" s="42"/>
      <c r="BE29" s="42"/>
      <c r="BF29" s="42"/>
      <c r="BG29" s="42"/>
      <c r="BH29" s="38"/>
      <c r="BI29" s="42"/>
      <c r="BJ29" s="42"/>
      <c r="BK29" s="42"/>
      <c r="BL29" s="42"/>
      <c r="BM29" s="42"/>
      <c r="BN29" s="42"/>
      <c r="BO29" s="42"/>
      <c r="BP29" s="42"/>
      <c r="BQ29" s="42"/>
      <c r="BR29" s="38"/>
      <c r="BS29" s="42"/>
      <c r="BT29" s="42"/>
      <c r="BU29" s="42"/>
      <c r="BV29" s="42"/>
      <c r="BW29" s="42"/>
      <c r="BX29" s="42"/>
      <c r="BY29" s="42"/>
      <c r="BZ29" s="42"/>
      <c r="CA29" s="42"/>
      <c r="CB29" s="38"/>
      <c r="CC29" s="10"/>
      <c r="CD29" s="10"/>
      <c r="CE29" s="10"/>
      <c r="CF29" s="10"/>
      <c r="CG29" s="10"/>
      <c r="CH29" s="10"/>
      <c r="CI29" s="10"/>
      <c r="CJ29" s="10"/>
      <c r="CK29" s="10"/>
      <c r="CL29" s="38"/>
      <c r="CM29" s="13"/>
      <c r="CN29" s="73" t="s">
        <v>79</v>
      </c>
      <c r="CO29" s="25" t="s">
        <v>80</v>
      </c>
      <c r="CT29" s="44"/>
      <c r="CU29" s="44"/>
      <c r="CV29" s="44"/>
      <c r="CW29" s="44"/>
      <c r="CX29" s="44"/>
    </row>
    <row r="30" spans="1:102" ht="15" customHeight="1" x14ac:dyDescent="0.2">
      <c r="A30" s="311"/>
      <c r="B30" s="311"/>
      <c r="C30" s="311"/>
      <c r="D30" s="311"/>
      <c r="E30" s="311"/>
      <c r="F30" s="311"/>
      <c r="G30" s="311"/>
      <c r="H30" s="311"/>
      <c r="I30" s="311"/>
      <c r="J30" s="311"/>
      <c r="K30" s="10"/>
      <c r="L30" s="10"/>
      <c r="M30" s="10"/>
      <c r="N30" s="10"/>
      <c r="O30" s="10"/>
      <c r="P30" s="10"/>
      <c r="Q30" s="10"/>
      <c r="R30" s="10"/>
      <c r="S30" s="10"/>
      <c r="T30" s="38"/>
      <c r="U30" s="10"/>
      <c r="V30" s="10"/>
      <c r="W30" s="10"/>
      <c r="X30" s="10"/>
      <c r="Y30" s="10"/>
      <c r="Z30" s="10"/>
      <c r="AA30" s="10"/>
      <c r="AB30" s="10"/>
      <c r="AC30" s="10"/>
      <c r="AD30" s="38"/>
      <c r="AE30" s="42"/>
      <c r="AF30" s="42"/>
      <c r="AG30" s="42"/>
      <c r="AH30" s="42"/>
      <c r="AI30" s="42"/>
      <c r="AJ30" s="42"/>
      <c r="AK30" s="42"/>
      <c r="AL30" s="42"/>
      <c r="AM30" s="42"/>
      <c r="AN30" s="38"/>
      <c r="AO30" s="42"/>
      <c r="AP30" s="42"/>
      <c r="AQ30" s="42"/>
      <c r="AR30" s="42"/>
      <c r="AS30" s="42"/>
      <c r="AT30" s="42"/>
      <c r="AU30" s="42"/>
      <c r="AV30" s="42"/>
      <c r="AW30" s="42"/>
      <c r="AX30" s="38"/>
      <c r="AY30" s="42"/>
      <c r="AZ30" s="42"/>
      <c r="BA30" s="42"/>
      <c r="BB30" s="42"/>
      <c r="BC30" s="42"/>
      <c r="BD30" s="42"/>
      <c r="BE30" s="42"/>
      <c r="BF30" s="42"/>
      <c r="BG30" s="42"/>
      <c r="BH30" s="38"/>
      <c r="BI30" s="42"/>
      <c r="BJ30" s="42"/>
      <c r="BK30" s="42"/>
      <c r="BL30" s="42"/>
      <c r="BM30" s="42"/>
      <c r="BN30" s="42"/>
      <c r="BO30" s="42"/>
      <c r="BP30" s="42"/>
      <c r="BQ30" s="42"/>
      <c r="BR30" s="38"/>
      <c r="BS30" s="42"/>
      <c r="BT30" s="42"/>
      <c r="BU30" s="42"/>
      <c r="BV30" s="42"/>
      <c r="BW30" s="42"/>
      <c r="BX30" s="42"/>
      <c r="BY30" s="42"/>
      <c r="BZ30" s="42"/>
      <c r="CA30" s="42"/>
      <c r="CB30" s="38"/>
      <c r="CC30" s="10"/>
      <c r="CD30" s="10"/>
      <c r="CE30" s="10"/>
      <c r="CF30" s="10"/>
      <c r="CG30" s="10"/>
      <c r="CH30" s="10"/>
      <c r="CI30" s="10"/>
      <c r="CJ30" s="10"/>
      <c r="CK30" s="10"/>
      <c r="CL30" s="38"/>
      <c r="CM30" s="13"/>
      <c r="CN30" s="73" t="s">
        <v>93</v>
      </c>
      <c r="CO30" s="25" t="s">
        <v>121</v>
      </c>
      <c r="CT30" s="44"/>
      <c r="CU30" s="44"/>
      <c r="CV30" s="44"/>
      <c r="CW30" s="44"/>
      <c r="CX30" s="44"/>
    </row>
    <row r="31" spans="1:102" ht="15" customHeight="1" x14ac:dyDescent="0.2">
      <c r="A31" s="5"/>
      <c r="B31" s="6"/>
      <c r="C31" s="6"/>
      <c r="D31" s="6"/>
      <c r="E31" s="6"/>
      <c r="F31" s="6"/>
      <c r="G31" s="6"/>
      <c r="H31" s="6"/>
      <c r="I31" s="7"/>
      <c r="J31" s="87"/>
      <c r="K31" s="10"/>
      <c r="L31" s="10"/>
      <c r="M31" s="10"/>
      <c r="N31" s="10"/>
      <c r="O31" s="10"/>
      <c r="P31" s="10"/>
      <c r="Q31" s="10"/>
      <c r="R31" s="10"/>
      <c r="S31" s="10"/>
      <c r="T31" s="38"/>
      <c r="U31" s="10"/>
      <c r="V31" s="10"/>
      <c r="W31" s="10"/>
      <c r="X31" s="10"/>
      <c r="Y31" s="10"/>
      <c r="Z31" s="10"/>
      <c r="AA31" s="10"/>
      <c r="AB31" s="10"/>
      <c r="AC31" s="10"/>
      <c r="AD31" s="38"/>
      <c r="AE31" s="42"/>
      <c r="AF31" s="42"/>
      <c r="AG31" s="42"/>
      <c r="AH31" s="42"/>
      <c r="AI31" s="42"/>
      <c r="AJ31" s="42"/>
      <c r="AK31" s="42"/>
      <c r="AL31" s="42"/>
      <c r="AM31" s="42"/>
      <c r="AN31" s="38"/>
      <c r="AO31" s="42"/>
      <c r="AP31" s="42"/>
      <c r="AQ31" s="42"/>
      <c r="AR31" s="42"/>
      <c r="AS31" s="42"/>
      <c r="AT31" s="42"/>
      <c r="AU31" s="42"/>
      <c r="AV31" s="42"/>
      <c r="AW31" s="42"/>
      <c r="AX31" s="38"/>
      <c r="AY31" s="42"/>
      <c r="AZ31" s="42"/>
      <c r="BA31" s="42"/>
      <c r="BB31" s="42"/>
      <c r="BC31" s="42"/>
      <c r="BD31" s="42"/>
      <c r="BE31" s="42"/>
      <c r="BF31" s="42"/>
      <c r="BG31" s="42"/>
      <c r="BH31" s="38"/>
      <c r="BI31" s="42"/>
      <c r="BJ31" s="42"/>
      <c r="BK31" s="42"/>
      <c r="BL31" s="42"/>
      <c r="BM31" s="42"/>
      <c r="BN31" s="42"/>
      <c r="BO31" s="42"/>
      <c r="BP31" s="42"/>
      <c r="BQ31" s="42"/>
      <c r="BR31" s="38"/>
      <c r="BS31" s="42"/>
      <c r="BT31" s="42"/>
      <c r="BU31" s="42"/>
      <c r="BV31" s="42"/>
      <c r="BW31" s="42"/>
      <c r="BX31" s="42"/>
      <c r="BY31" s="42"/>
      <c r="BZ31" s="42"/>
      <c r="CA31" s="42"/>
      <c r="CB31" s="38"/>
      <c r="CC31" s="10"/>
      <c r="CD31" s="10"/>
      <c r="CE31" s="10"/>
      <c r="CF31" s="10"/>
      <c r="CG31" s="10"/>
      <c r="CH31" s="10"/>
      <c r="CI31" s="10"/>
      <c r="CJ31" s="10"/>
      <c r="CK31" s="10"/>
      <c r="CL31" s="38"/>
      <c r="CM31" s="13"/>
      <c r="CN31" s="73" t="s">
        <v>181</v>
      </c>
      <c r="CO31" s="25" t="s">
        <v>182</v>
      </c>
      <c r="CT31" s="44"/>
      <c r="CU31" s="44"/>
      <c r="CV31" s="44"/>
      <c r="CW31" s="44"/>
      <c r="CX31" s="44"/>
    </row>
    <row r="32" spans="1:102" ht="15" customHeight="1" x14ac:dyDescent="0.2">
      <c r="A32" s="8"/>
      <c r="B32" s="4"/>
      <c r="C32" s="4"/>
      <c r="D32" s="4"/>
      <c r="E32" s="4"/>
      <c r="F32" s="4"/>
      <c r="G32" s="4"/>
      <c r="H32" s="4"/>
      <c r="I32" s="9"/>
      <c r="J32" s="87"/>
      <c r="K32" s="10"/>
      <c r="L32" s="10"/>
      <c r="M32" s="10"/>
      <c r="N32" s="10"/>
      <c r="O32" s="10"/>
      <c r="P32" s="10"/>
      <c r="Q32" s="10"/>
      <c r="R32" s="10"/>
      <c r="S32" s="10"/>
      <c r="T32" s="38"/>
      <c r="U32" s="10"/>
      <c r="V32" s="10"/>
      <c r="W32" s="10"/>
      <c r="X32" s="10"/>
      <c r="Y32" s="10"/>
      <c r="Z32" s="10"/>
      <c r="AA32" s="10"/>
      <c r="AB32" s="10"/>
      <c r="AC32" s="10"/>
      <c r="AD32" s="38"/>
      <c r="AE32" s="42"/>
      <c r="AF32" s="42"/>
      <c r="AG32" s="42"/>
      <c r="AH32" s="42"/>
      <c r="AI32" s="42"/>
      <c r="AJ32" s="42"/>
      <c r="AK32" s="42"/>
      <c r="AL32" s="42"/>
      <c r="AM32" s="42"/>
      <c r="AN32" s="38"/>
      <c r="AO32" s="42"/>
      <c r="AP32" s="42"/>
      <c r="AQ32" s="42"/>
      <c r="AR32" s="42"/>
      <c r="AS32" s="42"/>
      <c r="AT32" s="42"/>
      <c r="AU32" s="42"/>
      <c r="AV32" s="42"/>
      <c r="AW32" s="42"/>
      <c r="AX32" s="38"/>
      <c r="AY32" s="42"/>
      <c r="AZ32" s="42"/>
      <c r="BA32" s="42"/>
      <c r="BB32" s="42"/>
      <c r="BC32" s="42"/>
      <c r="BD32" s="42"/>
      <c r="BE32" s="42"/>
      <c r="BF32" s="42"/>
      <c r="BG32" s="42"/>
      <c r="BH32" s="38"/>
      <c r="BI32" s="42"/>
      <c r="BJ32" s="42"/>
      <c r="BK32" s="42"/>
      <c r="BL32" s="42"/>
      <c r="BM32" s="42"/>
      <c r="BN32" s="42"/>
      <c r="BO32" s="42"/>
      <c r="BP32" s="42"/>
      <c r="BQ32" s="42"/>
      <c r="BR32" s="38"/>
      <c r="BS32" s="42"/>
      <c r="BT32" s="42"/>
      <c r="BU32" s="42"/>
      <c r="BV32" s="42"/>
      <c r="BW32" s="42"/>
      <c r="BX32" s="42"/>
      <c r="BY32" s="42"/>
      <c r="BZ32" s="42"/>
      <c r="CA32" s="42"/>
      <c r="CB32" s="38"/>
      <c r="CC32" s="10"/>
      <c r="CD32" s="10"/>
      <c r="CE32" s="10"/>
      <c r="CF32" s="10"/>
      <c r="CG32" s="10"/>
      <c r="CH32" s="10"/>
      <c r="CI32" s="10"/>
      <c r="CJ32" s="10"/>
      <c r="CK32" s="10"/>
      <c r="CL32" s="38"/>
      <c r="CM32" s="13"/>
      <c r="CN32" s="73" t="s">
        <v>81</v>
      </c>
      <c r="CO32" s="25" t="s">
        <v>82</v>
      </c>
      <c r="CT32" s="44"/>
      <c r="CU32" s="44"/>
      <c r="CV32" s="44"/>
      <c r="CW32" s="44"/>
      <c r="CX32" s="44"/>
    </row>
    <row r="33" spans="1:102" ht="15" customHeight="1" x14ac:dyDescent="0.2">
      <c r="A33" s="8"/>
      <c r="B33" s="4"/>
      <c r="C33" s="4"/>
      <c r="D33" s="4"/>
      <c r="E33" s="4"/>
      <c r="F33" s="4"/>
      <c r="G33" s="4"/>
      <c r="H33" s="4"/>
      <c r="I33" s="9"/>
      <c r="J33" s="87"/>
      <c r="K33" s="10"/>
      <c r="L33" s="10"/>
      <c r="M33" s="10"/>
      <c r="N33" s="10"/>
      <c r="O33" s="10"/>
      <c r="P33" s="10"/>
      <c r="Q33" s="10"/>
      <c r="R33" s="10"/>
      <c r="S33" s="10"/>
      <c r="T33" s="38"/>
      <c r="U33" s="10"/>
      <c r="V33" s="10"/>
      <c r="W33" s="10"/>
      <c r="X33" s="10"/>
      <c r="Y33" s="10"/>
      <c r="Z33" s="10"/>
      <c r="AA33" s="10"/>
      <c r="AB33" s="10"/>
      <c r="AC33" s="10"/>
      <c r="AD33" s="38"/>
      <c r="AE33" s="42"/>
      <c r="AF33" s="42"/>
      <c r="AG33" s="42"/>
      <c r="AH33" s="42"/>
      <c r="AI33" s="42"/>
      <c r="AJ33" s="42"/>
      <c r="AK33" s="42"/>
      <c r="AL33" s="42"/>
      <c r="AM33" s="42"/>
      <c r="AN33" s="38"/>
      <c r="AO33" s="42"/>
      <c r="AP33" s="42"/>
      <c r="AQ33" s="42"/>
      <c r="AR33" s="42"/>
      <c r="AS33" s="42"/>
      <c r="AT33" s="42"/>
      <c r="AU33" s="42"/>
      <c r="AV33" s="42"/>
      <c r="AW33" s="42"/>
      <c r="AX33" s="38"/>
      <c r="AY33" s="42"/>
      <c r="AZ33" s="42"/>
      <c r="BA33" s="42"/>
      <c r="BB33" s="42"/>
      <c r="BC33" s="42"/>
      <c r="BD33" s="42"/>
      <c r="BE33" s="42"/>
      <c r="BF33" s="42"/>
      <c r="BG33" s="42"/>
      <c r="BH33" s="38"/>
      <c r="BI33" s="42"/>
      <c r="BJ33" s="42"/>
      <c r="BK33" s="42"/>
      <c r="BL33" s="42"/>
      <c r="BM33" s="42"/>
      <c r="BN33" s="42"/>
      <c r="BO33" s="42"/>
      <c r="BP33" s="42"/>
      <c r="BQ33" s="42"/>
      <c r="BR33" s="38"/>
      <c r="BS33" s="42"/>
      <c r="BT33" s="42"/>
      <c r="BU33" s="42"/>
      <c r="BV33" s="42"/>
      <c r="BW33" s="42"/>
      <c r="BX33" s="42"/>
      <c r="BY33" s="42"/>
      <c r="BZ33" s="42"/>
      <c r="CA33" s="42"/>
      <c r="CB33" s="38"/>
      <c r="CC33" s="10"/>
      <c r="CD33" s="10"/>
      <c r="CE33" s="10"/>
      <c r="CF33" s="10"/>
      <c r="CG33" s="10"/>
      <c r="CH33" s="10"/>
      <c r="CI33" s="10"/>
      <c r="CJ33" s="10"/>
      <c r="CK33" s="10"/>
      <c r="CL33" s="38"/>
      <c r="CM33" s="13"/>
      <c r="CN33" s="73" t="s">
        <v>56</v>
      </c>
      <c r="CO33" s="25" t="s">
        <v>83</v>
      </c>
      <c r="CT33" s="44"/>
      <c r="CU33" s="44"/>
      <c r="CV33" s="44"/>
      <c r="CW33" s="44"/>
      <c r="CX33" s="44"/>
    </row>
    <row r="34" spans="1:102" ht="15" customHeight="1" x14ac:dyDescent="0.2">
      <c r="A34" s="8"/>
      <c r="B34" s="4"/>
      <c r="C34" s="4"/>
      <c r="D34" s="4"/>
      <c r="E34" s="4"/>
      <c r="F34" s="4"/>
      <c r="G34" s="4"/>
      <c r="H34" s="4"/>
      <c r="I34" s="9"/>
      <c r="J34" s="87"/>
      <c r="K34" s="10"/>
      <c r="L34" s="10"/>
      <c r="M34" s="10"/>
      <c r="N34" s="10"/>
      <c r="O34" s="10"/>
      <c r="P34" s="10"/>
      <c r="Q34" s="10"/>
      <c r="R34" s="10"/>
      <c r="S34" s="10"/>
      <c r="T34" s="38"/>
      <c r="U34" s="10"/>
      <c r="V34" s="10"/>
      <c r="W34" s="10"/>
      <c r="X34" s="10"/>
      <c r="Y34" s="10"/>
      <c r="Z34" s="10"/>
      <c r="AA34" s="10"/>
      <c r="AB34" s="10"/>
      <c r="AC34" s="10"/>
      <c r="AD34" s="38"/>
      <c r="AE34" s="42"/>
      <c r="AF34" s="42"/>
      <c r="AG34" s="42"/>
      <c r="AH34" s="42"/>
      <c r="AI34" s="42"/>
      <c r="AJ34" s="42"/>
      <c r="AK34" s="42"/>
      <c r="AL34" s="42"/>
      <c r="AM34" s="42"/>
      <c r="AN34" s="38"/>
      <c r="AO34" s="42"/>
      <c r="AP34" s="42"/>
      <c r="AQ34" s="42"/>
      <c r="AR34" s="42"/>
      <c r="AS34" s="42"/>
      <c r="AT34" s="42"/>
      <c r="AU34" s="42"/>
      <c r="AV34" s="42"/>
      <c r="AW34" s="42"/>
      <c r="AX34" s="38"/>
      <c r="AY34" s="42"/>
      <c r="AZ34" s="42"/>
      <c r="BA34" s="42"/>
      <c r="BB34" s="42"/>
      <c r="BC34" s="42"/>
      <c r="BD34" s="42"/>
      <c r="BE34" s="42"/>
      <c r="BF34" s="42"/>
      <c r="BG34" s="42"/>
      <c r="BH34" s="38"/>
      <c r="BI34" s="42"/>
      <c r="BJ34" s="42"/>
      <c r="BK34" s="42"/>
      <c r="BL34" s="42"/>
      <c r="BM34" s="42"/>
      <c r="BN34" s="42"/>
      <c r="BO34" s="42"/>
      <c r="BP34" s="42"/>
      <c r="BQ34" s="42"/>
      <c r="BR34" s="38"/>
      <c r="BS34" s="42"/>
      <c r="BT34" s="42"/>
      <c r="BU34" s="42"/>
      <c r="BV34" s="42"/>
      <c r="BW34" s="42"/>
      <c r="BX34" s="42"/>
      <c r="BY34" s="42"/>
      <c r="BZ34" s="42"/>
      <c r="CA34" s="42"/>
      <c r="CB34" s="38"/>
      <c r="CC34" s="10"/>
      <c r="CD34" s="10"/>
      <c r="CE34" s="10"/>
      <c r="CF34" s="10"/>
      <c r="CG34" s="10"/>
      <c r="CH34" s="10"/>
      <c r="CI34" s="10"/>
      <c r="CJ34" s="10"/>
      <c r="CK34" s="10"/>
      <c r="CL34" s="38"/>
      <c r="CM34" s="13"/>
      <c r="CN34" s="73" t="s">
        <v>84</v>
      </c>
      <c r="CO34" s="25" t="s">
        <v>85</v>
      </c>
      <c r="CT34" s="44"/>
      <c r="CU34" s="44"/>
      <c r="CV34" s="44"/>
      <c r="CW34" s="44"/>
      <c r="CX34" s="44"/>
    </row>
    <row r="35" spans="1:102" ht="15" customHeight="1" x14ac:dyDescent="0.2">
      <c r="A35" s="8"/>
      <c r="B35" s="4"/>
      <c r="C35" s="4"/>
      <c r="D35" s="4"/>
      <c r="E35" s="4"/>
      <c r="F35" s="4"/>
      <c r="G35" s="4"/>
      <c r="H35" s="4"/>
      <c r="I35" s="9"/>
      <c r="J35" s="87"/>
      <c r="K35" s="10"/>
      <c r="L35" s="10"/>
      <c r="M35" s="10"/>
      <c r="N35" s="10"/>
      <c r="O35" s="10"/>
      <c r="P35" s="10"/>
      <c r="Q35" s="10"/>
      <c r="R35" s="10"/>
      <c r="S35" s="10"/>
      <c r="T35" s="38"/>
      <c r="U35" s="10"/>
      <c r="V35" s="10"/>
      <c r="W35" s="10"/>
      <c r="X35" s="10"/>
      <c r="Y35" s="10"/>
      <c r="Z35" s="10"/>
      <c r="AA35" s="10"/>
      <c r="AB35" s="10"/>
      <c r="AC35" s="10"/>
      <c r="AD35" s="38"/>
      <c r="AE35" s="42"/>
      <c r="AF35" s="42"/>
      <c r="AG35" s="42"/>
      <c r="AH35" s="42"/>
      <c r="AI35" s="42"/>
      <c r="AJ35" s="42"/>
      <c r="AK35" s="42"/>
      <c r="AL35" s="42"/>
      <c r="AM35" s="42"/>
      <c r="AN35" s="38"/>
      <c r="AO35" s="42"/>
      <c r="AP35" s="42"/>
      <c r="AQ35" s="42"/>
      <c r="AR35" s="42"/>
      <c r="AS35" s="42"/>
      <c r="AT35" s="42"/>
      <c r="AU35" s="42"/>
      <c r="AV35" s="42"/>
      <c r="AW35" s="42"/>
      <c r="AX35" s="38"/>
      <c r="AY35" s="42"/>
      <c r="AZ35" s="42"/>
      <c r="BA35" s="42"/>
      <c r="BB35" s="42"/>
      <c r="BC35" s="42"/>
      <c r="BD35" s="42"/>
      <c r="BE35" s="42"/>
      <c r="BF35" s="42"/>
      <c r="BG35" s="42"/>
      <c r="BH35" s="38"/>
      <c r="BI35" s="42"/>
      <c r="BJ35" s="42"/>
      <c r="BK35" s="42"/>
      <c r="BL35" s="42"/>
      <c r="BM35" s="42"/>
      <c r="BN35" s="42"/>
      <c r="BO35" s="42"/>
      <c r="BP35" s="42"/>
      <c r="BQ35" s="42"/>
      <c r="BR35" s="38"/>
      <c r="BS35" s="42"/>
      <c r="BT35" s="42"/>
      <c r="BU35" s="42"/>
      <c r="BV35" s="42"/>
      <c r="BW35" s="42"/>
      <c r="BX35" s="42"/>
      <c r="BY35" s="42"/>
      <c r="BZ35" s="42"/>
      <c r="CA35" s="42"/>
      <c r="CB35" s="38"/>
      <c r="CC35" s="10"/>
      <c r="CD35" s="10"/>
      <c r="CE35" s="10"/>
      <c r="CF35" s="10"/>
      <c r="CG35" s="10"/>
      <c r="CH35" s="10"/>
      <c r="CI35" s="10"/>
      <c r="CJ35" s="10"/>
      <c r="CK35" s="10"/>
      <c r="CL35" s="38"/>
      <c r="CM35" s="13"/>
      <c r="CN35" s="73" t="s">
        <v>69</v>
      </c>
      <c r="CO35" s="25" t="s">
        <v>86</v>
      </c>
      <c r="CT35" s="44"/>
      <c r="CU35" s="44"/>
      <c r="CV35" s="44"/>
      <c r="CW35" s="44"/>
      <c r="CX35" s="44"/>
    </row>
    <row r="36" spans="1:102" ht="15" customHeight="1" x14ac:dyDescent="0.2">
      <c r="A36" s="8"/>
      <c r="B36" s="4"/>
      <c r="C36" s="4"/>
      <c r="D36" s="4"/>
      <c r="E36" s="4"/>
      <c r="F36" s="4"/>
      <c r="G36" s="4"/>
      <c r="H36" s="4"/>
      <c r="I36" s="9"/>
      <c r="J36" s="87"/>
      <c r="K36" s="10"/>
      <c r="L36" s="10"/>
      <c r="M36" s="10"/>
      <c r="N36" s="10"/>
      <c r="O36" s="10"/>
      <c r="P36" s="10"/>
      <c r="Q36" s="10"/>
      <c r="R36" s="10"/>
      <c r="S36" s="10"/>
      <c r="T36" s="38"/>
      <c r="U36" s="10"/>
      <c r="V36" s="10"/>
      <c r="W36" s="10"/>
      <c r="X36" s="10"/>
      <c r="Y36" s="10"/>
      <c r="Z36" s="10"/>
      <c r="AA36" s="10"/>
      <c r="AB36" s="10"/>
      <c r="AC36" s="10"/>
      <c r="AD36" s="38"/>
      <c r="AE36" s="42"/>
      <c r="AF36" s="42"/>
      <c r="AG36" s="42"/>
      <c r="AH36" s="42"/>
      <c r="AI36" s="42"/>
      <c r="AJ36" s="42"/>
      <c r="AK36" s="42"/>
      <c r="AL36" s="42"/>
      <c r="AM36" s="42"/>
      <c r="AN36" s="38"/>
      <c r="AO36" s="42"/>
      <c r="AP36" s="42"/>
      <c r="AQ36" s="42"/>
      <c r="AR36" s="42"/>
      <c r="AS36" s="42"/>
      <c r="AT36" s="42"/>
      <c r="AU36" s="42"/>
      <c r="AV36" s="42"/>
      <c r="AW36" s="42"/>
      <c r="AX36" s="38"/>
      <c r="AY36" s="42"/>
      <c r="AZ36" s="42"/>
      <c r="BA36" s="42"/>
      <c r="BB36" s="42"/>
      <c r="BC36" s="42"/>
      <c r="BD36" s="42"/>
      <c r="BE36" s="42"/>
      <c r="BF36" s="42"/>
      <c r="BG36" s="42"/>
      <c r="BH36" s="38"/>
      <c r="BI36" s="42"/>
      <c r="BJ36" s="42"/>
      <c r="BK36" s="42"/>
      <c r="BL36" s="42"/>
      <c r="BM36" s="42"/>
      <c r="BN36" s="42"/>
      <c r="BO36" s="42"/>
      <c r="BP36" s="42"/>
      <c r="BQ36" s="42"/>
      <c r="BR36" s="38"/>
      <c r="BS36" s="42"/>
      <c r="BT36" s="42"/>
      <c r="BU36" s="42"/>
      <c r="BV36" s="42"/>
      <c r="BW36" s="42"/>
      <c r="BX36" s="42"/>
      <c r="BY36" s="42"/>
      <c r="BZ36" s="42"/>
      <c r="CA36" s="42"/>
      <c r="CB36" s="38"/>
      <c r="CC36" s="10"/>
      <c r="CD36" s="10"/>
      <c r="CE36" s="10"/>
      <c r="CF36" s="10"/>
      <c r="CG36" s="10"/>
      <c r="CH36" s="10"/>
      <c r="CI36" s="10"/>
      <c r="CJ36" s="10"/>
      <c r="CK36" s="10"/>
      <c r="CL36" s="38"/>
      <c r="CM36" s="13"/>
      <c r="CN36" s="73" t="s">
        <v>87</v>
      </c>
      <c r="CO36" s="25" t="s">
        <v>88</v>
      </c>
      <c r="CT36" s="44"/>
      <c r="CU36" s="44"/>
      <c r="CV36" s="44"/>
      <c r="CW36" s="44"/>
      <c r="CX36" s="44"/>
    </row>
    <row r="37" spans="1:102" ht="15" customHeight="1" x14ac:dyDescent="0.2">
      <c r="A37" s="8"/>
      <c r="B37" s="4"/>
      <c r="C37" s="4"/>
      <c r="D37" s="4"/>
      <c r="E37" s="4"/>
      <c r="F37" s="4"/>
      <c r="G37" s="4"/>
      <c r="H37" s="4"/>
      <c r="I37" s="9"/>
      <c r="J37" s="87"/>
      <c r="K37" s="10"/>
      <c r="L37" s="10"/>
      <c r="M37" s="10"/>
      <c r="N37" s="10"/>
      <c r="O37" s="10"/>
      <c r="P37" s="10"/>
      <c r="Q37" s="10"/>
      <c r="R37" s="10"/>
      <c r="S37" s="10"/>
      <c r="T37" s="38"/>
      <c r="U37" s="10"/>
      <c r="V37" s="10"/>
      <c r="W37" s="10"/>
      <c r="X37" s="10"/>
      <c r="Y37" s="10"/>
      <c r="Z37" s="10"/>
      <c r="AA37" s="10"/>
      <c r="AB37" s="10"/>
      <c r="AC37" s="10"/>
      <c r="AD37" s="38"/>
      <c r="AE37" s="42"/>
      <c r="AF37" s="42"/>
      <c r="AG37" s="42"/>
      <c r="AH37" s="42"/>
      <c r="AI37" s="42"/>
      <c r="AJ37" s="42"/>
      <c r="AK37" s="42"/>
      <c r="AL37" s="42"/>
      <c r="AM37" s="42"/>
      <c r="AN37" s="38"/>
      <c r="AO37" s="42"/>
      <c r="AP37" s="42"/>
      <c r="AQ37" s="42"/>
      <c r="AR37" s="42"/>
      <c r="AS37" s="42"/>
      <c r="AT37" s="42"/>
      <c r="AU37" s="42"/>
      <c r="AV37" s="42"/>
      <c r="AW37" s="42"/>
      <c r="AX37" s="38"/>
      <c r="AY37" s="42"/>
      <c r="AZ37" s="42"/>
      <c r="BA37" s="42"/>
      <c r="BB37" s="42"/>
      <c r="BC37" s="42"/>
      <c r="BD37" s="42"/>
      <c r="BE37" s="42"/>
      <c r="BF37" s="42"/>
      <c r="BG37" s="42"/>
      <c r="BH37" s="38"/>
      <c r="BI37" s="42"/>
      <c r="BJ37" s="42"/>
      <c r="BK37" s="42"/>
      <c r="BL37" s="42"/>
      <c r="BM37" s="42"/>
      <c r="BN37" s="42"/>
      <c r="BO37" s="42"/>
      <c r="BP37" s="42"/>
      <c r="BQ37" s="42"/>
      <c r="BR37" s="38"/>
      <c r="BS37" s="42"/>
      <c r="BT37" s="42"/>
      <c r="BU37" s="42"/>
      <c r="BV37" s="42"/>
      <c r="BW37" s="42"/>
      <c r="BX37" s="42"/>
      <c r="BY37" s="42"/>
      <c r="BZ37" s="42"/>
      <c r="CA37" s="42"/>
      <c r="CB37" s="38"/>
      <c r="CC37" s="10"/>
      <c r="CD37" s="10"/>
      <c r="CE37" s="10"/>
      <c r="CF37" s="10"/>
      <c r="CG37" s="10"/>
      <c r="CH37" s="10"/>
      <c r="CI37" s="10"/>
      <c r="CJ37" s="10"/>
      <c r="CK37" s="10"/>
      <c r="CL37" s="38"/>
      <c r="CM37" s="13"/>
      <c r="CN37" s="73" t="s">
        <v>89</v>
      </c>
      <c r="CO37" s="25" t="s">
        <v>90</v>
      </c>
      <c r="CT37" s="44"/>
      <c r="CU37" s="44"/>
      <c r="CV37" s="44"/>
      <c r="CW37" s="44"/>
      <c r="CX37" s="44"/>
    </row>
    <row r="38" spans="1:102" ht="15" customHeight="1" x14ac:dyDescent="0.2">
      <c r="A38" s="8"/>
      <c r="B38" s="4"/>
      <c r="C38" s="4"/>
      <c r="D38" s="4"/>
      <c r="E38" s="4"/>
      <c r="F38" s="4"/>
      <c r="G38" s="4"/>
      <c r="H38" s="4"/>
      <c r="I38" s="9"/>
      <c r="J38" s="87"/>
      <c r="K38" s="10"/>
      <c r="L38" s="10"/>
      <c r="M38" s="10"/>
      <c r="N38" s="10"/>
      <c r="O38" s="10"/>
      <c r="P38" s="10"/>
      <c r="Q38" s="10"/>
      <c r="R38" s="10"/>
      <c r="S38" s="10"/>
      <c r="T38" s="38"/>
      <c r="U38" s="10"/>
      <c r="V38" s="10"/>
      <c r="W38" s="10"/>
      <c r="X38" s="10"/>
      <c r="Y38" s="10"/>
      <c r="Z38" s="10"/>
      <c r="AA38" s="10"/>
      <c r="AB38" s="10"/>
      <c r="AC38" s="10"/>
      <c r="AD38" s="38"/>
      <c r="AE38" s="42"/>
      <c r="AF38" s="42"/>
      <c r="AG38" s="42"/>
      <c r="AH38" s="42"/>
      <c r="AI38" s="42"/>
      <c r="AJ38" s="42"/>
      <c r="AK38" s="42"/>
      <c r="AL38" s="42"/>
      <c r="AM38" s="42"/>
      <c r="AN38" s="38"/>
      <c r="AO38" s="42"/>
      <c r="AP38" s="42"/>
      <c r="AQ38" s="42"/>
      <c r="AR38" s="42"/>
      <c r="AS38" s="42"/>
      <c r="AT38" s="42"/>
      <c r="AU38" s="42"/>
      <c r="AV38" s="42"/>
      <c r="AW38" s="42"/>
      <c r="AX38" s="38"/>
      <c r="AY38" s="42"/>
      <c r="AZ38" s="42"/>
      <c r="BA38" s="42"/>
      <c r="BB38" s="42"/>
      <c r="BC38" s="42"/>
      <c r="BD38" s="42"/>
      <c r="BE38" s="42"/>
      <c r="BF38" s="42"/>
      <c r="BG38" s="42"/>
      <c r="BH38" s="38"/>
      <c r="BI38" s="42"/>
      <c r="BJ38" s="42"/>
      <c r="BK38" s="42"/>
      <c r="BL38" s="42"/>
      <c r="BM38" s="42"/>
      <c r="BN38" s="42"/>
      <c r="BO38" s="42"/>
      <c r="BP38" s="42"/>
      <c r="BQ38" s="42"/>
      <c r="BR38" s="38"/>
      <c r="BS38" s="42"/>
      <c r="BT38" s="42"/>
      <c r="BU38" s="42"/>
      <c r="BV38" s="42"/>
      <c r="BW38" s="42"/>
      <c r="BX38" s="42"/>
      <c r="BY38" s="42"/>
      <c r="BZ38" s="42"/>
      <c r="CA38" s="42"/>
      <c r="CB38" s="38"/>
      <c r="CC38" s="10"/>
      <c r="CD38" s="10"/>
      <c r="CE38" s="10"/>
      <c r="CF38" s="10"/>
      <c r="CG38" s="10"/>
      <c r="CH38" s="10"/>
      <c r="CI38" s="10"/>
      <c r="CJ38" s="10"/>
      <c r="CK38" s="10"/>
      <c r="CL38" s="38"/>
      <c r="CM38" s="13"/>
      <c r="CN38" s="73" t="s">
        <v>306</v>
      </c>
      <c r="CO38" s="25" t="s">
        <v>295</v>
      </c>
      <c r="CT38" s="44"/>
      <c r="CU38" s="44"/>
      <c r="CV38" s="44"/>
      <c r="CW38" s="44"/>
      <c r="CX38" s="44"/>
    </row>
    <row r="39" spans="1:102" ht="15" customHeight="1" x14ac:dyDescent="0.2">
      <c r="A39" s="88"/>
      <c r="B39" s="89"/>
      <c r="C39" s="89"/>
      <c r="D39" s="89"/>
      <c r="E39" s="89"/>
      <c r="F39" s="89"/>
      <c r="G39" s="89"/>
      <c r="H39" s="89"/>
      <c r="I39" s="90"/>
      <c r="J39" s="38"/>
      <c r="K39" s="294" t="s">
        <v>46</v>
      </c>
      <c r="L39" s="294"/>
      <c r="M39" s="294"/>
      <c r="N39" s="294"/>
      <c r="O39" s="294"/>
      <c r="P39" s="294"/>
      <c r="Q39" s="294"/>
      <c r="R39" s="294"/>
      <c r="S39" s="294"/>
      <c r="T39" s="38"/>
      <c r="U39" s="294" t="s">
        <v>47</v>
      </c>
      <c r="V39" s="294"/>
      <c r="W39" s="294"/>
      <c r="X39" s="294"/>
      <c r="Y39" s="294"/>
      <c r="Z39" s="294"/>
      <c r="AA39" s="294"/>
      <c r="AB39" s="294"/>
      <c r="AC39" s="294"/>
      <c r="AD39" s="38"/>
      <c r="AE39" s="294" t="s">
        <v>48</v>
      </c>
      <c r="AF39" s="294"/>
      <c r="AG39" s="294"/>
      <c r="AH39" s="294"/>
      <c r="AI39" s="294"/>
      <c r="AJ39" s="294"/>
      <c r="AK39" s="294"/>
      <c r="AL39" s="294"/>
      <c r="AM39" s="294"/>
      <c r="AN39" s="38"/>
      <c r="AO39" s="294" t="s">
        <v>49</v>
      </c>
      <c r="AP39" s="294"/>
      <c r="AQ39" s="294"/>
      <c r="AR39" s="294"/>
      <c r="AS39" s="294"/>
      <c r="AT39" s="294"/>
      <c r="AU39" s="294"/>
      <c r="AV39" s="294"/>
      <c r="AW39" s="294"/>
      <c r="AX39" s="38"/>
      <c r="AY39" s="294" t="s">
        <v>50</v>
      </c>
      <c r="AZ39" s="294"/>
      <c r="BA39" s="294"/>
      <c r="BB39" s="294"/>
      <c r="BC39" s="294"/>
      <c r="BD39" s="294"/>
      <c r="BE39" s="294"/>
      <c r="BF39" s="294"/>
      <c r="BG39" s="294"/>
      <c r="BH39" s="38"/>
      <c r="BI39" s="294" t="s">
        <v>51</v>
      </c>
      <c r="BJ39" s="294"/>
      <c r="BK39" s="294"/>
      <c r="BL39" s="294"/>
      <c r="BM39" s="294"/>
      <c r="BN39" s="294"/>
      <c r="BO39" s="294"/>
      <c r="BP39" s="294"/>
      <c r="BQ39" s="294"/>
      <c r="BR39" s="38"/>
      <c r="BS39" s="294" t="s">
        <v>350</v>
      </c>
      <c r="BT39" s="294"/>
      <c r="BU39" s="294"/>
      <c r="BV39" s="294"/>
      <c r="BW39" s="294"/>
      <c r="BX39" s="294"/>
      <c r="BY39" s="294"/>
      <c r="BZ39" s="294"/>
      <c r="CA39" s="294"/>
      <c r="CB39" s="38"/>
      <c r="CC39" s="294" t="s">
        <v>205</v>
      </c>
      <c r="CD39" s="294"/>
      <c r="CE39" s="294"/>
      <c r="CF39" s="294"/>
      <c r="CG39" s="294"/>
      <c r="CH39" s="294"/>
      <c r="CI39" s="294"/>
      <c r="CJ39" s="294"/>
      <c r="CK39" s="294"/>
      <c r="CL39" s="38"/>
      <c r="CM39" s="13"/>
      <c r="CN39" s="73" t="s">
        <v>91</v>
      </c>
      <c r="CO39" s="25" t="s">
        <v>92</v>
      </c>
      <c r="CT39" s="44"/>
      <c r="CU39" s="44"/>
      <c r="CV39" s="44"/>
      <c r="CW39" s="44"/>
      <c r="CX39" s="44"/>
    </row>
    <row r="40" spans="1:102" ht="15" customHeight="1" x14ac:dyDescent="0.2">
      <c r="A40" s="88"/>
      <c r="B40" s="89"/>
      <c r="C40" s="89"/>
      <c r="D40" s="89"/>
      <c r="E40" s="89"/>
      <c r="F40" s="89"/>
      <c r="G40" s="89"/>
      <c r="H40" s="89"/>
      <c r="I40" s="90"/>
      <c r="J40" s="38"/>
      <c r="K40" s="294"/>
      <c r="L40" s="294"/>
      <c r="M40" s="294"/>
      <c r="N40" s="294"/>
      <c r="O40" s="294"/>
      <c r="P40" s="294"/>
      <c r="Q40" s="294"/>
      <c r="R40" s="294"/>
      <c r="S40" s="294"/>
      <c r="T40" s="38"/>
      <c r="U40" s="294"/>
      <c r="V40" s="294"/>
      <c r="W40" s="294"/>
      <c r="X40" s="294"/>
      <c r="Y40" s="294"/>
      <c r="Z40" s="294"/>
      <c r="AA40" s="294"/>
      <c r="AB40" s="294"/>
      <c r="AC40" s="294"/>
      <c r="AD40" s="38"/>
      <c r="AE40" s="294"/>
      <c r="AF40" s="294"/>
      <c r="AG40" s="294"/>
      <c r="AH40" s="294"/>
      <c r="AI40" s="294"/>
      <c r="AJ40" s="294"/>
      <c r="AK40" s="294"/>
      <c r="AL40" s="294"/>
      <c r="AM40" s="294"/>
      <c r="AN40" s="38"/>
      <c r="AO40" s="294"/>
      <c r="AP40" s="294"/>
      <c r="AQ40" s="294"/>
      <c r="AR40" s="294"/>
      <c r="AS40" s="294"/>
      <c r="AT40" s="294"/>
      <c r="AU40" s="294"/>
      <c r="AV40" s="294"/>
      <c r="AW40" s="294"/>
      <c r="AX40" s="38"/>
      <c r="AY40" s="294"/>
      <c r="AZ40" s="294"/>
      <c r="BA40" s="294"/>
      <c r="BB40" s="294"/>
      <c r="BC40" s="294"/>
      <c r="BD40" s="294"/>
      <c r="BE40" s="294"/>
      <c r="BF40" s="294"/>
      <c r="BG40" s="294"/>
      <c r="BH40" s="38"/>
      <c r="BI40" s="294"/>
      <c r="BJ40" s="294"/>
      <c r="BK40" s="294"/>
      <c r="BL40" s="294"/>
      <c r="BM40" s="294"/>
      <c r="BN40" s="294"/>
      <c r="BO40" s="294"/>
      <c r="BP40" s="294"/>
      <c r="BQ40" s="294"/>
      <c r="BR40" s="38"/>
      <c r="BS40" s="294"/>
      <c r="BT40" s="294"/>
      <c r="BU40" s="294"/>
      <c r="BV40" s="294"/>
      <c r="BW40" s="294"/>
      <c r="BX40" s="294"/>
      <c r="BY40" s="294"/>
      <c r="BZ40" s="294"/>
      <c r="CA40" s="294"/>
      <c r="CB40" s="38"/>
      <c r="CC40" s="294"/>
      <c r="CD40" s="294"/>
      <c r="CE40" s="294"/>
      <c r="CF40" s="294"/>
      <c r="CG40" s="294"/>
      <c r="CH40" s="294"/>
      <c r="CI40" s="294"/>
      <c r="CJ40" s="294"/>
      <c r="CK40" s="294"/>
      <c r="CL40" s="38"/>
      <c r="CM40" s="13"/>
      <c r="CN40" s="73" t="s">
        <v>94</v>
      </c>
      <c r="CO40" s="25" t="s">
        <v>95</v>
      </c>
      <c r="CT40" s="44"/>
      <c r="CU40" s="44"/>
      <c r="CV40" s="44"/>
      <c r="CW40" s="44"/>
      <c r="CX40" s="44"/>
    </row>
    <row r="41" spans="1:102" ht="15" customHeight="1" x14ac:dyDescent="0.2">
      <c r="A41" s="88"/>
      <c r="B41" s="89"/>
      <c r="C41" s="89"/>
      <c r="D41" s="89"/>
      <c r="E41" s="89"/>
      <c r="F41" s="89"/>
      <c r="G41" s="89"/>
      <c r="H41" s="89"/>
      <c r="I41" s="90"/>
      <c r="J41" s="38"/>
      <c r="K41" s="294" t="s">
        <v>487</v>
      </c>
      <c r="L41" s="294"/>
      <c r="M41" s="294"/>
      <c r="N41" s="294"/>
      <c r="O41" s="294"/>
      <c r="P41" s="294"/>
      <c r="Q41" s="294"/>
      <c r="R41" s="294"/>
      <c r="S41" s="294"/>
      <c r="T41" s="38"/>
      <c r="U41" s="294" t="s">
        <v>42</v>
      </c>
      <c r="V41" s="294"/>
      <c r="W41" s="294"/>
      <c r="X41" s="294"/>
      <c r="Y41" s="294"/>
      <c r="Z41" s="294"/>
      <c r="AA41" s="294"/>
      <c r="AB41" s="294"/>
      <c r="AC41" s="294"/>
      <c r="AD41" s="38"/>
      <c r="AE41" s="294" t="s">
        <v>42</v>
      </c>
      <c r="AF41" s="294"/>
      <c r="AG41" s="294"/>
      <c r="AH41" s="294"/>
      <c r="AI41" s="294"/>
      <c r="AJ41" s="294"/>
      <c r="AK41" s="294"/>
      <c r="AL41" s="294"/>
      <c r="AM41" s="294"/>
      <c r="AN41" s="38"/>
      <c r="AO41" s="42"/>
      <c r="AP41" s="42"/>
      <c r="AQ41" s="42"/>
      <c r="AR41" s="42"/>
      <c r="AS41" s="42"/>
      <c r="AT41" s="42"/>
      <c r="AU41" s="42"/>
      <c r="AV41" s="42"/>
      <c r="AW41" s="42"/>
      <c r="AX41" s="38"/>
      <c r="AY41" s="294" t="s">
        <v>42</v>
      </c>
      <c r="AZ41" s="294"/>
      <c r="BA41" s="294"/>
      <c r="BB41" s="294"/>
      <c r="BC41" s="294"/>
      <c r="BD41" s="294"/>
      <c r="BE41" s="294"/>
      <c r="BF41" s="294"/>
      <c r="BG41" s="294"/>
      <c r="BH41" s="38"/>
      <c r="BI41" s="42"/>
      <c r="BJ41" s="42"/>
      <c r="BK41" s="42"/>
      <c r="BL41" s="42"/>
      <c r="BM41" s="42"/>
      <c r="BN41" s="42"/>
      <c r="BO41" s="42"/>
      <c r="BP41" s="42"/>
      <c r="BQ41" s="42"/>
      <c r="BR41" s="38"/>
      <c r="BS41" s="42"/>
      <c r="BT41" s="42"/>
      <c r="BU41" s="42"/>
      <c r="BV41" s="42"/>
      <c r="BW41" s="42"/>
      <c r="BX41" s="42"/>
      <c r="BY41" s="42"/>
      <c r="BZ41" s="42"/>
      <c r="CA41" s="42"/>
      <c r="CB41" s="38"/>
      <c r="CC41" s="294"/>
      <c r="CD41" s="294"/>
      <c r="CE41" s="294"/>
      <c r="CF41" s="294"/>
      <c r="CG41" s="294"/>
      <c r="CH41" s="294"/>
      <c r="CI41" s="294"/>
      <c r="CJ41" s="294"/>
      <c r="CK41" s="294"/>
      <c r="CL41" s="38"/>
      <c r="CM41" s="13"/>
      <c r="CN41" s="73" t="s">
        <v>96</v>
      </c>
      <c r="CO41" s="25" t="s">
        <v>97</v>
      </c>
      <c r="CT41" s="44"/>
      <c r="CU41" s="44"/>
      <c r="CV41" s="44"/>
      <c r="CW41" s="44"/>
      <c r="CX41" s="73"/>
    </row>
    <row r="42" spans="1:102" ht="15" customHeight="1" x14ac:dyDescent="0.2">
      <c r="A42" s="88"/>
      <c r="B42" s="89"/>
      <c r="C42" s="89"/>
      <c r="D42" s="89"/>
      <c r="E42" s="89"/>
      <c r="F42" s="89"/>
      <c r="G42" s="89"/>
      <c r="H42" s="89"/>
      <c r="I42" s="90"/>
      <c r="J42" s="38"/>
      <c r="K42" s="294"/>
      <c r="L42" s="294"/>
      <c r="M42" s="294"/>
      <c r="N42" s="294"/>
      <c r="O42" s="294"/>
      <c r="P42" s="294"/>
      <c r="Q42" s="294"/>
      <c r="R42" s="294"/>
      <c r="S42" s="294"/>
      <c r="T42" s="38"/>
      <c r="U42" s="294"/>
      <c r="V42" s="294"/>
      <c r="W42" s="294"/>
      <c r="X42" s="294"/>
      <c r="Y42" s="294"/>
      <c r="Z42" s="294"/>
      <c r="AA42" s="294"/>
      <c r="AB42" s="294"/>
      <c r="AC42" s="294"/>
      <c r="AD42" s="38"/>
      <c r="AE42" s="294"/>
      <c r="AF42" s="294"/>
      <c r="AG42" s="294"/>
      <c r="AH42" s="294"/>
      <c r="AI42" s="294"/>
      <c r="AJ42" s="294"/>
      <c r="AK42" s="294"/>
      <c r="AL42" s="294"/>
      <c r="AM42" s="294"/>
      <c r="AN42" s="38"/>
      <c r="AO42" s="42"/>
      <c r="AP42" s="42"/>
      <c r="AQ42" s="42"/>
      <c r="AR42" s="42"/>
      <c r="AS42" s="42"/>
      <c r="AT42" s="42"/>
      <c r="AU42" s="42"/>
      <c r="AV42" s="42"/>
      <c r="AW42" s="42"/>
      <c r="AX42" s="38"/>
      <c r="AY42" s="294"/>
      <c r="AZ42" s="294"/>
      <c r="BA42" s="294"/>
      <c r="BB42" s="294"/>
      <c r="BC42" s="294"/>
      <c r="BD42" s="294"/>
      <c r="BE42" s="294"/>
      <c r="BF42" s="294"/>
      <c r="BG42" s="294"/>
      <c r="BH42" s="38"/>
      <c r="BI42" s="42"/>
      <c r="BJ42" s="42"/>
      <c r="BK42" s="42"/>
      <c r="BL42" s="42"/>
      <c r="BM42" s="42"/>
      <c r="BN42" s="42"/>
      <c r="BO42" s="42"/>
      <c r="BP42" s="42"/>
      <c r="BQ42" s="42"/>
      <c r="BR42" s="38"/>
      <c r="BS42" s="42"/>
      <c r="BT42" s="42"/>
      <c r="BU42" s="42"/>
      <c r="BV42" s="42"/>
      <c r="BW42" s="42"/>
      <c r="BX42" s="42"/>
      <c r="BY42" s="42"/>
      <c r="BZ42" s="42"/>
      <c r="CA42" s="42"/>
      <c r="CB42" s="38"/>
      <c r="CC42" s="294"/>
      <c r="CD42" s="294"/>
      <c r="CE42" s="294"/>
      <c r="CF42" s="294"/>
      <c r="CG42" s="294"/>
      <c r="CH42" s="294"/>
      <c r="CI42" s="294"/>
      <c r="CJ42" s="294"/>
      <c r="CK42" s="294"/>
      <c r="CL42" s="38"/>
      <c r="CM42" s="13"/>
      <c r="CN42" s="73" t="s">
        <v>68</v>
      </c>
      <c r="CO42" s="25" t="s">
        <v>98</v>
      </c>
      <c r="CT42" s="44"/>
      <c r="CU42" s="44"/>
      <c r="CV42" s="44"/>
      <c r="CW42" s="44"/>
    </row>
    <row r="43" spans="1:102" ht="15" customHeight="1" x14ac:dyDescent="0.2">
      <c r="A43" s="88"/>
      <c r="B43" s="89"/>
      <c r="C43" s="89"/>
      <c r="D43" s="89"/>
      <c r="E43" s="89"/>
      <c r="F43" s="89"/>
      <c r="G43" s="89"/>
      <c r="H43" s="89"/>
      <c r="I43" s="90"/>
      <c r="J43" s="38"/>
      <c r="K43" s="10"/>
      <c r="L43" s="10"/>
      <c r="M43" s="10"/>
      <c r="N43" s="10"/>
      <c r="O43" s="10"/>
      <c r="P43" s="10"/>
      <c r="Q43" s="10"/>
      <c r="R43" s="10"/>
      <c r="S43" s="10"/>
      <c r="T43" s="38"/>
      <c r="U43" s="10"/>
      <c r="V43" s="10"/>
      <c r="W43" s="10"/>
      <c r="X43" s="10"/>
      <c r="Y43" s="10"/>
      <c r="Z43" s="10"/>
      <c r="AA43" s="10"/>
      <c r="AB43" s="10"/>
      <c r="AC43" s="10"/>
      <c r="AD43" s="38"/>
      <c r="AE43" s="42"/>
      <c r="AF43" s="42"/>
      <c r="AG43" s="42"/>
      <c r="AH43" s="42"/>
      <c r="AI43" s="42"/>
      <c r="AJ43" s="42"/>
      <c r="AK43" s="42"/>
      <c r="AL43" s="42"/>
      <c r="AM43" s="42"/>
      <c r="AN43" s="38"/>
      <c r="AO43" s="42"/>
      <c r="AP43" s="42"/>
      <c r="AQ43" s="42"/>
      <c r="AR43" s="42"/>
      <c r="AS43" s="42"/>
      <c r="AT43" s="42"/>
      <c r="AU43" s="42"/>
      <c r="AV43" s="42"/>
      <c r="AW43" s="42"/>
      <c r="AX43" s="38"/>
      <c r="AY43" s="42"/>
      <c r="AZ43" s="42"/>
      <c r="BA43" s="42"/>
      <c r="BB43" s="42"/>
      <c r="BC43" s="42"/>
      <c r="BD43" s="42"/>
      <c r="BE43" s="42"/>
      <c r="BF43" s="42"/>
      <c r="BG43" s="42"/>
      <c r="BH43" s="38"/>
      <c r="BI43" s="42"/>
      <c r="BJ43" s="42"/>
      <c r="BK43" s="42"/>
      <c r="BL43" s="42"/>
      <c r="BM43" s="42"/>
      <c r="BN43" s="42"/>
      <c r="BO43" s="42"/>
      <c r="BP43" s="42"/>
      <c r="BQ43" s="42"/>
      <c r="BR43" s="38"/>
      <c r="BS43" s="42"/>
      <c r="BT43" s="42"/>
      <c r="BU43" s="42"/>
      <c r="BV43" s="42"/>
      <c r="BW43" s="42"/>
      <c r="BX43" s="42"/>
      <c r="BY43" s="42"/>
      <c r="BZ43" s="42"/>
      <c r="CA43" s="42"/>
      <c r="CB43" s="38"/>
      <c r="CC43" s="10"/>
      <c r="CD43" s="10"/>
      <c r="CE43" s="10"/>
      <c r="CF43" s="10"/>
      <c r="CG43" s="10"/>
      <c r="CH43" s="10"/>
      <c r="CI43" s="10"/>
      <c r="CJ43" s="10"/>
      <c r="CK43" s="10"/>
      <c r="CL43" s="38"/>
      <c r="CM43" s="13"/>
      <c r="CN43" s="73" t="s">
        <v>99</v>
      </c>
      <c r="CO43" s="25" t="s">
        <v>100</v>
      </c>
      <c r="CT43" s="44"/>
      <c r="CU43" s="44"/>
      <c r="CV43" s="44"/>
      <c r="CW43" s="44"/>
    </row>
    <row r="44" spans="1:102" ht="15" customHeight="1" x14ac:dyDescent="0.2">
      <c r="A44" s="88"/>
      <c r="B44" s="89"/>
      <c r="C44" s="89"/>
      <c r="D44" s="89"/>
      <c r="E44" s="89"/>
      <c r="F44" s="89"/>
      <c r="G44" s="89"/>
      <c r="H44" s="89"/>
      <c r="I44" s="90"/>
      <c r="J44" s="38"/>
      <c r="K44" s="10"/>
      <c r="L44" s="10"/>
      <c r="M44" s="10"/>
      <c r="N44" s="10"/>
      <c r="O44" s="10"/>
      <c r="P44" s="10"/>
      <c r="Q44" s="10"/>
      <c r="R44" s="10"/>
      <c r="S44" s="10"/>
      <c r="T44" s="38"/>
      <c r="U44" s="10"/>
      <c r="V44" s="10"/>
      <c r="W44" s="10"/>
      <c r="X44" s="10"/>
      <c r="Y44" s="10"/>
      <c r="Z44" s="10"/>
      <c r="AA44" s="10"/>
      <c r="AB44" s="10"/>
      <c r="AC44" s="10"/>
      <c r="AD44" s="38"/>
      <c r="AE44" s="42"/>
      <c r="AF44" s="42"/>
      <c r="AG44" s="42"/>
      <c r="AH44" s="42"/>
      <c r="AI44" s="42"/>
      <c r="AJ44" s="42"/>
      <c r="AK44" s="42"/>
      <c r="AL44" s="42"/>
      <c r="AM44" s="42"/>
      <c r="AN44" s="38"/>
      <c r="AO44" s="42"/>
      <c r="AP44" s="42"/>
      <c r="AQ44" s="42"/>
      <c r="AR44" s="42"/>
      <c r="AS44" s="42"/>
      <c r="AT44" s="42"/>
      <c r="AU44" s="42"/>
      <c r="AV44" s="42"/>
      <c r="AW44" s="42"/>
      <c r="AX44" s="38"/>
      <c r="AY44" s="42"/>
      <c r="AZ44" s="42"/>
      <c r="BA44" s="42"/>
      <c r="BB44" s="42"/>
      <c r="BC44" s="42"/>
      <c r="BD44" s="42"/>
      <c r="BE44" s="42"/>
      <c r="BF44" s="42"/>
      <c r="BG44" s="42"/>
      <c r="BH44" s="38"/>
      <c r="BI44" s="42"/>
      <c r="BJ44" s="42"/>
      <c r="BK44" s="42"/>
      <c r="BL44" s="42"/>
      <c r="BM44" s="42"/>
      <c r="BN44" s="42"/>
      <c r="BO44" s="42"/>
      <c r="BP44" s="42"/>
      <c r="BQ44" s="42"/>
      <c r="BR44" s="38"/>
      <c r="BS44" s="42"/>
      <c r="BT44" s="42"/>
      <c r="BU44" s="42"/>
      <c r="BV44" s="42"/>
      <c r="BW44" s="42"/>
      <c r="BX44" s="42"/>
      <c r="BY44" s="42"/>
      <c r="BZ44" s="42"/>
      <c r="CA44" s="42"/>
      <c r="CB44" s="38"/>
      <c r="CC44" s="10"/>
      <c r="CD44" s="10"/>
      <c r="CE44" s="10"/>
      <c r="CF44" s="10"/>
      <c r="CG44" s="10"/>
      <c r="CH44" s="10"/>
      <c r="CI44" s="10"/>
      <c r="CJ44" s="10"/>
      <c r="CK44" s="10"/>
      <c r="CL44" s="38"/>
      <c r="CM44" s="13"/>
      <c r="CN44" s="73" t="s">
        <v>101</v>
      </c>
      <c r="CO44" s="25" t="s">
        <v>102</v>
      </c>
      <c r="CT44" s="44"/>
      <c r="CU44" s="44"/>
      <c r="CV44" s="44"/>
      <c r="CW44" s="44"/>
    </row>
    <row r="45" spans="1:102" ht="15" customHeight="1" x14ac:dyDescent="0.2">
      <c r="A45" s="88"/>
      <c r="B45" s="89"/>
      <c r="C45" s="89"/>
      <c r="D45" s="89"/>
      <c r="E45" s="89"/>
      <c r="F45" s="89"/>
      <c r="G45" s="89"/>
      <c r="H45" s="89"/>
      <c r="I45" s="90"/>
      <c r="J45" s="38"/>
      <c r="K45" s="10"/>
      <c r="L45" s="10"/>
      <c r="M45" s="10"/>
      <c r="N45" s="10"/>
      <c r="O45" s="10"/>
      <c r="P45" s="10"/>
      <c r="Q45" s="10"/>
      <c r="R45" s="10"/>
      <c r="S45" s="10"/>
      <c r="T45" s="38"/>
      <c r="U45" s="10"/>
      <c r="V45" s="10"/>
      <c r="W45" s="10"/>
      <c r="X45" s="10"/>
      <c r="Y45" s="10"/>
      <c r="Z45" s="10"/>
      <c r="AA45" s="10"/>
      <c r="AB45" s="10"/>
      <c r="AC45" s="10"/>
      <c r="AD45" s="38"/>
      <c r="AE45" s="42"/>
      <c r="AF45" s="42"/>
      <c r="AG45" s="42"/>
      <c r="AH45" s="42"/>
      <c r="AI45" s="42"/>
      <c r="AJ45" s="42"/>
      <c r="AK45" s="42"/>
      <c r="AL45" s="42"/>
      <c r="AM45" s="42"/>
      <c r="AN45" s="38"/>
      <c r="AO45" s="42"/>
      <c r="AP45" s="42"/>
      <c r="AQ45" s="42"/>
      <c r="AR45" s="42"/>
      <c r="AS45" s="42"/>
      <c r="AT45" s="42"/>
      <c r="AU45" s="42"/>
      <c r="AV45" s="42"/>
      <c r="AW45" s="42"/>
      <c r="AX45" s="38"/>
      <c r="AY45" s="42"/>
      <c r="AZ45" s="42"/>
      <c r="BA45" s="42"/>
      <c r="BB45" s="42"/>
      <c r="BC45" s="42"/>
      <c r="BD45" s="42"/>
      <c r="BE45" s="42"/>
      <c r="BF45" s="42"/>
      <c r="BG45" s="42"/>
      <c r="BH45" s="38"/>
      <c r="BI45" s="42"/>
      <c r="BJ45" s="42"/>
      <c r="BK45" s="42"/>
      <c r="BL45" s="42"/>
      <c r="BM45" s="42"/>
      <c r="BN45" s="42"/>
      <c r="BO45" s="42"/>
      <c r="BP45" s="42"/>
      <c r="BQ45" s="42"/>
      <c r="BR45" s="38"/>
      <c r="BS45" s="42"/>
      <c r="BT45" s="42"/>
      <c r="BU45" s="42"/>
      <c r="BV45" s="42"/>
      <c r="BW45" s="42"/>
      <c r="BX45" s="42"/>
      <c r="BY45" s="42"/>
      <c r="BZ45" s="42"/>
      <c r="CA45" s="42"/>
      <c r="CB45" s="38"/>
      <c r="CC45" s="10"/>
      <c r="CD45" s="10"/>
      <c r="CE45" s="10"/>
      <c r="CF45" s="10"/>
      <c r="CG45" s="10"/>
      <c r="CH45" s="10"/>
      <c r="CI45" s="10"/>
      <c r="CJ45" s="10"/>
      <c r="CK45" s="10"/>
      <c r="CL45" s="38"/>
      <c r="CM45" s="13"/>
      <c r="CN45" s="73" t="s">
        <v>103</v>
      </c>
      <c r="CO45" s="25" t="s">
        <v>104</v>
      </c>
      <c r="CT45" s="44"/>
      <c r="CU45" s="44"/>
      <c r="CV45" s="44"/>
      <c r="CW45" s="44"/>
    </row>
    <row r="46" spans="1:102" ht="15" customHeight="1" x14ac:dyDescent="0.2">
      <c r="A46" s="88"/>
      <c r="B46" s="89"/>
      <c r="C46" s="89"/>
      <c r="D46" s="89"/>
      <c r="E46" s="89"/>
      <c r="F46" s="89"/>
      <c r="G46" s="89"/>
      <c r="H46" s="89"/>
      <c r="I46" s="90"/>
      <c r="J46" s="38"/>
      <c r="K46" s="10"/>
      <c r="L46" s="10"/>
      <c r="M46" s="10"/>
      <c r="N46" s="10"/>
      <c r="O46" s="10"/>
      <c r="P46" s="10"/>
      <c r="Q46" s="10"/>
      <c r="R46" s="10"/>
      <c r="S46" s="10"/>
      <c r="T46" s="38"/>
      <c r="U46" s="10"/>
      <c r="V46" s="10"/>
      <c r="W46" s="10"/>
      <c r="X46" s="10"/>
      <c r="Y46" s="10"/>
      <c r="Z46" s="10"/>
      <c r="AA46" s="10"/>
      <c r="AB46" s="10"/>
      <c r="AC46" s="10"/>
      <c r="AD46" s="38"/>
      <c r="AE46" s="42"/>
      <c r="AF46" s="42"/>
      <c r="AG46" s="42"/>
      <c r="AH46" s="42"/>
      <c r="AI46" s="42"/>
      <c r="AJ46" s="42"/>
      <c r="AK46" s="42"/>
      <c r="AL46" s="42"/>
      <c r="AM46" s="42"/>
      <c r="AN46" s="38"/>
      <c r="AO46" s="42"/>
      <c r="AP46" s="42"/>
      <c r="AQ46" s="42"/>
      <c r="AR46" s="42"/>
      <c r="AS46" s="42"/>
      <c r="AT46" s="42"/>
      <c r="AU46" s="42"/>
      <c r="AV46" s="42"/>
      <c r="AW46" s="42"/>
      <c r="AX46" s="38"/>
      <c r="AY46" s="42"/>
      <c r="AZ46" s="42"/>
      <c r="BA46" s="42"/>
      <c r="BB46" s="42"/>
      <c r="BC46" s="42"/>
      <c r="BD46" s="42"/>
      <c r="BE46" s="42"/>
      <c r="BF46" s="42"/>
      <c r="BG46" s="42"/>
      <c r="BH46" s="38"/>
      <c r="BI46" s="42"/>
      <c r="BJ46" s="42"/>
      <c r="BK46" s="42"/>
      <c r="BL46" s="42"/>
      <c r="BM46" s="42"/>
      <c r="BN46" s="42"/>
      <c r="BO46" s="42"/>
      <c r="BP46" s="42"/>
      <c r="BQ46" s="42"/>
      <c r="BR46" s="38"/>
      <c r="BS46" s="42"/>
      <c r="BT46" s="42"/>
      <c r="BU46" s="42"/>
      <c r="BV46" s="42"/>
      <c r="BW46" s="42"/>
      <c r="BX46" s="42"/>
      <c r="BY46" s="42"/>
      <c r="BZ46" s="42"/>
      <c r="CA46" s="42"/>
      <c r="CB46" s="38"/>
      <c r="CC46" s="10"/>
      <c r="CD46" s="10"/>
      <c r="CE46" s="10"/>
      <c r="CF46" s="10"/>
      <c r="CG46" s="10"/>
      <c r="CH46" s="10"/>
      <c r="CI46" s="10"/>
      <c r="CJ46" s="10"/>
      <c r="CK46" s="10"/>
      <c r="CL46" s="38"/>
      <c r="CM46" s="13"/>
      <c r="CN46" s="73" t="s">
        <v>70</v>
      </c>
      <c r="CO46" s="25" t="s">
        <v>105</v>
      </c>
      <c r="CT46" s="44"/>
      <c r="CU46" s="44"/>
      <c r="CV46" s="44"/>
      <c r="CW46" s="44"/>
    </row>
    <row r="47" spans="1:102" ht="15" customHeight="1" x14ac:dyDescent="0.2">
      <c r="A47" s="88"/>
      <c r="B47" s="89"/>
      <c r="C47" s="89"/>
      <c r="D47" s="89"/>
      <c r="E47" s="89"/>
      <c r="F47" s="89"/>
      <c r="G47" s="89"/>
      <c r="H47" s="89"/>
      <c r="I47" s="90"/>
      <c r="J47" s="38"/>
      <c r="K47" s="10"/>
      <c r="L47" s="10"/>
      <c r="M47" s="10"/>
      <c r="N47" s="10"/>
      <c r="O47" s="10"/>
      <c r="P47" s="10"/>
      <c r="Q47" s="10"/>
      <c r="R47" s="10"/>
      <c r="S47" s="10"/>
      <c r="T47" s="38"/>
      <c r="U47" s="10"/>
      <c r="V47" s="10"/>
      <c r="W47" s="10"/>
      <c r="X47" s="10"/>
      <c r="Y47" s="10"/>
      <c r="Z47" s="10"/>
      <c r="AA47" s="10"/>
      <c r="AB47" s="10"/>
      <c r="AC47" s="10"/>
      <c r="AD47" s="38"/>
      <c r="AE47" s="42"/>
      <c r="AF47" s="42"/>
      <c r="AG47" s="42"/>
      <c r="AH47" s="42"/>
      <c r="AI47" s="42"/>
      <c r="AJ47" s="42"/>
      <c r="AK47" s="42"/>
      <c r="AL47" s="42"/>
      <c r="AM47" s="42"/>
      <c r="AN47" s="38"/>
      <c r="AO47" s="42"/>
      <c r="AP47" s="42"/>
      <c r="AQ47" s="42"/>
      <c r="AR47" s="42"/>
      <c r="AS47" s="42"/>
      <c r="AT47" s="42"/>
      <c r="AU47" s="42"/>
      <c r="AV47" s="42"/>
      <c r="AW47" s="42"/>
      <c r="AX47" s="38"/>
      <c r="AY47" s="42"/>
      <c r="AZ47" s="42"/>
      <c r="BA47" s="42"/>
      <c r="BB47" s="42"/>
      <c r="BC47" s="42"/>
      <c r="BD47" s="42"/>
      <c r="BE47" s="42"/>
      <c r="BF47" s="42"/>
      <c r="BG47" s="42"/>
      <c r="BH47" s="38"/>
      <c r="BI47" s="42"/>
      <c r="BJ47" s="42"/>
      <c r="BK47" s="42"/>
      <c r="BL47" s="42"/>
      <c r="BM47" s="42"/>
      <c r="BN47" s="42"/>
      <c r="BO47" s="42"/>
      <c r="BP47" s="42"/>
      <c r="BQ47" s="42"/>
      <c r="BR47" s="38"/>
      <c r="BS47" s="42"/>
      <c r="BT47" s="42"/>
      <c r="BU47" s="42"/>
      <c r="BV47" s="42"/>
      <c r="BW47" s="42"/>
      <c r="BX47" s="42"/>
      <c r="BY47" s="42"/>
      <c r="BZ47" s="42"/>
      <c r="CA47" s="42"/>
      <c r="CB47" s="38"/>
      <c r="CC47" s="10"/>
      <c r="CD47" s="10"/>
      <c r="CE47" s="10"/>
      <c r="CF47" s="10"/>
      <c r="CG47" s="10"/>
      <c r="CH47" s="10"/>
      <c r="CI47" s="10"/>
      <c r="CJ47" s="10"/>
      <c r="CK47" s="10"/>
      <c r="CL47" s="38"/>
      <c r="CM47" s="13"/>
      <c r="CN47" s="73" t="s">
        <v>519</v>
      </c>
      <c r="CO47" s="121" t="s">
        <v>520</v>
      </c>
      <c r="CP47" s="73"/>
      <c r="CQ47" s="73"/>
      <c r="CR47" s="73"/>
      <c r="CS47" s="73"/>
      <c r="CT47" s="73"/>
      <c r="CU47" s="73"/>
      <c r="CV47" s="73"/>
      <c r="CW47" s="73"/>
    </row>
    <row r="48" spans="1:102" ht="15" customHeight="1" x14ac:dyDescent="0.2">
      <c r="A48" s="88"/>
      <c r="B48" s="89"/>
      <c r="C48" s="89"/>
      <c r="D48" s="89"/>
      <c r="E48" s="89"/>
      <c r="F48" s="89"/>
      <c r="G48" s="89"/>
      <c r="H48" s="89"/>
      <c r="I48" s="90"/>
      <c r="J48" s="41"/>
      <c r="K48" s="42"/>
      <c r="L48" s="42"/>
      <c r="M48" s="42"/>
      <c r="N48" s="42"/>
      <c r="O48" s="42"/>
      <c r="P48" s="42"/>
      <c r="Q48" s="42"/>
      <c r="R48" s="42"/>
      <c r="S48" s="42"/>
      <c r="T48" s="41"/>
      <c r="U48" s="42"/>
      <c r="V48" s="42"/>
      <c r="W48" s="42"/>
      <c r="X48" s="42"/>
      <c r="Y48" s="42"/>
      <c r="Z48" s="42"/>
      <c r="AA48" s="42"/>
      <c r="AB48" s="42"/>
      <c r="AC48" s="42"/>
      <c r="AD48" s="41"/>
      <c r="AE48" s="42"/>
      <c r="AF48" s="42"/>
      <c r="AG48" s="42"/>
      <c r="AH48" s="42"/>
      <c r="AI48" s="42"/>
      <c r="AJ48" s="42"/>
      <c r="AK48" s="42"/>
      <c r="AL48" s="42"/>
      <c r="AM48" s="42"/>
      <c r="AN48" s="41"/>
      <c r="AO48" s="42"/>
      <c r="AP48" s="42"/>
      <c r="AQ48" s="42"/>
      <c r="AR48" s="42"/>
      <c r="AS48" s="42"/>
      <c r="AT48" s="42"/>
      <c r="AU48" s="42"/>
      <c r="AV48" s="42"/>
      <c r="AW48" s="42"/>
      <c r="AX48" s="41"/>
      <c r="AY48" s="42"/>
      <c r="AZ48" s="42"/>
      <c r="BA48" s="42"/>
      <c r="BB48" s="42"/>
      <c r="BC48" s="42"/>
      <c r="BD48" s="42"/>
      <c r="BE48" s="42"/>
      <c r="BF48" s="42"/>
      <c r="BG48" s="42"/>
      <c r="BH48" s="41"/>
      <c r="BI48" s="42"/>
      <c r="BJ48" s="42"/>
      <c r="BK48" s="42"/>
      <c r="BL48" s="42"/>
      <c r="BM48" s="42"/>
      <c r="BN48" s="42"/>
      <c r="BO48" s="42"/>
      <c r="BP48" s="42"/>
      <c r="BQ48" s="42"/>
      <c r="BR48" s="41"/>
      <c r="BS48" s="42"/>
      <c r="BT48" s="42"/>
      <c r="BU48" s="42"/>
      <c r="BV48" s="42"/>
      <c r="BW48" s="42"/>
      <c r="BX48" s="42"/>
      <c r="BY48" s="42"/>
      <c r="BZ48" s="42"/>
      <c r="CA48" s="42"/>
      <c r="CB48" s="41"/>
      <c r="CC48" s="42"/>
      <c r="CD48" s="42"/>
      <c r="CE48" s="42"/>
      <c r="CF48" s="42"/>
      <c r="CG48" s="42"/>
      <c r="CH48" s="42"/>
      <c r="CI48" s="42"/>
      <c r="CJ48" s="42"/>
      <c r="CK48" s="42"/>
      <c r="CL48" s="41"/>
      <c r="CN48" s="120" t="s">
        <v>521</v>
      </c>
      <c r="CO48" s="122" t="s">
        <v>522</v>
      </c>
      <c r="CP48" s="77"/>
      <c r="CQ48" s="77"/>
    </row>
    <row r="49" spans="1:95" ht="15" customHeight="1" x14ac:dyDescent="0.35">
      <c r="A49" s="88"/>
      <c r="B49" s="89"/>
      <c r="C49" s="89"/>
      <c r="D49" s="89"/>
      <c r="E49" s="89"/>
      <c r="F49" s="89"/>
      <c r="G49" s="89"/>
      <c r="H49" s="89"/>
      <c r="I49" s="90"/>
      <c r="J49" s="41"/>
      <c r="K49" s="42"/>
      <c r="L49" s="42"/>
      <c r="M49" s="42"/>
      <c r="N49" s="42"/>
      <c r="O49" s="42"/>
      <c r="P49" s="42"/>
      <c r="Q49" s="42"/>
      <c r="R49" s="42"/>
      <c r="S49" s="42"/>
      <c r="T49" s="41"/>
      <c r="U49" s="42"/>
      <c r="V49" s="42"/>
      <c r="W49" s="42"/>
      <c r="X49" s="42"/>
      <c r="Y49" s="42"/>
      <c r="Z49" s="42"/>
      <c r="AA49" s="42"/>
      <c r="AB49" s="42"/>
      <c r="AC49" s="42"/>
      <c r="AD49" s="41"/>
      <c r="AE49" s="42"/>
      <c r="AF49" s="42"/>
      <c r="AG49" s="42"/>
      <c r="AH49" s="42"/>
      <c r="AI49" s="42"/>
      <c r="AJ49" s="42"/>
      <c r="AK49" s="42"/>
      <c r="AL49" s="42"/>
      <c r="AM49" s="42"/>
      <c r="AN49" s="41"/>
      <c r="AO49" s="42"/>
      <c r="AP49" s="42"/>
      <c r="AQ49" s="42"/>
      <c r="AR49" s="42"/>
      <c r="AS49" s="42"/>
      <c r="AT49" s="42"/>
      <c r="AU49" s="42"/>
      <c r="AV49" s="42"/>
      <c r="AW49" s="42"/>
      <c r="AX49" s="41"/>
      <c r="AY49" s="42"/>
      <c r="AZ49" s="42"/>
      <c r="BA49" s="42"/>
      <c r="BB49" s="42"/>
      <c r="BC49" s="42"/>
      <c r="BD49" s="42"/>
      <c r="BE49" s="42"/>
      <c r="BF49" s="42"/>
      <c r="BG49" s="42"/>
      <c r="BH49" s="41"/>
      <c r="BI49" s="42"/>
      <c r="BJ49" s="42"/>
      <c r="BK49" s="42"/>
      <c r="BL49" s="42"/>
      <c r="BM49" s="42"/>
      <c r="BN49" s="42"/>
      <c r="BO49" s="42"/>
      <c r="BP49" s="42"/>
      <c r="BQ49" s="42"/>
      <c r="BR49" s="41"/>
      <c r="BS49" s="42"/>
      <c r="BT49" s="42"/>
      <c r="BU49" s="42"/>
      <c r="BV49" s="42"/>
      <c r="BW49" s="42"/>
      <c r="BX49" s="42"/>
      <c r="BY49" s="42"/>
      <c r="BZ49" s="42"/>
      <c r="CA49" s="42"/>
      <c r="CB49" s="41"/>
      <c r="CC49" s="42"/>
      <c r="CD49" s="42"/>
      <c r="CE49" s="42"/>
      <c r="CF49" s="42"/>
      <c r="CG49" s="42"/>
      <c r="CH49" s="42"/>
      <c r="CI49" s="42"/>
      <c r="CJ49" s="42"/>
      <c r="CK49" s="42"/>
      <c r="CL49" s="41"/>
      <c r="CN49" s="19"/>
      <c r="CO49" s="19"/>
      <c r="CP49" s="19"/>
      <c r="CQ49" s="19"/>
    </row>
    <row r="50" spans="1:95" ht="15" customHeight="1" x14ac:dyDescent="0.35">
      <c r="A50" s="88"/>
      <c r="B50" s="89"/>
      <c r="C50" s="89"/>
      <c r="D50" s="89"/>
      <c r="E50" s="89"/>
      <c r="F50" s="89"/>
      <c r="G50" s="89"/>
      <c r="H50" s="89"/>
      <c r="I50" s="90"/>
      <c r="J50" s="45"/>
      <c r="K50" s="42"/>
      <c r="L50" s="42"/>
      <c r="M50" s="42"/>
      <c r="N50" s="42"/>
      <c r="O50" s="42"/>
      <c r="P50" s="42"/>
      <c r="Q50" s="42"/>
      <c r="R50" s="42"/>
      <c r="S50" s="42"/>
      <c r="T50" s="45"/>
      <c r="U50" s="42"/>
      <c r="V50" s="42"/>
      <c r="W50" s="42"/>
      <c r="X50" s="42"/>
      <c r="Y50" s="42"/>
      <c r="Z50" s="42"/>
      <c r="AA50" s="42"/>
      <c r="AB50" s="42"/>
      <c r="AC50" s="42"/>
      <c r="AD50" s="45"/>
      <c r="AE50" s="42"/>
      <c r="AF50" s="42"/>
      <c r="AG50" s="42"/>
      <c r="AH50" s="42"/>
      <c r="AI50" s="42"/>
      <c r="AJ50" s="42"/>
      <c r="AK50" s="42"/>
      <c r="AL50" s="42"/>
      <c r="AM50" s="42"/>
      <c r="AN50" s="45"/>
      <c r="AO50" s="42"/>
      <c r="AP50" s="42"/>
      <c r="AQ50" s="42"/>
      <c r="AR50" s="42"/>
      <c r="AS50" s="42"/>
      <c r="AT50" s="42"/>
      <c r="AU50" s="42"/>
      <c r="AV50" s="42"/>
      <c r="AW50" s="42"/>
      <c r="AX50" s="45"/>
      <c r="AY50" s="42"/>
      <c r="AZ50" s="42"/>
      <c r="BA50" s="42"/>
      <c r="BB50" s="42"/>
      <c r="BC50" s="42"/>
      <c r="BD50" s="42"/>
      <c r="BE50" s="42"/>
      <c r="BF50" s="42"/>
      <c r="BG50" s="42"/>
      <c r="BH50" s="45"/>
      <c r="BI50" s="42"/>
      <c r="BJ50" s="42"/>
      <c r="BK50" s="42"/>
      <c r="BL50" s="42"/>
      <c r="BM50" s="42"/>
      <c r="BN50" s="42"/>
      <c r="BO50" s="42"/>
      <c r="BP50" s="42"/>
      <c r="BQ50" s="42"/>
      <c r="BR50" s="45"/>
      <c r="BS50" s="42"/>
      <c r="BT50" s="42"/>
      <c r="BU50" s="42"/>
      <c r="BV50" s="42"/>
      <c r="BW50" s="42"/>
      <c r="BX50" s="42"/>
      <c r="BY50" s="42"/>
      <c r="BZ50" s="42"/>
      <c r="CA50" s="42"/>
      <c r="CB50" s="45"/>
      <c r="CC50" s="42"/>
      <c r="CD50" s="42"/>
      <c r="CE50" s="42"/>
      <c r="CF50" s="42"/>
      <c r="CG50" s="42"/>
      <c r="CH50" s="42"/>
      <c r="CI50" s="42"/>
      <c r="CJ50" s="42"/>
      <c r="CK50" s="42"/>
      <c r="CL50" s="45"/>
      <c r="CM50" s="15"/>
      <c r="CN50" s="123" t="s">
        <v>180</v>
      </c>
      <c r="CO50" s="19"/>
      <c r="CP50" s="19"/>
      <c r="CQ50" s="19"/>
    </row>
    <row r="51" spans="1:95" ht="15" customHeight="1" x14ac:dyDescent="0.2">
      <c r="A51" s="88"/>
      <c r="B51" s="89"/>
      <c r="C51" s="89"/>
      <c r="D51" s="89"/>
      <c r="E51" s="89"/>
      <c r="F51" s="89"/>
      <c r="G51" s="89"/>
      <c r="H51" s="89"/>
      <c r="I51" s="90"/>
      <c r="J51" s="45"/>
      <c r="K51" s="42"/>
      <c r="L51" s="42"/>
      <c r="M51" s="42"/>
      <c r="N51" s="42"/>
      <c r="O51" s="42"/>
      <c r="P51" s="42"/>
      <c r="Q51" s="42"/>
      <c r="R51" s="42"/>
      <c r="S51" s="42"/>
      <c r="T51" s="45"/>
      <c r="U51" s="42"/>
      <c r="V51" s="42"/>
      <c r="W51" s="42"/>
      <c r="X51" s="42"/>
      <c r="Y51" s="42"/>
      <c r="Z51" s="42"/>
      <c r="AA51" s="42"/>
      <c r="AB51" s="42"/>
      <c r="AC51" s="42"/>
      <c r="AD51" s="45"/>
      <c r="AE51" s="42"/>
      <c r="AF51" s="42"/>
      <c r="AG51" s="42"/>
      <c r="AH51" s="42"/>
      <c r="AI51" s="42"/>
      <c r="AJ51" s="42"/>
      <c r="AK51" s="42"/>
      <c r="AL51" s="42"/>
      <c r="AM51" s="42"/>
      <c r="AN51" s="45"/>
      <c r="AO51" s="42"/>
      <c r="AP51" s="42"/>
      <c r="AQ51" s="42"/>
      <c r="AR51" s="42"/>
      <c r="AS51" s="42"/>
      <c r="AT51" s="42"/>
      <c r="AU51" s="42"/>
      <c r="AV51" s="42"/>
      <c r="AW51" s="42"/>
      <c r="AX51" s="45"/>
      <c r="AY51" s="42"/>
      <c r="AZ51" s="42"/>
      <c r="BA51" s="42"/>
      <c r="BB51" s="42"/>
      <c r="BC51" s="42"/>
      <c r="BD51" s="42"/>
      <c r="BE51" s="42"/>
      <c r="BF51" s="42"/>
      <c r="BG51" s="42"/>
      <c r="BH51" s="45"/>
      <c r="BI51" s="42"/>
      <c r="BJ51" s="42"/>
      <c r="BK51" s="42"/>
      <c r="BL51" s="42"/>
      <c r="BM51" s="42"/>
      <c r="BN51" s="42"/>
      <c r="BO51" s="42"/>
      <c r="BP51" s="42"/>
      <c r="BQ51" s="42"/>
      <c r="BR51" s="45"/>
      <c r="BS51" s="42"/>
      <c r="BT51" s="42"/>
      <c r="BU51" s="42"/>
      <c r="BV51" s="42"/>
      <c r="BW51" s="42"/>
      <c r="BX51" s="42"/>
      <c r="BY51" s="42"/>
      <c r="BZ51" s="42"/>
      <c r="CA51" s="42"/>
      <c r="CB51" s="45"/>
      <c r="CC51" s="42"/>
      <c r="CD51" s="42"/>
      <c r="CE51" s="42"/>
      <c r="CF51" s="42"/>
      <c r="CG51" s="42"/>
      <c r="CH51" s="42"/>
      <c r="CI51" s="42"/>
      <c r="CJ51" s="42"/>
      <c r="CK51" s="42"/>
      <c r="CL51" s="45"/>
      <c r="CM51" s="15"/>
      <c r="CN51" s="12" t="s">
        <v>332</v>
      </c>
      <c r="CO51" s="25" t="s">
        <v>189</v>
      </c>
    </row>
    <row r="52" spans="1:95" ht="15" customHeight="1" x14ac:dyDescent="0.2">
      <c r="A52" s="88"/>
      <c r="B52" s="89"/>
      <c r="C52" s="89"/>
      <c r="D52" s="89"/>
      <c r="E52" s="89"/>
      <c r="F52" s="89"/>
      <c r="G52" s="89"/>
      <c r="H52" s="89"/>
      <c r="I52" s="90"/>
      <c r="J52" s="45"/>
      <c r="K52" s="42"/>
      <c r="L52" s="42"/>
      <c r="M52" s="42"/>
      <c r="N52" s="42"/>
      <c r="O52" s="42"/>
      <c r="P52" s="42"/>
      <c r="Q52" s="42"/>
      <c r="R52" s="42"/>
      <c r="S52" s="42"/>
      <c r="T52" s="45"/>
      <c r="U52" s="42"/>
      <c r="V52" s="42"/>
      <c r="W52" s="42"/>
      <c r="X52" s="42"/>
      <c r="Y52" s="42"/>
      <c r="Z52" s="42"/>
      <c r="AA52" s="42"/>
      <c r="AB52" s="42"/>
      <c r="AC52" s="42"/>
      <c r="AD52" s="45"/>
      <c r="AE52" s="42"/>
      <c r="AF52" s="42"/>
      <c r="AG52" s="42"/>
      <c r="AH52" s="42"/>
      <c r="AI52" s="42"/>
      <c r="AJ52" s="42"/>
      <c r="AK52" s="42"/>
      <c r="AL52" s="42"/>
      <c r="AM52" s="42"/>
      <c r="AN52" s="45"/>
      <c r="AO52" s="42"/>
      <c r="AP52" s="42"/>
      <c r="AQ52" s="42"/>
      <c r="AR52" s="42"/>
      <c r="AS52" s="42"/>
      <c r="AT52" s="42"/>
      <c r="AU52" s="42"/>
      <c r="AV52" s="42"/>
      <c r="AW52" s="42"/>
      <c r="AX52" s="45"/>
      <c r="AY52" s="42"/>
      <c r="AZ52" s="42"/>
      <c r="BA52" s="42"/>
      <c r="BB52" s="42"/>
      <c r="BC52" s="42"/>
      <c r="BD52" s="42"/>
      <c r="BE52" s="42"/>
      <c r="BF52" s="42"/>
      <c r="BG52" s="42"/>
      <c r="BH52" s="45"/>
      <c r="BI52" s="42"/>
      <c r="BJ52" s="42"/>
      <c r="BK52" s="42"/>
      <c r="BL52" s="42"/>
      <c r="BM52" s="42"/>
      <c r="BN52" s="42"/>
      <c r="BO52" s="42"/>
      <c r="BP52" s="42"/>
      <c r="BQ52" s="42"/>
      <c r="BR52" s="45"/>
      <c r="BS52" s="42"/>
      <c r="BT52" s="42"/>
      <c r="BU52" s="42"/>
      <c r="BV52" s="42"/>
      <c r="BW52" s="42"/>
      <c r="BX52" s="42"/>
      <c r="BY52" s="42"/>
      <c r="BZ52" s="42"/>
      <c r="CA52" s="42"/>
      <c r="CB52" s="45"/>
      <c r="CC52" s="42"/>
      <c r="CD52" s="42"/>
      <c r="CE52" s="42"/>
      <c r="CF52" s="42"/>
      <c r="CG52" s="42"/>
      <c r="CH52" s="42"/>
      <c r="CI52" s="42"/>
      <c r="CJ52" s="42"/>
      <c r="CK52" s="42"/>
      <c r="CL52" s="45"/>
      <c r="CM52" s="15"/>
      <c r="CN52" s="25" t="s">
        <v>190</v>
      </c>
    </row>
    <row r="53" spans="1:95" ht="15" customHeight="1" x14ac:dyDescent="0.2">
      <c r="A53" s="88"/>
      <c r="B53" s="89"/>
      <c r="C53" s="89"/>
      <c r="D53" s="89"/>
      <c r="E53" s="89"/>
      <c r="F53" s="89"/>
      <c r="G53" s="89"/>
      <c r="H53" s="89"/>
      <c r="I53" s="90"/>
      <c r="J53" s="41"/>
      <c r="K53" s="42"/>
      <c r="L53" s="42"/>
      <c r="M53" s="42"/>
      <c r="N53" s="42"/>
      <c r="O53" s="42"/>
      <c r="P53" s="42"/>
      <c r="Q53" s="42"/>
      <c r="R53" s="42"/>
      <c r="S53" s="42"/>
      <c r="T53" s="41"/>
      <c r="U53" s="42"/>
      <c r="V53" s="42"/>
      <c r="W53" s="42"/>
      <c r="X53" s="42"/>
      <c r="Y53" s="42"/>
      <c r="Z53" s="42"/>
      <c r="AA53" s="42"/>
      <c r="AB53" s="42"/>
      <c r="AC53" s="42"/>
      <c r="AD53" s="41"/>
      <c r="AE53" s="42"/>
      <c r="AF53" s="42"/>
      <c r="AG53" s="42"/>
      <c r="AH53" s="42"/>
      <c r="AI53" s="42"/>
      <c r="AJ53" s="42"/>
      <c r="AK53" s="42"/>
      <c r="AL53" s="42"/>
      <c r="AM53" s="42"/>
      <c r="AN53" s="41"/>
      <c r="AO53" s="42"/>
      <c r="AP53" s="42"/>
      <c r="AQ53" s="42"/>
      <c r="AR53" s="42"/>
      <c r="AS53" s="42"/>
      <c r="AT53" s="42"/>
      <c r="AU53" s="42"/>
      <c r="AV53" s="42"/>
      <c r="AW53" s="42"/>
      <c r="AX53" s="41"/>
      <c r="AY53" s="42"/>
      <c r="AZ53" s="42"/>
      <c r="BA53" s="42"/>
      <c r="BB53" s="42"/>
      <c r="BC53" s="42"/>
      <c r="BD53" s="42"/>
      <c r="BE53" s="42"/>
      <c r="BF53" s="42"/>
      <c r="BG53" s="42"/>
      <c r="BH53" s="41"/>
      <c r="BI53" s="42"/>
      <c r="BJ53" s="42"/>
      <c r="BK53" s="42"/>
      <c r="BL53" s="42"/>
      <c r="BM53" s="42"/>
      <c r="BN53" s="42"/>
      <c r="BO53" s="42"/>
      <c r="BP53" s="42"/>
      <c r="BQ53" s="42"/>
      <c r="BR53" s="41"/>
      <c r="BS53" s="42"/>
      <c r="BT53" s="42"/>
      <c r="BU53" s="42"/>
      <c r="BV53" s="42"/>
      <c r="BW53" s="42"/>
      <c r="BX53" s="42"/>
      <c r="BY53" s="42"/>
      <c r="BZ53" s="42"/>
      <c r="CA53" s="42"/>
      <c r="CB53" s="41"/>
      <c r="CC53" s="42"/>
      <c r="CD53" s="42"/>
      <c r="CE53" s="42"/>
      <c r="CF53" s="42"/>
      <c r="CG53" s="42"/>
      <c r="CH53" s="42"/>
      <c r="CI53" s="42"/>
      <c r="CJ53" s="42"/>
      <c r="CK53" s="42"/>
      <c r="CL53" s="41"/>
      <c r="CN53" s="25" t="s">
        <v>191</v>
      </c>
    </row>
    <row r="54" spans="1:95" ht="15" customHeight="1" x14ac:dyDescent="0.2">
      <c r="A54" s="88"/>
      <c r="B54" s="89"/>
      <c r="C54" s="89"/>
      <c r="D54" s="89"/>
      <c r="E54" s="89"/>
      <c r="F54" s="89"/>
      <c r="G54" s="89"/>
      <c r="H54" s="89"/>
      <c r="I54" s="90"/>
      <c r="J54" s="41"/>
      <c r="K54" s="39"/>
      <c r="L54" s="1"/>
      <c r="M54" s="41"/>
      <c r="N54" s="41"/>
      <c r="O54" s="41"/>
      <c r="P54" s="41"/>
      <c r="Q54" s="41"/>
      <c r="R54" s="41"/>
      <c r="S54" s="41"/>
      <c r="T54" s="41"/>
      <c r="U54" s="41"/>
      <c r="V54" s="41"/>
      <c r="W54" s="41"/>
      <c r="X54" s="41"/>
      <c r="Y54" s="41"/>
      <c r="Z54" s="41"/>
      <c r="AA54" s="41"/>
      <c r="AB54" s="41"/>
      <c r="AC54" s="41"/>
      <c r="AD54" s="41"/>
      <c r="AE54" s="41"/>
      <c r="AF54" s="41"/>
      <c r="AG54" s="41"/>
      <c r="AH54" s="41"/>
      <c r="AI54" s="41"/>
      <c r="AJ54" s="41"/>
      <c r="AK54" s="41"/>
      <c r="AL54" s="41"/>
      <c r="AM54" s="41"/>
      <c r="AN54" s="41"/>
      <c r="AO54" s="41"/>
      <c r="AP54" s="41"/>
      <c r="AQ54" s="41"/>
      <c r="AR54" s="41"/>
      <c r="AS54" s="41"/>
      <c r="AT54" s="41"/>
      <c r="AU54" s="41"/>
      <c r="AV54" s="41"/>
      <c r="AW54" s="41"/>
      <c r="AX54" s="41"/>
      <c r="AY54" s="41"/>
      <c r="AZ54" s="41"/>
      <c r="BA54" s="41"/>
      <c r="BB54" s="41"/>
      <c r="BC54" s="41"/>
      <c r="BD54" s="41"/>
      <c r="BE54" s="41"/>
      <c r="BF54" s="41"/>
      <c r="BG54" s="41"/>
      <c r="BH54" s="41"/>
      <c r="BI54" s="41"/>
      <c r="BJ54" s="41"/>
      <c r="BK54" s="41"/>
      <c r="BL54" s="41"/>
      <c r="BM54" s="41"/>
      <c r="BN54" s="41"/>
      <c r="BO54" s="41"/>
      <c r="BP54" s="41"/>
      <c r="BQ54" s="41"/>
      <c r="BR54" s="41"/>
      <c r="BS54" s="41"/>
      <c r="BT54" s="41"/>
      <c r="BU54" s="41"/>
      <c r="BV54" s="41"/>
      <c r="BW54" s="41"/>
      <c r="BX54" s="41"/>
      <c r="BY54" s="41"/>
      <c r="BZ54" s="41"/>
      <c r="CA54" s="41"/>
      <c r="CB54" s="41"/>
      <c r="CC54" s="46"/>
      <c r="CD54" s="46"/>
      <c r="CE54" s="46"/>
      <c r="CF54" s="46"/>
      <c r="CG54" s="46"/>
      <c r="CH54" s="46"/>
      <c r="CI54" s="46"/>
      <c r="CJ54" s="46"/>
      <c r="CK54" s="46"/>
      <c r="CL54" s="41"/>
      <c r="CN54" s="25" t="s">
        <v>192</v>
      </c>
    </row>
    <row r="55" spans="1:95" ht="15" customHeight="1" x14ac:dyDescent="0.2">
      <c r="A55" s="88"/>
      <c r="B55" s="89"/>
      <c r="C55" s="89"/>
      <c r="D55" s="89"/>
      <c r="E55" s="89"/>
      <c r="F55" s="89"/>
      <c r="G55" s="89"/>
      <c r="H55" s="89"/>
      <c r="I55" s="90"/>
      <c r="J55" s="41"/>
      <c r="K55" s="39"/>
      <c r="L55" s="52"/>
      <c r="M55" s="52"/>
      <c r="N55" s="52"/>
      <c r="O55" s="52" t="s">
        <v>206</v>
      </c>
      <c r="P55" s="52"/>
      <c r="Q55" s="52"/>
      <c r="R55" s="52"/>
      <c r="S55" s="52"/>
      <c r="T55" s="41"/>
      <c r="U55" s="41"/>
      <c r="V55" s="52"/>
      <c r="W55" s="52"/>
      <c r="X55" s="52"/>
      <c r="Y55" s="52" t="s">
        <v>206</v>
      </c>
      <c r="Z55" s="52"/>
      <c r="AA55" s="52"/>
      <c r="AB55" s="52"/>
      <c r="AC55" s="52"/>
      <c r="AD55" s="41"/>
      <c r="AE55" s="41"/>
      <c r="AF55" s="52"/>
      <c r="AG55" s="52"/>
      <c r="AH55" s="52"/>
      <c r="AI55" s="52" t="s">
        <v>206</v>
      </c>
      <c r="AJ55" s="52"/>
      <c r="AK55" s="52"/>
      <c r="AL55" s="52"/>
      <c r="AM55" s="52"/>
      <c r="AN55" s="41"/>
      <c r="AO55" s="41"/>
      <c r="AP55" s="52"/>
      <c r="AQ55" s="52"/>
      <c r="AR55" s="52"/>
      <c r="AS55" s="52" t="s">
        <v>206</v>
      </c>
      <c r="AT55" s="52"/>
      <c r="AU55" s="52"/>
      <c r="AV55" s="52"/>
      <c r="AW55" s="52"/>
      <c r="AX55" s="41"/>
      <c r="AY55" s="41"/>
      <c r="AZ55" s="52"/>
      <c r="BA55" s="52"/>
      <c r="BB55" s="52"/>
      <c r="BC55" s="52" t="s">
        <v>206</v>
      </c>
      <c r="BD55" s="52"/>
      <c r="BE55" s="52"/>
      <c r="BF55" s="52"/>
      <c r="BG55" s="52"/>
      <c r="BH55" s="41"/>
      <c r="BI55" s="41"/>
      <c r="BJ55" s="52"/>
      <c r="BK55" s="52"/>
      <c r="BL55" s="52"/>
      <c r="BM55" s="52" t="s">
        <v>206</v>
      </c>
      <c r="BN55" s="52"/>
      <c r="BO55" s="52"/>
      <c r="BP55" s="52"/>
      <c r="BQ55" s="52"/>
      <c r="BR55" s="41"/>
      <c r="BS55" s="52"/>
      <c r="BT55" s="52"/>
      <c r="BU55" s="52"/>
      <c r="BV55" s="52"/>
      <c r="BW55" s="52" t="s">
        <v>206</v>
      </c>
      <c r="BX55" s="52"/>
      <c r="BY55" s="52"/>
      <c r="BZ55" s="52"/>
      <c r="CA55" s="52"/>
      <c r="CB55" s="41"/>
      <c r="CC55" s="41"/>
      <c r="CD55" s="52"/>
      <c r="CE55" s="52"/>
      <c r="CF55" s="52"/>
      <c r="CG55" s="52"/>
      <c r="CH55" s="52" t="s">
        <v>206</v>
      </c>
      <c r="CI55" s="52"/>
      <c r="CJ55" s="52"/>
      <c r="CK55" s="52"/>
      <c r="CL55" s="41"/>
      <c r="CN55" s="25" t="s">
        <v>188</v>
      </c>
    </row>
    <row r="56" spans="1:95" ht="15" customHeight="1" x14ac:dyDescent="0.2">
      <c r="A56" s="88"/>
      <c r="B56" s="89"/>
      <c r="C56" s="89"/>
      <c r="D56" s="89"/>
      <c r="E56" s="89"/>
      <c r="F56" s="89"/>
      <c r="G56" s="89"/>
      <c r="H56" s="89"/>
      <c r="I56" s="90"/>
      <c r="K56" s="301" t="str" cm="1">
        <f t="array" ref="K56">IF(COUNTIF(K62:S95,"BLANK"),"BLANK",IF(OR(SUMPRODUCT(--ISERROR(K62:S95))&gt;0,COUNTIF(K62:S95,"REJECT")),"REJECT",IF(COUNTIF(K62:S95,"CHECK"),"CHECK","EQ")))</f>
        <v>EQ</v>
      </c>
      <c r="L56" s="301"/>
      <c r="M56" s="301" t="s">
        <v>417</v>
      </c>
      <c r="N56" s="301"/>
      <c r="O56" s="301"/>
      <c r="P56" s="301"/>
      <c r="Q56" s="301"/>
      <c r="R56" s="301"/>
      <c r="S56" s="301"/>
      <c r="U56" s="301" t="str" cm="1">
        <f t="array" ref="U56">IF(COUNTIF(U88:AC129,"BLANK"),"BLANK",IF(OR(SUMPRODUCT(--ISERROR(U88:AC129))&gt;0,COUNTIF(U88:AC129,"REJECT")),"REJECT",IF(COUNTIF(U88:AC129,"CHECK"),"CHECK","EQ")))</f>
        <v>EQ</v>
      </c>
      <c r="V56" s="301"/>
      <c r="W56" s="301" t="s">
        <v>304</v>
      </c>
      <c r="X56" s="301"/>
      <c r="Y56" s="301"/>
      <c r="Z56" s="301"/>
      <c r="AA56" s="301"/>
      <c r="AB56" s="301"/>
      <c r="AC56" s="301"/>
      <c r="AE56" s="301" t="str">
        <f>IF(COUNTIF(AE68:AM129,"BLANK"),"BLANK",IF(COUNTIF(AE68:AM129,"REJECT"),"REJECT",IF(COUNTIF(AE68:AM129,"CHECK"),"CHECK","EQ")))</f>
        <v>EQ</v>
      </c>
      <c r="AF56" s="301"/>
      <c r="AG56" s="301" t="s">
        <v>343</v>
      </c>
      <c r="AH56" s="301"/>
      <c r="AI56" s="301"/>
      <c r="AJ56" s="301"/>
      <c r="AK56" s="301"/>
      <c r="AL56" s="301"/>
      <c r="AM56" s="301"/>
      <c r="AO56" s="301" t="str" cm="1">
        <f t="array" ref="AO56">IF(COUNTIF(AO71:AW138,"BLANK"),"BLANK",IF(OR(SUMPRODUCT(--ISERROR(AO71:AW138))&gt;0,COUNTIF(AO71:AW138,"REJECT")),"REJECT",IF(COUNTIF(AO71:AW138,"CHECK"),"CHECK","EQ")))</f>
        <v>EQ</v>
      </c>
      <c r="AP56" s="301"/>
      <c r="AQ56" s="301" t="s">
        <v>342</v>
      </c>
      <c r="AR56" s="301"/>
      <c r="AS56" s="301"/>
      <c r="AT56" s="301"/>
      <c r="AU56" s="301"/>
      <c r="AV56" s="301"/>
      <c r="AW56" s="301"/>
      <c r="AY56" s="301" t="str" cm="1">
        <f t="array" ref="AY56">IF(COUNTIF(AY76:BG101,"BLANK"),"BLANK",IF(OR(SUMPRODUCT(--ISERROR(AY76:BG101))&gt;0,COUNTIF(AY76:BG101,"REJECT")),"REJECT",IF(COUNTIF(AY76:BG101,"CHECK"),"CHECK","EQ")))</f>
        <v>EQ</v>
      </c>
      <c r="AZ56" s="301"/>
      <c r="BA56" s="301" t="s">
        <v>300</v>
      </c>
      <c r="BB56" s="301"/>
      <c r="BC56" s="301"/>
      <c r="BD56" s="301"/>
      <c r="BE56" s="301"/>
      <c r="BF56" s="301"/>
      <c r="BG56" s="301"/>
      <c r="BI56" s="301" t="str" cm="1">
        <f t="array" ref="BI56">IF(COUNTIF(BI63:BQ135,"BLANK"),"BLANK",IF(OR(SUMPRODUCT(--ISERROR(BI63:BQ135))&gt;0,COUNTIF(BI63:BQ135,"REJECT")),"REJECT",IF(COUNTIF(BI63:BQ135,"CHECK"),"CHECK","EQ")))</f>
        <v>EQ</v>
      </c>
      <c r="BJ56" s="301"/>
      <c r="BK56" s="301" t="s">
        <v>37</v>
      </c>
      <c r="BL56" s="301"/>
      <c r="BM56" s="301"/>
      <c r="BN56" s="301"/>
      <c r="BO56" s="301"/>
      <c r="BP56" s="301"/>
      <c r="BQ56" s="301"/>
      <c r="BR56" s="13"/>
      <c r="BS56" s="301" t="str">
        <f>IF($G$8="IC - Internal Combustion","N/A",
IF(COUNTIF(BS78:CA113,"BLANK"),"BLANK",IF(COUNTIF(BS78:CA113,"REJECT"),"REJECT",IF(COUNTIF(BS78:CA113,"CHECK"),"CHECK","EQ"))))</f>
        <v>N/A</v>
      </c>
      <c r="BT56" s="301"/>
      <c r="BU56" s="301" t="s">
        <v>340</v>
      </c>
      <c r="BV56" s="301"/>
      <c r="BW56" s="301"/>
      <c r="BX56" s="301"/>
      <c r="BY56" s="301"/>
      <c r="BZ56" s="301"/>
      <c r="CA56" s="301"/>
      <c r="CC56" s="301" t="str">
        <f>IF($G$8="IC - Internal Combustion","N/A",
IF(COUNTIF(CC67:CK128,"BLANK"),"BLANK",IF(COUNTIF(CC67:CK128,"REJECT"),"REJECT",IF(COUNTIF(CC67:CK128,"CHECK"),"CHECK","EQ"))))</f>
        <v>N/A</v>
      </c>
      <c r="CD56" s="301"/>
      <c r="CE56" s="301" t="s">
        <v>480</v>
      </c>
      <c r="CF56" s="301"/>
      <c r="CG56" s="301"/>
      <c r="CH56" s="301"/>
      <c r="CI56" s="301"/>
      <c r="CJ56" s="301"/>
      <c r="CK56" s="301"/>
    </row>
    <row r="57" spans="1:95" ht="15" customHeight="1" x14ac:dyDescent="0.2">
      <c r="A57" s="88"/>
      <c r="B57" s="89"/>
      <c r="C57" s="89"/>
      <c r="D57" s="89"/>
      <c r="E57" s="89"/>
      <c r="F57" s="89"/>
      <c r="G57" s="89"/>
      <c r="H57" s="89"/>
      <c r="I57" s="90"/>
      <c r="K57" s="301"/>
      <c r="L57" s="301"/>
      <c r="M57" s="301"/>
      <c r="N57" s="301"/>
      <c r="O57" s="301"/>
      <c r="P57" s="301"/>
      <c r="Q57" s="301"/>
      <c r="R57" s="301"/>
      <c r="S57" s="301"/>
      <c r="U57" s="301"/>
      <c r="V57" s="301"/>
      <c r="W57" s="301"/>
      <c r="X57" s="301"/>
      <c r="Y57" s="301"/>
      <c r="Z57" s="301"/>
      <c r="AA57" s="301"/>
      <c r="AB57" s="301"/>
      <c r="AC57" s="301"/>
      <c r="AE57" s="301"/>
      <c r="AF57" s="301"/>
      <c r="AG57" s="301"/>
      <c r="AH57" s="301"/>
      <c r="AI57" s="301"/>
      <c r="AJ57" s="301"/>
      <c r="AK57" s="301"/>
      <c r="AL57" s="301"/>
      <c r="AM57" s="301"/>
      <c r="AO57" s="301"/>
      <c r="AP57" s="301"/>
      <c r="AQ57" s="301"/>
      <c r="AR57" s="301"/>
      <c r="AS57" s="301"/>
      <c r="AT57" s="301"/>
      <c r="AU57" s="301"/>
      <c r="AV57" s="301"/>
      <c r="AW57" s="301"/>
      <c r="AY57" s="301"/>
      <c r="AZ57" s="301"/>
      <c r="BA57" s="301"/>
      <c r="BB57" s="301"/>
      <c r="BC57" s="301"/>
      <c r="BD57" s="301"/>
      <c r="BE57" s="301"/>
      <c r="BF57" s="301"/>
      <c r="BG57" s="301"/>
      <c r="BI57" s="301"/>
      <c r="BJ57" s="301"/>
      <c r="BK57" s="301"/>
      <c r="BL57" s="301"/>
      <c r="BM57" s="301"/>
      <c r="BN57" s="301"/>
      <c r="BO57" s="301"/>
      <c r="BP57" s="301"/>
      <c r="BQ57" s="301"/>
      <c r="BR57" s="13"/>
      <c r="BS57" s="301"/>
      <c r="BT57" s="301"/>
      <c r="BU57" s="301"/>
      <c r="BV57" s="301"/>
      <c r="BW57" s="301"/>
      <c r="BX57" s="301"/>
      <c r="BY57" s="301"/>
      <c r="BZ57" s="301"/>
      <c r="CA57" s="301"/>
      <c r="CC57" s="301"/>
      <c r="CD57" s="301"/>
      <c r="CE57" s="301"/>
      <c r="CF57" s="301"/>
      <c r="CG57" s="301"/>
      <c r="CH57" s="301"/>
      <c r="CI57" s="301"/>
      <c r="CJ57" s="301"/>
      <c r="CK57" s="301"/>
      <c r="CN57" s="25" t="s">
        <v>77</v>
      </c>
    </row>
    <row r="58" spans="1:95" ht="15" customHeight="1" x14ac:dyDescent="0.2">
      <c r="A58" s="88"/>
      <c r="B58" s="89"/>
      <c r="C58" s="89"/>
      <c r="D58" s="89"/>
      <c r="E58" s="89"/>
      <c r="F58" s="89"/>
      <c r="G58" s="89"/>
      <c r="H58" s="89"/>
      <c r="I58" s="90"/>
      <c r="K58" s="12" t="s">
        <v>428</v>
      </c>
      <c r="L58" s="25" t="s">
        <v>429</v>
      </c>
      <c r="M58" s="13"/>
      <c r="N58" s="13"/>
      <c r="O58" s="13"/>
      <c r="P58" s="13"/>
      <c r="Q58" s="13"/>
      <c r="R58" s="13"/>
      <c r="S58" s="13"/>
      <c r="U58" s="301" t="s">
        <v>305</v>
      </c>
      <c r="V58" s="301"/>
      <c r="W58" s="301"/>
      <c r="X58" s="301"/>
      <c r="Y58" s="301"/>
      <c r="Z58" s="301"/>
      <c r="AA58" s="301"/>
      <c r="AB58" s="301"/>
      <c r="AC58" s="301"/>
      <c r="AE58" s="301" t="s">
        <v>341</v>
      </c>
      <c r="AF58" s="301"/>
      <c r="AG58" s="301"/>
      <c r="AH58" s="301"/>
      <c r="AI58" s="301"/>
      <c r="AJ58" s="301"/>
      <c r="AK58" s="301"/>
      <c r="AL58" s="301"/>
      <c r="AM58" s="301"/>
      <c r="AO58" s="301" t="s">
        <v>161</v>
      </c>
      <c r="AP58" s="301"/>
      <c r="AQ58" s="301"/>
      <c r="AR58" s="301"/>
      <c r="AS58" s="301"/>
      <c r="AT58" s="301"/>
      <c r="AU58" s="301"/>
      <c r="AV58" s="301"/>
      <c r="AW58" s="301"/>
      <c r="AY58" s="301" t="s">
        <v>344</v>
      </c>
      <c r="AZ58" s="301"/>
      <c r="BA58" s="301"/>
      <c r="BB58" s="301"/>
      <c r="BC58" s="301"/>
      <c r="BD58" s="301"/>
      <c r="BE58" s="301"/>
      <c r="BF58" s="301"/>
      <c r="BG58" s="301"/>
      <c r="BI58" s="301" t="s">
        <v>345</v>
      </c>
      <c r="BJ58" s="301"/>
      <c r="BK58" s="301"/>
      <c r="BL58" s="301"/>
      <c r="BM58" s="301"/>
      <c r="BN58" s="301"/>
      <c r="BO58" s="301"/>
      <c r="BP58" s="301"/>
      <c r="BQ58" s="301"/>
      <c r="BR58" s="13"/>
      <c r="BS58" s="301" t="s">
        <v>501</v>
      </c>
      <c r="BT58" s="301"/>
      <c r="BU58" s="301"/>
      <c r="BV58" s="301"/>
      <c r="BW58" s="301"/>
      <c r="BX58" s="301"/>
      <c r="BY58" s="301"/>
      <c r="BZ58" s="301"/>
      <c r="CA58" s="301"/>
      <c r="CC58" s="12" t="s">
        <v>504</v>
      </c>
      <c r="CD58" s="25" t="s">
        <v>503</v>
      </c>
      <c r="CE58" s="13"/>
      <c r="CF58" s="13"/>
      <c r="CG58" s="13"/>
      <c r="CH58" s="13"/>
      <c r="CI58" s="13"/>
      <c r="CJ58" s="13"/>
      <c r="CK58" s="13"/>
      <c r="CN58" s="25" t="s">
        <v>66</v>
      </c>
    </row>
    <row r="59" spans="1:95" ht="15" customHeight="1" x14ac:dyDescent="0.2">
      <c r="A59" s="88"/>
      <c r="B59" s="89"/>
      <c r="C59" s="89"/>
      <c r="D59" s="89"/>
      <c r="E59" s="89"/>
      <c r="F59" s="89"/>
      <c r="G59" s="89"/>
      <c r="H59" s="89"/>
      <c r="I59" s="90"/>
      <c r="K59" s="12" t="s">
        <v>512</v>
      </c>
      <c r="L59" s="25" t="s">
        <v>513</v>
      </c>
      <c r="U59" s="301"/>
      <c r="V59" s="301"/>
      <c r="W59" s="301"/>
      <c r="X59" s="301"/>
      <c r="Y59" s="301"/>
      <c r="Z59" s="301"/>
      <c r="AA59" s="301"/>
      <c r="AB59" s="301"/>
      <c r="AC59" s="301"/>
      <c r="AE59" s="301"/>
      <c r="AF59" s="301"/>
      <c r="AG59" s="301"/>
      <c r="AH59" s="301"/>
      <c r="AI59" s="301"/>
      <c r="AJ59" s="301"/>
      <c r="AK59" s="301"/>
      <c r="AL59" s="301"/>
      <c r="AM59" s="301"/>
      <c r="AO59" s="301"/>
      <c r="AP59" s="301"/>
      <c r="AQ59" s="301"/>
      <c r="AR59" s="301"/>
      <c r="AS59" s="301"/>
      <c r="AT59" s="301"/>
      <c r="AU59" s="301"/>
      <c r="AV59" s="301"/>
      <c r="AW59" s="301"/>
      <c r="AY59" s="301"/>
      <c r="AZ59" s="301"/>
      <c r="BA59" s="301"/>
      <c r="BB59" s="301"/>
      <c r="BC59" s="301"/>
      <c r="BD59" s="301"/>
      <c r="BE59" s="301"/>
      <c r="BF59" s="301"/>
      <c r="BG59" s="301"/>
      <c r="BI59" s="301"/>
      <c r="BJ59" s="301"/>
      <c r="BK59" s="301"/>
      <c r="BL59" s="301"/>
      <c r="BM59" s="301"/>
      <c r="BN59" s="301"/>
      <c r="BO59" s="301"/>
      <c r="BP59" s="301"/>
      <c r="BQ59" s="301"/>
      <c r="BR59" s="13"/>
      <c r="BS59" s="301"/>
      <c r="BT59" s="301"/>
      <c r="BU59" s="301"/>
      <c r="BV59" s="301"/>
      <c r="BW59" s="301"/>
      <c r="BX59" s="301"/>
      <c r="BY59" s="301"/>
      <c r="BZ59" s="301"/>
      <c r="CA59" s="301"/>
      <c r="CC59" s="25" t="s">
        <v>493</v>
      </c>
      <c r="CD59" s="13"/>
      <c r="CE59" s="13"/>
      <c r="CF59" s="13"/>
      <c r="CG59" s="13"/>
      <c r="CH59" s="13"/>
      <c r="CI59" s="13"/>
      <c r="CJ59" s="13"/>
      <c r="CK59" s="13"/>
    </row>
    <row r="60" spans="1:95" ht="15" customHeight="1" x14ac:dyDescent="0.2">
      <c r="A60" s="88"/>
      <c r="B60" s="89"/>
      <c r="C60" s="89"/>
      <c r="D60" s="89"/>
      <c r="E60" s="89"/>
      <c r="F60" s="89"/>
      <c r="G60" s="89"/>
      <c r="H60" s="89"/>
      <c r="I60" s="90"/>
      <c r="L60" s="25" t="s">
        <v>486</v>
      </c>
      <c r="U60" s="25" t="s">
        <v>328</v>
      </c>
      <c r="AJ60" s="15"/>
      <c r="AK60" s="13"/>
      <c r="AM60" s="11"/>
      <c r="AO60" s="12" t="s">
        <v>433</v>
      </c>
      <c r="AP60" s="25" t="s">
        <v>448</v>
      </c>
      <c r="AY60" s="12" t="s">
        <v>325</v>
      </c>
      <c r="AZ60" s="25" t="s">
        <v>268</v>
      </c>
      <c r="BI60" s="25" t="s">
        <v>123</v>
      </c>
      <c r="BS60" s="12" t="s">
        <v>224</v>
      </c>
      <c r="BT60" s="12" t="s">
        <v>450</v>
      </c>
      <c r="BU60" s="25" t="s">
        <v>225</v>
      </c>
      <c r="BV60" s="13"/>
      <c r="BW60" s="13"/>
      <c r="BX60" s="13"/>
      <c r="BY60" s="13"/>
      <c r="BZ60" s="13"/>
      <c r="CA60" s="13"/>
      <c r="CC60" s="25" t="s">
        <v>1208</v>
      </c>
      <c r="CD60" s="13"/>
      <c r="CE60" s="13"/>
      <c r="CF60" s="13"/>
      <c r="CG60" s="13"/>
      <c r="CH60" s="13"/>
      <c r="CI60" s="13"/>
      <c r="CJ60" s="13"/>
      <c r="CK60" s="13"/>
      <c r="CN60" s="74" t="s">
        <v>333</v>
      </c>
      <c r="CO60" s="25" t="s">
        <v>193</v>
      </c>
    </row>
    <row r="61" spans="1:95" ht="15" customHeight="1" x14ac:dyDescent="0.2">
      <c r="A61" s="88"/>
      <c r="B61" s="89"/>
      <c r="C61" s="89"/>
      <c r="D61" s="89"/>
      <c r="E61" s="89"/>
      <c r="F61" s="89"/>
      <c r="G61" s="89"/>
      <c r="H61" s="89"/>
      <c r="I61" s="90"/>
      <c r="U61" s="297" t="s">
        <v>25</v>
      </c>
      <c r="V61" s="107" t="s">
        <v>168</v>
      </c>
      <c r="W61" s="109"/>
      <c r="X61" s="109"/>
      <c r="Y61" s="109"/>
      <c r="Z61" s="109"/>
      <c r="AA61" s="109"/>
      <c r="AB61" s="110"/>
      <c r="AC61" s="44"/>
      <c r="AE61" s="12" t="s">
        <v>233</v>
      </c>
      <c r="AF61" s="25" t="s">
        <v>301</v>
      </c>
      <c r="AN61" s="36"/>
      <c r="AO61" s="12" t="s">
        <v>232</v>
      </c>
      <c r="AP61" s="25" t="s">
        <v>434</v>
      </c>
      <c r="AY61" s="25" t="s">
        <v>40</v>
      </c>
      <c r="BI61" s="12" t="s">
        <v>489</v>
      </c>
      <c r="BJ61" s="25" t="s">
        <v>278</v>
      </c>
      <c r="BS61" s="12" t="s">
        <v>491</v>
      </c>
      <c r="BT61" s="25" t="s">
        <v>316</v>
      </c>
      <c r="BU61" s="13"/>
      <c r="BV61" s="13"/>
      <c r="BW61" s="13"/>
      <c r="BX61" s="13"/>
      <c r="BZ61" s="13"/>
      <c r="CA61" s="13"/>
      <c r="CC61" s="25" t="s">
        <v>441</v>
      </c>
      <c r="CE61" s="13"/>
      <c r="CF61" s="13"/>
      <c r="CG61" s="13"/>
      <c r="CH61" s="13"/>
      <c r="CI61" s="13"/>
      <c r="CJ61" s="13"/>
      <c r="CK61" s="13"/>
      <c r="CO61" s="22" t="s">
        <v>195</v>
      </c>
    </row>
    <row r="62" spans="1:95" ht="15" customHeight="1" x14ac:dyDescent="0.2">
      <c r="A62" s="88"/>
      <c r="B62" s="89"/>
      <c r="C62" s="89"/>
      <c r="D62" s="89"/>
      <c r="E62" s="89"/>
      <c r="F62" s="89"/>
      <c r="G62" s="89"/>
      <c r="H62" s="89"/>
      <c r="I62" s="90"/>
      <c r="K62" s="295" t="str">
        <f>IF(COUNTIF(S63:S70,"BLANK"),"BLANK",IF(OR(SUMPRODUCT(--ISERROR(S63:S70))&gt;0,COUNTIF(S63:S70,"REJECT")),"REJECT",IF(COUNTIF(S63:S70,"CHECK"),"CHECK","EQ")))</f>
        <v>EQ</v>
      </c>
      <c r="L62" s="295"/>
      <c r="M62" s="295"/>
      <c r="N62" s="295"/>
      <c r="O62" s="295"/>
      <c r="P62" s="295"/>
      <c r="Q62" s="295"/>
      <c r="R62" s="295"/>
      <c r="S62" s="295"/>
      <c r="U62" s="297"/>
      <c r="V62" s="108" t="s">
        <v>169</v>
      </c>
      <c r="W62" s="113"/>
      <c r="X62" s="113"/>
      <c r="Y62" s="113"/>
      <c r="Z62" s="113"/>
      <c r="AA62" s="113"/>
      <c r="AB62" s="114"/>
      <c r="AC62" s="44"/>
      <c r="AE62" s="25" t="s">
        <v>315</v>
      </c>
      <c r="AN62" s="36"/>
      <c r="AO62" s="12" t="s">
        <v>318</v>
      </c>
      <c r="AP62" s="25" t="s">
        <v>263</v>
      </c>
      <c r="AY62" s="25" t="s">
        <v>32</v>
      </c>
      <c r="BI62" s="12"/>
      <c r="BV62" s="13"/>
      <c r="BW62" s="13"/>
      <c r="BX62" s="13"/>
      <c r="BY62" s="13"/>
      <c r="BZ62" s="13"/>
      <c r="CA62" s="13"/>
      <c r="CC62" s="12" t="s">
        <v>505</v>
      </c>
      <c r="CD62" s="25" t="s">
        <v>346</v>
      </c>
      <c r="CO62" s="22" t="s">
        <v>194</v>
      </c>
    </row>
    <row r="63" spans="1:95" ht="15" customHeight="1" thickBot="1" x14ac:dyDescent="0.25">
      <c r="A63" s="88"/>
      <c r="B63" s="89"/>
      <c r="C63" s="89"/>
      <c r="D63" s="89"/>
      <c r="E63" s="89"/>
      <c r="F63" s="89"/>
      <c r="G63" s="89"/>
      <c r="H63" s="89"/>
      <c r="I63" s="90"/>
      <c r="K63" s="12" t="s">
        <v>311</v>
      </c>
      <c r="L63" s="35" t="s">
        <v>20</v>
      </c>
      <c r="M63" s="11"/>
      <c r="N63" s="11"/>
      <c r="O63" s="11"/>
      <c r="P63" s="12" t="s">
        <v>142</v>
      </c>
      <c r="Q63" s="296" t="s">
        <v>143</v>
      </c>
      <c r="R63" s="296"/>
      <c r="S63" s="11" t="s">
        <v>56</v>
      </c>
      <c r="U63" s="297" t="s">
        <v>26</v>
      </c>
      <c r="V63" s="107" t="s">
        <v>171</v>
      </c>
      <c r="W63" s="109"/>
      <c r="X63" s="109"/>
      <c r="Y63" s="109"/>
      <c r="Z63" s="109"/>
      <c r="AA63" s="109"/>
      <c r="AB63" s="110"/>
      <c r="AC63" s="44"/>
      <c r="AE63" s="12" t="s">
        <v>253</v>
      </c>
      <c r="AF63" s="25" t="s">
        <v>302</v>
      </c>
      <c r="AN63" s="36"/>
      <c r="AO63" s="11"/>
      <c r="BI63" s="295" t="str">
        <f>IF(COUNTIF(BQ64,"BLANK"),"BLANK",IF(OR(SUMPRODUCT(--ISERROR(BQ64))&gt;0,COUNTIF(BQ64,"REJECT")),"REJECT",IF(COUNTIF(BQ64,"CHECK"),"CHECK","EQ")))</f>
        <v>EQ</v>
      </c>
      <c r="BJ63" s="295"/>
      <c r="BK63" s="295"/>
      <c r="BL63" s="295"/>
      <c r="BM63" s="295"/>
      <c r="BN63" s="295"/>
      <c r="BO63" s="295"/>
      <c r="BP63" s="295"/>
      <c r="BQ63" s="295"/>
      <c r="BR63" s="11"/>
      <c r="BS63" s="12" t="s">
        <v>491</v>
      </c>
      <c r="BT63" s="25" t="s">
        <v>492</v>
      </c>
      <c r="BU63" s="13"/>
      <c r="BV63" s="13"/>
      <c r="BW63" s="13"/>
      <c r="BX63" s="13"/>
      <c r="BY63" s="13"/>
      <c r="BZ63" s="13"/>
      <c r="CA63" s="13"/>
      <c r="CC63" s="12" t="s">
        <v>506</v>
      </c>
      <c r="CD63" s="25" t="s">
        <v>411</v>
      </c>
      <c r="CE63" s="13"/>
      <c r="CF63" s="13"/>
      <c r="CG63" s="13"/>
      <c r="CH63" s="13"/>
      <c r="CI63" s="13"/>
      <c r="CJ63" s="13"/>
      <c r="CK63" s="13"/>
      <c r="CN63" s="74"/>
    </row>
    <row r="64" spans="1:95" ht="15" customHeight="1" thickBot="1" x14ac:dyDescent="0.25">
      <c r="A64" s="88"/>
      <c r="B64" s="89"/>
      <c r="C64" s="89"/>
      <c r="D64" s="89"/>
      <c r="E64" s="89"/>
      <c r="F64" s="89"/>
      <c r="G64" s="89"/>
      <c r="H64" s="89"/>
      <c r="I64" s="90"/>
      <c r="K64" s="12" t="s">
        <v>355</v>
      </c>
      <c r="L64" s="25" t="str">
        <f>IF($A$25="mm",
"Example: 25mm x 2.5mm round",
"Example: 1.0in x 0.095in round")</f>
        <v>Example: 1.0in x 0.095in round</v>
      </c>
      <c r="M64" s="15"/>
      <c r="N64" s="15"/>
      <c r="O64" s="15"/>
      <c r="P64" s="11" t="s">
        <v>156</v>
      </c>
      <c r="Q64" s="80" t="s">
        <v>3</v>
      </c>
      <c r="S64" s="11" t="str">
        <f>IF(Q64="","BLANK","EQ")</f>
        <v>EQ</v>
      </c>
      <c r="U64" s="297"/>
      <c r="V64" s="108" t="s">
        <v>169</v>
      </c>
      <c r="W64" s="113"/>
      <c r="X64" s="113"/>
      <c r="Y64" s="113"/>
      <c r="Z64" s="113"/>
      <c r="AA64" s="113"/>
      <c r="AB64" s="114"/>
      <c r="AC64" s="44"/>
      <c r="AE64" s="25" t="s">
        <v>176</v>
      </c>
      <c r="AN64" s="36"/>
      <c r="AO64" s="12" t="s">
        <v>260</v>
      </c>
      <c r="AP64" s="25" t="s">
        <v>257</v>
      </c>
      <c r="AY64" s="12" t="s">
        <v>210</v>
      </c>
      <c r="AZ64" s="25" t="s">
        <v>271</v>
      </c>
      <c r="BI64" s="12" t="s">
        <v>488</v>
      </c>
      <c r="BK64" s="15"/>
      <c r="BL64" s="15"/>
      <c r="BM64" s="15"/>
      <c r="BN64" s="15" t="s">
        <v>35</v>
      </c>
      <c r="BO64" s="16">
        <v>3.48</v>
      </c>
      <c r="BP64" s="25" t="str">
        <f>IF($A$25="mm","mm","in")</f>
        <v>in</v>
      </c>
      <c r="BQ64" s="11" t="str">
        <f>IF(BO64="","BLANK",IF(OR(AND($A$25="mm",ABS(BO64)&gt;=50),AND($A$25="Inch",ABS(BO64)&gt;=2)),"EQ","REJECT"))</f>
        <v>EQ</v>
      </c>
      <c r="BR64" s="11"/>
      <c r="BS64" s="25" t="s">
        <v>493</v>
      </c>
      <c r="BT64" s="13"/>
      <c r="BU64" s="13"/>
      <c r="BV64" s="13"/>
      <c r="BW64" s="13"/>
      <c r="BX64" s="13"/>
      <c r="BY64" s="13"/>
      <c r="BZ64" s="13"/>
      <c r="CA64" s="13"/>
      <c r="CC64" s="25" t="s">
        <v>507</v>
      </c>
      <c r="CD64" s="13"/>
      <c r="CE64" s="13"/>
      <c r="CF64" s="13"/>
      <c r="CG64" s="13"/>
      <c r="CH64" s="13"/>
      <c r="CI64" s="13"/>
      <c r="CJ64" s="13"/>
      <c r="CK64" s="13"/>
      <c r="CN64" s="25" t="s">
        <v>67</v>
      </c>
    </row>
    <row r="65" spans="1:102" ht="15" customHeight="1" x14ac:dyDescent="0.2">
      <c r="A65" s="88"/>
      <c r="B65" s="89"/>
      <c r="C65" s="89"/>
      <c r="D65" s="89"/>
      <c r="E65" s="89"/>
      <c r="F65" s="89"/>
      <c r="G65" s="89"/>
      <c r="H65" s="89"/>
      <c r="I65" s="90"/>
      <c r="K65" s="12" t="s">
        <v>356</v>
      </c>
      <c r="L65" s="25"/>
      <c r="M65" s="15"/>
      <c r="N65" s="15"/>
      <c r="O65" s="15" t="s">
        <v>18</v>
      </c>
      <c r="P65" s="75">
        <f>IF($A$25="mm",2,0.079)</f>
        <v>7.9000000000000001E-2</v>
      </c>
      <c r="Q65" s="16">
        <v>9.5000000000000001E-2</v>
      </c>
      <c r="R65" s="25" t="str">
        <f>IF($A$25="mm","mm","in")</f>
        <v>in</v>
      </c>
      <c r="S65" s="11" t="str">
        <f>IF(Q65="","BLANK",IF(Q65&lt;P65,"REJECT","EQ"))</f>
        <v>EQ</v>
      </c>
      <c r="T65" s="36"/>
      <c r="U65" s="297" t="s">
        <v>27</v>
      </c>
      <c r="V65" s="107" t="s">
        <v>171</v>
      </c>
      <c r="W65" s="109"/>
      <c r="X65" s="109"/>
      <c r="Y65" s="109"/>
      <c r="Z65" s="109"/>
      <c r="AA65" s="109"/>
      <c r="AB65" s="110"/>
      <c r="AC65" s="44"/>
      <c r="AE65" s="12" t="s">
        <v>254</v>
      </c>
      <c r="AF65" s="25" t="s">
        <v>256</v>
      </c>
      <c r="AN65" s="36"/>
      <c r="AO65" s="12" t="s">
        <v>261</v>
      </c>
      <c r="AP65" s="25" t="s">
        <v>258</v>
      </c>
      <c r="AY65" s="12" t="s">
        <v>269</v>
      </c>
      <c r="AZ65" s="25" t="s">
        <v>272</v>
      </c>
      <c r="BA65" s="35"/>
      <c r="BB65" s="35"/>
      <c r="BC65" s="35"/>
      <c r="BD65" s="35"/>
      <c r="BE65" s="35"/>
      <c r="BF65" s="35"/>
      <c r="BG65" s="35"/>
      <c r="BV65" s="13"/>
      <c r="BW65" s="13"/>
      <c r="BX65" s="13"/>
      <c r="BY65" s="13"/>
      <c r="BZ65" s="13"/>
      <c r="CA65" s="13"/>
      <c r="CB65" s="36"/>
      <c r="CC65" s="25" t="s">
        <v>207</v>
      </c>
      <c r="CD65" s="13"/>
      <c r="CE65" s="13"/>
      <c r="CF65" s="13"/>
      <c r="CG65" s="13"/>
      <c r="CH65" s="13"/>
      <c r="CI65" s="13"/>
      <c r="CJ65" s="13"/>
      <c r="CK65" s="13"/>
    </row>
    <row r="66" spans="1:102" ht="15" customHeight="1" thickBot="1" x14ac:dyDescent="0.25">
      <c r="A66" s="88"/>
      <c r="B66" s="89"/>
      <c r="C66" s="89"/>
      <c r="D66" s="89"/>
      <c r="E66" s="89"/>
      <c r="F66" s="89"/>
      <c r="G66" s="89"/>
      <c r="H66" s="89"/>
      <c r="I66" s="90"/>
      <c r="J66" s="36"/>
      <c r="K66" s="25"/>
      <c r="L66" s="25"/>
      <c r="M66" s="15"/>
      <c r="N66" s="15"/>
      <c r="O66" s="15" t="str">
        <f>IF(Q64="Round","Outer Diameter (OD):","Square side:")</f>
        <v>Outer Diameter (OD):</v>
      </c>
      <c r="P66" s="75">
        <f>IF($A$25="mm",25,0.984)</f>
        <v>0.98399999999999999</v>
      </c>
      <c r="Q66" s="16">
        <v>1</v>
      </c>
      <c r="R66" s="25" t="str">
        <f>IF($A$25="mm","mm","in")</f>
        <v>in</v>
      </c>
      <c r="S66" s="11" t="str">
        <f t="shared" ref="S66:S70" si="0">IF(Q66="","BLANK",IF(Q66&lt;P66,"REJECT","EQ"))</f>
        <v>EQ</v>
      </c>
      <c r="T66" s="36"/>
      <c r="U66" s="297"/>
      <c r="V66" s="111" t="s">
        <v>170</v>
      </c>
      <c r="W66" s="44"/>
      <c r="X66" s="44"/>
      <c r="Y66" s="44"/>
      <c r="Z66" s="44"/>
      <c r="AA66" s="44"/>
      <c r="AB66" s="112"/>
      <c r="AC66" s="44"/>
      <c r="AE66" s="12" t="s">
        <v>255</v>
      </c>
      <c r="AF66" s="25" t="s">
        <v>303</v>
      </c>
      <c r="AN66" s="36"/>
      <c r="AO66" s="12" t="s">
        <v>262</v>
      </c>
      <c r="AP66" s="25" t="s">
        <v>259</v>
      </c>
      <c r="AY66" s="25" t="s">
        <v>164</v>
      </c>
      <c r="AZ66" s="35"/>
      <c r="BA66" s="35"/>
      <c r="BB66" s="35"/>
      <c r="BC66" s="35"/>
      <c r="BD66" s="35"/>
      <c r="BE66" s="35"/>
      <c r="BF66" s="35"/>
      <c r="BG66" s="35"/>
      <c r="BI66" s="295" t="str">
        <f>IF(COUNTIF(BQ67:BQ68,"BLANK"),"BLANK",IF(OR(SUMPRODUCT(--ISERROR(BQ67:BQ68))&gt;0,COUNTIF(BQ67:BQ68,"REJECT")),"REJECT",IF(COUNTIF(BQ67:BQ68,"CHECK"),"CHECK","EQ")))</f>
        <v>EQ</v>
      </c>
      <c r="BJ66" s="295"/>
      <c r="BK66" s="295"/>
      <c r="BL66" s="295"/>
      <c r="BM66" s="295"/>
      <c r="BN66" s="295"/>
      <c r="BO66" s="295"/>
      <c r="BP66" s="295"/>
      <c r="BQ66" s="295"/>
      <c r="BR66" s="11"/>
      <c r="BS66" s="12" t="s">
        <v>279</v>
      </c>
      <c r="BT66" s="25" t="s">
        <v>494</v>
      </c>
      <c r="BV66" s="13"/>
      <c r="BW66" s="13"/>
      <c r="BX66" s="13"/>
      <c r="BY66" s="13"/>
      <c r="BZ66" s="13"/>
      <c r="CA66" s="13"/>
      <c r="CB66" s="36"/>
      <c r="CN66" s="33" t="s">
        <v>183</v>
      </c>
    </row>
    <row r="67" spans="1:102" ht="15" customHeight="1" thickBot="1" x14ac:dyDescent="0.25">
      <c r="A67" s="88"/>
      <c r="B67" s="89"/>
      <c r="C67" s="89"/>
      <c r="D67" s="89"/>
      <c r="E67" s="89"/>
      <c r="F67" s="89"/>
      <c r="G67" s="89"/>
      <c r="H67" s="89"/>
      <c r="I67" s="90"/>
      <c r="K67" s="25"/>
      <c r="L67" s="25"/>
      <c r="M67" s="15"/>
      <c r="N67" s="15"/>
      <c r="O67" s="15" t="s">
        <v>18</v>
      </c>
      <c r="P67" s="28">
        <v>2</v>
      </c>
      <c r="Q67" s="11">
        <f>IF(Q65="","",IF($A$25="mm",Q65,ROUND(Q65*25.4,1)))</f>
        <v>2.4</v>
      </c>
      <c r="R67" s="25" t="s">
        <v>141</v>
      </c>
      <c r="S67" s="11" t="str">
        <f t="shared" si="0"/>
        <v>EQ</v>
      </c>
      <c r="U67" s="297"/>
      <c r="V67" s="108" t="s">
        <v>172</v>
      </c>
      <c r="W67" s="113"/>
      <c r="X67" s="113"/>
      <c r="Y67" s="113"/>
      <c r="Z67" s="113"/>
      <c r="AA67" s="113"/>
      <c r="AB67" s="114"/>
      <c r="AC67" s="44"/>
      <c r="AO67" s="12" t="s">
        <v>262</v>
      </c>
      <c r="AP67" s="25" t="s">
        <v>267</v>
      </c>
      <c r="AY67" s="12" t="s">
        <v>270</v>
      </c>
      <c r="AZ67" s="25" t="s">
        <v>273</v>
      </c>
      <c r="BA67" s="35"/>
      <c r="BB67" s="35"/>
      <c r="BC67" s="35"/>
      <c r="BD67" s="35"/>
      <c r="BE67" s="35"/>
      <c r="BF67" s="35"/>
      <c r="BG67" s="35"/>
      <c r="BI67" s="12" t="s">
        <v>490</v>
      </c>
      <c r="BK67" s="15"/>
      <c r="BL67" s="15"/>
      <c r="BM67" s="15"/>
      <c r="BN67" s="15" t="s">
        <v>36</v>
      </c>
      <c r="BO67" s="80" t="s">
        <v>1225</v>
      </c>
      <c r="BQ67" s="11" t="str">
        <f>IF(BO67="","BLANK","EQ")</f>
        <v>EQ</v>
      </c>
      <c r="BR67" s="11"/>
      <c r="BS67" s="25" t="s">
        <v>412</v>
      </c>
      <c r="BT67" s="13"/>
      <c r="BU67" s="13"/>
      <c r="BV67" s="13"/>
      <c r="BW67" s="13"/>
      <c r="BX67" s="13"/>
      <c r="BY67" s="13"/>
      <c r="BZ67" s="13"/>
      <c r="CA67" s="13"/>
      <c r="CC67" s="295" t="str">
        <f>IF(COUNTIF(CK69:CK76,"BLANK"),"BLANK",IF(OR(SUMPRODUCT(--ISERROR(CK69:CK76))&gt;0,COUNTIF(CK69:CK76,"REJECT")),"REJECT",IF(COUNTIF(CK69:CK76,"CHECK"),"CHECK","EQ")))</f>
        <v>EQ</v>
      </c>
      <c r="CD67" s="295"/>
      <c r="CE67" s="295"/>
      <c r="CF67" s="295"/>
      <c r="CG67" s="295"/>
      <c r="CH67" s="295"/>
      <c r="CI67" s="295"/>
      <c r="CJ67" s="295"/>
      <c r="CK67" s="295"/>
      <c r="CN67" s="22"/>
    </row>
    <row r="68" spans="1:102" ht="15" customHeight="1" thickBot="1" x14ac:dyDescent="0.25">
      <c r="A68" s="88"/>
      <c r="B68" s="89"/>
      <c r="C68" s="89"/>
      <c r="D68" s="89"/>
      <c r="E68" s="89"/>
      <c r="F68" s="89"/>
      <c r="G68" s="89"/>
      <c r="H68" s="89"/>
      <c r="I68" s="90"/>
      <c r="K68" s="25"/>
      <c r="L68" s="25"/>
      <c r="M68" s="15"/>
      <c r="N68" s="15"/>
      <c r="O68" s="15" t="str">
        <f>IF(Q64="Round","Outer Diameter (OD):","Square side:")</f>
        <v>Outer Diameter (OD):</v>
      </c>
      <c r="P68" s="28">
        <v>25</v>
      </c>
      <c r="Q68" s="11">
        <f>IF(Q66="","",IF($A$25="mm",Q66,ROUND(Q66*25.4,1)))</f>
        <v>25.4</v>
      </c>
      <c r="R68" s="25" t="s">
        <v>141</v>
      </c>
      <c r="S68" s="11" t="str">
        <f t="shared" si="0"/>
        <v>EQ</v>
      </c>
      <c r="U68" s="12" t="s">
        <v>239</v>
      </c>
      <c r="V68" s="25" t="s">
        <v>234</v>
      </c>
      <c r="AE68" s="295" t="str">
        <f>IF(COUNTIF(AM69:AM77,"BLANK"),"BLANK",IF(OR(SUMPRODUCT(--ISERROR(AM69:AM77))&gt;0,COUNTIF(AM69:AM77,"REJECT")),"REJECT",IF(COUNTIF(AM69:AM77,"CHECK"),"CHECK","EQ")))</f>
        <v>EQ</v>
      </c>
      <c r="AF68" s="295"/>
      <c r="AG68" s="295"/>
      <c r="AH68" s="295"/>
      <c r="AI68" s="295"/>
      <c r="AJ68" s="295"/>
      <c r="AK68" s="295"/>
      <c r="AL68" s="295"/>
      <c r="AM68" s="295"/>
      <c r="AO68" s="12" t="s">
        <v>262</v>
      </c>
      <c r="AP68" s="25" t="s">
        <v>266</v>
      </c>
      <c r="AY68" s="25" t="s">
        <v>165</v>
      </c>
      <c r="AZ68" s="35"/>
      <c r="BA68" s="35"/>
      <c r="BB68" s="35"/>
      <c r="BC68" s="35"/>
      <c r="BD68" s="35"/>
      <c r="BE68" s="35"/>
      <c r="BF68" s="35"/>
      <c r="BG68" s="35"/>
      <c r="BI68" s="12" t="s">
        <v>490</v>
      </c>
      <c r="BK68" s="15"/>
      <c r="BL68" s="15"/>
      <c r="BM68" s="15"/>
      <c r="BN68" s="15" t="str">
        <f>IF(BO67="Rearward","Helmet &gt;=50mm (2in) below MH to bottom of MHB:","Helmet &gt;=0 ahead of Main Hoop rear surface:")</f>
        <v>Helmet &gt;=50mm (2in) below MH to bottom of MHB:</v>
      </c>
      <c r="BO68" s="16">
        <v>2.4300000000000002</v>
      </c>
      <c r="BP68" s="25" t="str">
        <f>IF($A$25="mm","mm","in")</f>
        <v>in</v>
      </c>
      <c r="BQ68" s="11" t="str">
        <f>IF(BO68="","BLANK",IF(OR(AND(BO67="Forward",BO68&gt;=0),AND($A$25="mm",BO68&gt;=50),AND($A$25="Inch",BO68&gt;=2)),"EQ","REJECT"))</f>
        <v>EQ</v>
      </c>
      <c r="BR68" s="11"/>
      <c r="BS68" s="12" t="s">
        <v>226</v>
      </c>
      <c r="BT68" s="12" t="s">
        <v>455</v>
      </c>
      <c r="BU68" s="25" t="s">
        <v>495</v>
      </c>
      <c r="BV68" s="13"/>
      <c r="BW68" s="13"/>
      <c r="BX68" s="13"/>
      <c r="BY68" s="13"/>
      <c r="BZ68" s="13"/>
      <c r="CA68" s="13"/>
      <c r="CC68" s="12" t="str">
        <f>IF(CI68&gt;=100,"F.11.3.1.b","F.11.3.1.a")</f>
        <v>F.11.3.1.a</v>
      </c>
      <c r="CD68" s="11"/>
      <c r="CE68" s="11"/>
      <c r="CF68" s="11"/>
      <c r="CG68" s="11"/>
      <c r="CH68" s="15" t="s">
        <v>481</v>
      </c>
      <c r="CI68" s="16"/>
      <c r="CJ68" s="25" t="str">
        <f>IF($A$25="mm","mm","in")</f>
        <v>in</v>
      </c>
      <c r="CK68" s="11" t="str">
        <f>IF($G$8="IC - Internal Combustion","N/A",
IF(CI68="","BLANK","EQ"))</f>
        <v>N/A</v>
      </c>
      <c r="CN68" s="33" t="s">
        <v>184</v>
      </c>
    </row>
    <row r="69" spans="1:102" ht="15" customHeight="1" thickBot="1" x14ac:dyDescent="0.25">
      <c r="A69" s="88"/>
      <c r="B69" s="89"/>
      <c r="C69" s="89"/>
      <c r="D69" s="89"/>
      <c r="E69" s="89"/>
      <c r="F69" s="89"/>
      <c r="G69" s="89"/>
      <c r="H69" s="89"/>
      <c r="I69" s="90"/>
      <c r="K69" s="25"/>
      <c r="L69" s="15"/>
      <c r="M69" s="15"/>
      <c r="N69" s="15"/>
      <c r="O69" s="15" t="s">
        <v>146</v>
      </c>
      <c r="P69" s="11">
        <v>173</v>
      </c>
      <c r="Q69" s="11">
        <f>IF(OR(Q65="",Q66=""),"",
IF(Q64="Round",
ROUND(PI()*((Q68/2)^2-((Q68-2*Q67)/2)^2),0),
ROUND(Q68^2-(Q68-2*Q67)^2,0)))</f>
        <v>173</v>
      </c>
      <c r="R69" s="25" t="s">
        <v>144</v>
      </c>
      <c r="S69" s="11" t="str">
        <f t="shared" si="0"/>
        <v>EQ</v>
      </c>
      <c r="U69" s="12" t="s">
        <v>237</v>
      </c>
      <c r="V69" s="25" t="s">
        <v>235</v>
      </c>
      <c r="AD69" s="12" t="s">
        <v>299</v>
      </c>
      <c r="AE69" s="12" t="s">
        <v>280</v>
      </c>
      <c r="AF69" s="35" t="s">
        <v>157</v>
      </c>
      <c r="AG69" s="15"/>
      <c r="AH69" s="15"/>
      <c r="AI69" s="15"/>
      <c r="AJ69" s="119"/>
      <c r="AK69" s="298" t="s">
        <v>1219</v>
      </c>
      <c r="AL69" s="300"/>
      <c r="AM69" s="11" t="str">
        <f>IF(AK69="","BLANK","EQ")</f>
        <v>EQ</v>
      </c>
      <c r="AO69" s="25" t="s">
        <v>177</v>
      </c>
      <c r="AY69" s="12" t="s">
        <v>210</v>
      </c>
      <c r="AZ69" s="25" t="s">
        <v>274</v>
      </c>
      <c r="BB69" s="44"/>
      <c r="BC69" s="44"/>
      <c r="BD69" s="44"/>
      <c r="BE69" s="44"/>
      <c r="BF69" s="44"/>
      <c r="BG69" s="44"/>
      <c r="BI69" s="12"/>
      <c r="BK69" s="15"/>
      <c r="BL69" s="15"/>
      <c r="BM69" s="15"/>
      <c r="BN69" s="15"/>
      <c r="BO69" s="11"/>
      <c r="BQ69" s="11"/>
      <c r="BS69" s="25" t="s">
        <v>456</v>
      </c>
      <c r="BV69" s="13"/>
      <c r="BW69" s="13"/>
      <c r="BX69" s="13"/>
      <c r="BY69" s="13"/>
      <c r="BZ69" s="13"/>
      <c r="CA69" s="13"/>
      <c r="CC69" s="12"/>
      <c r="CD69" s="35" t="str">
        <f>IF(CH70="Size B",
"Accumulator Rear Bulkhead",
"Tractive Rear Bulkhead")</f>
        <v>Accumulator Rear Bulkhead</v>
      </c>
      <c r="CE69" s="11"/>
      <c r="CF69" s="11"/>
      <c r="CG69" s="11"/>
      <c r="CH69" s="12" t="s">
        <v>142</v>
      </c>
      <c r="CI69" s="298"/>
      <c r="CJ69" s="300"/>
      <c r="CK69" s="11" t="str">
        <f>IF($G$8="IC - Internal Combustion","N/A",
IF(CI69="","BLANK","EQ"))</f>
        <v>N/A</v>
      </c>
      <c r="CN69" s="22" t="s">
        <v>202</v>
      </c>
    </row>
    <row r="70" spans="1:102" ht="15" customHeight="1" thickBot="1" x14ac:dyDescent="0.25">
      <c r="A70" s="88"/>
      <c r="B70" s="89"/>
      <c r="C70" s="89"/>
      <c r="D70" s="89"/>
      <c r="E70" s="89"/>
      <c r="F70" s="89"/>
      <c r="G70" s="89"/>
      <c r="H70" s="89"/>
      <c r="I70" s="90"/>
      <c r="K70" s="25"/>
      <c r="L70" s="15"/>
      <c r="M70" s="15"/>
      <c r="N70" s="15"/>
      <c r="O70" s="15" t="s">
        <v>147</v>
      </c>
      <c r="P70" s="11">
        <v>11320</v>
      </c>
      <c r="Q70" s="11">
        <f>IF(OR(Q65="",Q66=""),"",
IF(Q64="Round",
ROUND((PI()/4)*((Q68/2)^4-((Q68-2*Q67)/2)^4),0),
ROUND((Q68^4-(Q68-2*Q67)^4)/12,0)))</f>
        <v>11592</v>
      </c>
      <c r="R70" s="25" t="s">
        <v>145</v>
      </c>
      <c r="S70" s="11" t="str">
        <f t="shared" si="0"/>
        <v>EQ</v>
      </c>
      <c r="U70" s="12" t="s">
        <v>238</v>
      </c>
      <c r="V70" s="25" t="s">
        <v>236</v>
      </c>
      <c r="AD70" s="12" t="s">
        <v>299</v>
      </c>
      <c r="AE70" s="12"/>
      <c r="AG70" s="11"/>
      <c r="AH70" s="11"/>
      <c r="AI70" s="11"/>
      <c r="AJ70" s="12" t="s">
        <v>142</v>
      </c>
      <c r="AK70" s="296" t="s">
        <v>143</v>
      </c>
      <c r="AL70" s="296"/>
      <c r="AM70" s="11" t="s">
        <v>56</v>
      </c>
      <c r="AP70" s="32" t="s">
        <v>290</v>
      </c>
      <c r="AQ70" s="20" t="str">
        <f>HYPERLINK("https://www.fsaeonline.com/cdsweb/rqa/ViewFAQ.aspx?faqnum=284","https://www.fsaeonline.com/cdsweb/rqa/ViewFAQ.aspx?faqnum=284")</f>
        <v>https://www.fsaeonline.com/cdsweb/rqa/ViewFAQ.aspx?faqnum=284</v>
      </c>
      <c r="AY70" s="25" t="s">
        <v>240</v>
      </c>
      <c r="AZ70" s="44"/>
      <c r="BA70" s="44"/>
      <c r="BB70" s="44"/>
      <c r="BC70" s="44"/>
      <c r="BD70" s="44"/>
      <c r="BE70" s="44"/>
      <c r="BF70" s="44"/>
      <c r="BG70" s="44"/>
      <c r="BI70" s="35" t="s">
        <v>402</v>
      </c>
      <c r="BK70" s="15"/>
      <c r="BL70" s="15"/>
      <c r="BM70" s="15"/>
      <c r="BN70" s="15"/>
      <c r="BO70" s="11"/>
      <c r="BQ70" s="11"/>
      <c r="BV70" s="13"/>
      <c r="BW70" s="13"/>
      <c r="BX70" s="13"/>
      <c r="BY70" s="13"/>
      <c r="BZ70" s="13"/>
      <c r="CA70" s="13"/>
      <c r="CC70" s="12" t="str">
        <f>IF(CH70="Size B","F.3.2.1.m","F.3.2.1.n")</f>
        <v>F.3.2.1.m</v>
      </c>
      <c r="CD70" s="25" t="str">
        <f>IF(CH70="Size B",
IF($A$25="mm",
"Example: 25.4mm x 1.6mm round",
"Example: 1.0in x 0.065in round"),
IF($A$25="mm",
"Example: 25.4mm x 1.2mm round",
"Example: 1.0in x 0.047in round"))</f>
        <v>Example: 1.0in x 0.065in round</v>
      </c>
      <c r="CE70" s="15"/>
      <c r="CF70" s="15"/>
      <c r="CG70" s="15"/>
      <c r="CH70" s="11" t="str">
        <f>IF($A$25="mm",IF(CI68&gt;=100,"Size C","Size B"),
IF(CI68&gt;=3.937,"Size C","Size B"))</f>
        <v>Size B</v>
      </c>
      <c r="CI70" s="80"/>
      <c r="CK70" s="11" t="str">
        <f>IF(OR($G$8="IC - Internal Combustion",CI69="Billet Plate"),"N/A",
IF(CI70="","BLANK","EQ"))</f>
        <v>N/A</v>
      </c>
      <c r="CL70" s="36"/>
      <c r="CN70" s="22" t="s">
        <v>185</v>
      </c>
    </row>
    <row r="71" spans="1:102" ht="15" customHeight="1" thickBot="1" x14ac:dyDescent="0.25">
      <c r="A71" s="88"/>
      <c r="B71" s="89"/>
      <c r="C71" s="89"/>
      <c r="D71" s="89"/>
      <c r="E71" s="89"/>
      <c r="F71" s="89"/>
      <c r="G71" s="89"/>
      <c r="H71" s="89"/>
      <c r="I71" s="90"/>
      <c r="K71" s="25"/>
      <c r="L71" s="25"/>
      <c r="U71" s="25" t="s">
        <v>240</v>
      </c>
      <c r="AE71" s="12" t="str">
        <f>IF(AK69="Straight","F.3.2.1.e","F.3.2.1.f")</f>
        <v>F.3.2.1.e</v>
      </c>
      <c r="AF71" s="25" t="str">
        <f>IF(AK69="Straight",
IF($A$25="mm",
"Example: 25.4mm x 1.6mm round",
"Example: 1.0in x 0.065in round"),
IF($A$25="mm",
"Example: 35mm x 1.2mm round",
"Example: 1.375in x 0.047in round"))</f>
        <v>Example: 1.0in x 0.065in round</v>
      </c>
      <c r="AG71" s="15"/>
      <c r="AH71" s="15"/>
      <c r="AI71" s="15"/>
      <c r="AJ71" s="11" t="str">
        <f>IF(AK69="Straight","Size B", "Size D")</f>
        <v>Size B</v>
      </c>
      <c r="AK71" s="80" t="s">
        <v>3</v>
      </c>
      <c r="AM71" s="11" t="str">
        <f>IF(AK71="","BLANK","EQ")</f>
        <v>EQ</v>
      </c>
      <c r="AO71" s="295" t="str">
        <f>IF(COUNTIF(AW72:AW79,"BLANK"),"BLANK",IF(OR(SUMPRODUCT(--ISERROR(AW72:AW79))&gt;0,COUNTIF(AW72:AW79,"REJECT")),"REJECT",IF(COUNTIF(AW72:AW79,"CHECK"),"CHECK","EQ")))</f>
        <v>EQ</v>
      </c>
      <c r="AP71" s="295"/>
      <c r="AQ71" s="295"/>
      <c r="AR71" s="295"/>
      <c r="AS71" s="295"/>
      <c r="AT71" s="295"/>
      <c r="AU71" s="295"/>
      <c r="AV71" s="295"/>
      <c r="AW71" s="295"/>
      <c r="AY71" s="12" t="s">
        <v>269</v>
      </c>
      <c r="AZ71" s="25" t="s">
        <v>275</v>
      </c>
      <c r="BI71" s="12" t="s">
        <v>459</v>
      </c>
      <c r="BJ71" s="25" t="s">
        <v>458</v>
      </c>
      <c r="BK71" s="15"/>
      <c r="BL71" s="15"/>
      <c r="BM71" s="15"/>
      <c r="BN71" s="15"/>
      <c r="BO71" s="11"/>
      <c r="BQ71" s="11"/>
      <c r="BS71" s="12" t="s">
        <v>376</v>
      </c>
      <c r="BT71" s="25" t="s">
        <v>375</v>
      </c>
      <c r="BU71" s="13"/>
      <c r="BV71" s="13"/>
      <c r="BW71" s="13"/>
      <c r="BX71" s="13"/>
      <c r="BY71" s="13"/>
      <c r="BZ71" s="13"/>
      <c r="CA71" s="13"/>
      <c r="CC71" s="12" t="str">
        <f>IF(CH70="Size B","F.3.2.1.b","F.3.2.1.c")</f>
        <v>F.3.2.1.b</v>
      </c>
      <c r="CE71" s="15"/>
      <c r="CF71" s="15"/>
      <c r="CG71" s="15" t="s">
        <v>18</v>
      </c>
      <c r="CH71" s="75">
        <f>IF($A$25="mm",1.2,0.047)</f>
        <v>4.7E-2</v>
      </c>
      <c r="CI71" s="16"/>
      <c r="CJ71" s="25" t="str">
        <f>IF($A$25="mm","mm","in")</f>
        <v>in</v>
      </c>
      <c r="CK71" s="11" t="str">
        <f>IF(OR($G$8="IC - Internal Combustion",CI69="Billet Plate"),"N/A",
IF(CI71="","BLANK",IF(CI71&lt;CH71,"REJECT","EQ")))</f>
        <v>N/A</v>
      </c>
      <c r="CN71" s="22"/>
    </row>
    <row r="72" spans="1:102" ht="15" customHeight="1" thickBot="1" x14ac:dyDescent="0.25">
      <c r="A72" s="88"/>
      <c r="B72" s="89"/>
      <c r="C72" s="89"/>
      <c r="D72" s="89"/>
      <c r="E72" s="89"/>
      <c r="F72" s="89"/>
      <c r="G72" s="89"/>
      <c r="H72" s="89"/>
      <c r="I72" s="90"/>
      <c r="K72" s="295" t="str">
        <f>IF(COUNTIF(S73,"BLANK"),"BLANK",IF(OR(SUMPRODUCT(--ISERROR(S73))&gt;0,COUNTIF(S73,"REJECT")),"REJECT",IF(COUNTIF(S73,"CHECK"),"CHECK","EQ")))</f>
        <v>EQ</v>
      </c>
      <c r="L72" s="295"/>
      <c r="M72" s="295"/>
      <c r="N72" s="295"/>
      <c r="O72" s="295"/>
      <c r="P72" s="295"/>
      <c r="Q72" s="295"/>
      <c r="R72" s="295"/>
      <c r="S72" s="295"/>
      <c r="AE72" s="12" t="str">
        <f>IF(AK69="Straight","F.3.4.1.b","F.3.4.1.d")</f>
        <v>F.3.4.1.b</v>
      </c>
      <c r="AG72" s="15"/>
      <c r="AH72" s="15"/>
      <c r="AI72" s="15" t="s">
        <v>18</v>
      </c>
      <c r="AJ72" s="75">
        <f>IF($A$25="mm",1.2,0.047)</f>
        <v>4.7E-2</v>
      </c>
      <c r="AK72" s="16">
        <v>6.5000000000000002E-2</v>
      </c>
      <c r="AL72" s="25" t="str">
        <f>IF($A$25="mm","mm","in")</f>
        <v>in</v>
      </c>
      <c r="AM72" s="11" t="str">
        <f>IF(AK72="","BLANK",IF(AK72&lt;AJ72,"REJECT","EQ"))</f>
        <v>EQ</v>
      </c>
      <c r="AO72" s="12" t="s">
        <v>449</v>
      </c>
      <c r="AP72" s="35" t="s">
        <v>29</v>
      </c>
      <c r="AQ72" s="11"/>
      <c r="AR72" s="11"/>
      <c r="AS72" s="11"/>
      <c r="AT72" s="12" t="s">
        <v>142</v>
      </c>
      <c r="AU72" s="296" t="s">
        <v>143</v>
      </c>
      <c r="AV72" s="296"/>
      <c r="AW72" s="11" t="s">
        <v>56</v>
      </c>
      <c r="AY72" s="11"/>
      <c r="AZ72" s="44"/>
      <c r="BA72" s="44"/>
      <c r="BB72" s="44"/>
      <c r="BC72" s="44"/>
      <c r="BD72" s="44"/>
      <c r="BE72" s="44"/>
      <c r="BF72" s="44"/>
      <c r="BG72" s="44"/>
      <c r="BH72" s="44"/>
      <c r="BI72" s="295" t="str" cm="1">
        <f t="array" ref="BI72">IF(COUNTIF(BQ73:BQ79,"BLANK"),"BLANK",IF(OR(SUMPRODUCT(--ISERROR(BQ73:BQ79))&gt;0,COUNTIF(BQ73:BQ79,"REJECT")),"REJECT",IF(COUNTIF(BQ73:BQ79,"CHECK"),"CHECK","EQ")))</f>
        <v>EQ</v>
      </c>
      <c r="BJ72" s="295"/>
      <c r="BK72" s="295"/>
      <c r="BL72" s="295"/>
      <c r="BM72" s="295"/>
      <c r="BN72" s="295"/>
      <c r="BO72" s="295"/>
      <c r="BP72" s="295"/>
      <c r="BQ72" s="295"/>
      <c r="BS72" s="12" t="s">
        <v>374</v>
      </c>
      <c r="BT72" s="25" t="s">
        <v>377</v>
      </c>
      <c r="BU72" s="13"/>
      <c r="BV72" s="13"/>
      <c r="BW72" s="13"/>
      <c r="BX72" s="13"/>
      <c r="BY72" s="13"/>
      <c r="BZ72" s="13"/>
      <c r="CA72" s="13"/>
      <c r="CE72" s="15"/>
      <c r="CF72" s="15"/>
      <c r="CG72" s="15" t="str">
        <f>IF(CI70="Round","Outer Diameter (OD):","Square side:")</f>
        <v>Square side:</v>
      </c>
      <c r="CH72" s="75">
        <f>IF($A$25="mm",25,0.984)</f>
        <v>0.98399999999999999</v>
      </c>
      <c r="CI72" s="16"/>
      <c r="CJ72" s="25" t="str">
        <f>IF($A$25="mm","mm","in")</f>
        <v>in</v>
      </c>
      <c r="CK72" s="11" t="str">
        <f>IF(OR($G$8="IC - Internal Combustion",CI69="Billet Plate"),"N/A",
IF(CI72="","BLANK",IF(CI72&lt;CH72,"REJECT","EQ")))</f>
        <v>N/A</v>
      </c>
      <c r="CN72" s="33" t="s">
        <v>186</v>
      </c>
      <c r="CX72" s="44"/>
    </row>
    <row r="73" spans="1:102" ht="15" customHeight="1" thickBot="1" x14ac:dyDescent="0.25">
      <c r="A73" s="88"/>
      <c r="B73" s="89"/>
      <c r="C73" s="89"/>
      <c r="D73" s="89"/>
      <c r="E73" s="89"/>
      <c r="F73" s="89"/>
      <c r="G73" s="89"/>
      <c r="H73" s="89"/>
      <c r="I73" s="90"/>
      <c r="J73" s="36"/>
      <c r="K73" s="12" t="s">
        <v>173</v>
      </c>
      <c r="M73" s="15"/>
      <c r="N73" s="15"/>
      <c r="O73" s="15"/>
      <c r="P73" s="15" t="s">
        <v>23</v>
      </c>
      <c r="Q73" s="16">
        <v>0.5</v>
      </c>
      <c r="R73" s="25" t="str">
        <f>IF($A$25="mm","mm","in")</f>
        <v>in</v>
      </c>
      <c r="S73" s="11" t="str">
        <f>IF(Q73="","BLANK","EQ")</f>
        <v>EQ</v>
      </c>
      <c r="U73" s="25" t="s">
        <v>178</v>
      </c>
      <c r="AG73" s="15"/>
      <c r="AH73" s="15"/>
      <c r="AI73" s="15" t="str">
        <f>IF(AK71="Round","Outer Diameter (OD):","Square side:")</f>
        <v>Outer Diameter (OD):</v>
      </c>
      <c r="AJ73" s="75">
        <f>IF(AK69="Straight",IF($A$25="mm",25,0.984),IF($A$25="mm",34.9,1.375))</f>
        <v>0.98399999999999999</v>
      </c>
      <c r="AK73" s="16">
        <v>1</v>
      </c>
      <c r="AL73" s="25" t="str">
        <f>IF($A$25="mm","mm","in")</f>
        <v>in</v>
      </c>
      <c r="AM73" s="11" t="str">
        <f t="shared" ref="AM73:AM77" si="1">IF(AK73="","BLANK",IF(AK73&lt;AJ73,"REJECT","EQ"))</f>
        <v>EQ</v>
      </c>
      <c r="AO73" s="12" t="s">
        <v>362</v>
      </c>
      <c r="AP73" s="25" t="str">
        <f>IF($A$25="mm",
"Example: 25mm x 2.5mm round",
"Example: 1.0in x 0.095in round")</f>
        <v>Example: 1.0in x 0.095in round</v>
      </c>
      <c r="AQ73" s="15"/>
      <c r="AR73" s="15"/>
      <c r="AS73" s="15"/>
      <c r="AT73" s="11" t="s">
        <v>156</v>
      </c>
      <c r="AU73" s="11" t="s">
        <v>3</v>
      </c>
      <c r="AW73" s="11" t="str">
        <f>IF(AU73="","BLANK","EQ")</f>
        <v>EQ</v>
      </c>
      <c r="AY73" s="12" t="s">
        <v>512</v>
      </c>
      <c r="AZ73" s="25" t="s">
        <v>511</v>
      </c>
      <c r="BI73" s="298" t="s">
        <v>1226</v>
      </c>
      <c r="BJ73" s="299"/>
      <c r="BK73" s="299"/>
      <c r="BL73" s="299"/>
      <c r="BM73" s="299"/>
      <c r="BN73" s="299"/>
      <c r="BO73" s="300"/>
      <c r="BP73" s="35" t="s">
        <v>461</v>
      </c>
      <c r="BQ73" s="11" t="str">
        <f>IF(BI73="","BLANK",IF(BI73="Image shows LV battery inside additional structure &amp; below SH height","CHECK","EQ"))</f>
        <v>EQ</v>
      </c>
      <c r="BS73" s="12" t="s">
        <v>414</v>
      </c>
      <c r="BT73" s="25" t="s">
        <v>413</v>
      </c>
      <c r="BU73" s="13"/>
      <c r="BV73" s="13"/>
      <c r="BW73" s="13"/>
      <c r="BX73" s="13"/>
      <c r="BY73" s="13"/>
      <c r="BZ73" s="13"/>
      <c r="CA73" s="13"/>
      <c r="CE73" s="15"/>
      <c r="CF73" s="15"/>
      <c r="CG73" s="15" t="s">
        <v>18</v>
      </c>
      <c r="CH73" s="28">
        <v>1.2</v>
      </c>
      <c r="CI73" s="11" t="str">
        <f>IF(CI71="","",IF($A$25="mm",CI71,ROUND(CI71*25.4,1)))</f>
        <v/>
      </c>
      <c r="CJ73" s="25" t="s">
        <v>141</v>
      </c>
      <c r="CK73" s="11" t="str">
        <f>IF(OR($G$8="IC - Internal Combustion",CI69="Billet Plate"),"N/A",
IF(CI73="","BLANK",IF(CI73&lt;CH73,"REJECT","EQ")))</f>
        <v>N/A</v>
      </c>
      <c r="CN73" s="22" t="s">
        <v>196</v>
      </c>
    </row>
    <row r="74" spans="1:102" ht="15" customHeight="1" thickBot="1" x14ac:dyDescent="0.25">
      <c r="A74" s="88"/>
      <c r="B74" s="89"/>
      <c r="C74" s="89"/>
      <c r="D74" s="89"/>
      <c r="E74" s="89"/>
      <c r="F74" s="89"/>
      <c r="G74" s="89"/>
      <c r="H74" s="89"/>
      <c r="I74" s="90"/>
      <c r="J74" s="36"/>
      <c r="K74" s="25"/>
      <c r="L74" s="25"/>
      <c r="U74" s="25" t="s">
        <v>179</v>
      </c>
      <c r="AG74" s="15"/>
      <c r="AH74" s="15"/>
      <c r="AI74" s="15" t="s">
        <v>18</v>
      </c>
      <c r="AJ74" s="28">
        <v>1.2</v>
      </c>
      <c r="AK74" s="11">
        <f>IF(AK72="","",IF($A$25="mm",AK72,ROUND(AK72*25.4,1)))</f>
        <v>1.7</v>
      </c>
      <c r="AL74" s="25" t="s">
        <v>141</v>
      </c>
      <c r="AM74" s="11" t="str">
        <f t="shared" si="1"/>
        <v>EQ</v>
      </c>
      <c r="AO74" s="12" t="s">
        <v>356</v>
      </c>
      <c r="AQ74" s="15"/>
      <c r="AR74" s="15"/>
      <c r="AS74" s="15" t="s">
        <v>18</v>
      </c>
      <c r="AT74" s="75">
        <f>IF($A$25="mm",2,0.079)</f>
        <v>7.9000000000000001E-2</v>
      </c>
      <c r="AU74" s="16">
        <v>9.5000000000000001E-2</v>
      </c>
      <c r="AV74" s="25" t="str">
        <f>IF($A$25="mm","mm","in")</f>
        <v>in</v>
      </c>
      <c r="AW74" s="11" t="str">
        <f>IF(AU74="","BLANK",IF(AU74&lt;AT74,"REJECT","EQ"))</f>
        <v>EQ</v>
      </c>
      <c r="BI74" s="298" t="s">
        <v>1227</v>
      </c>
      <c r="BJ74" s="299"/>
      <c r="BK74" s="299"/>
      <c r="BL74" s="299"/>
      <c r="BM74" s="299"/>
      <c r="BN74" s="299"/>
      <c r="BO74" s="300"/>
      <c r="BP74" s="35" t="s">
        <v>431</v>
      </c>
      <c r="BQ74" s="11" t="str">
        <f>IF(AND($G$8="IC - Internal Combustion",BI74="EV - Rain test holes drain between driver and HV + lowest point if oil used"),"REJECT",
IF(BI74="","BLANK","EQ"))</f>
        <v>EQ</v>
      </c>
      <c r="BR74" s="44"/>
      <c r="BU74" s="13"/>
      <c r="BV74" s="13"/>
      <c r="BW74" s="13"/>
      <c r="BX74" s="13"/>
      <c r="BY74" s="13"/>
      <c r="BZ74" s="13"/>
      <c r="CA74" s="13"/>
      <c r="CE74" s="15"/>
      <c r="CF74" s="15"/>
      <c r="CG74" s="15" t="str">
        <f>IF(CI70="Round","Outer Diameter (OD):","Square side:")</f>
        <v>Square side:</v>
      </c>
      <c r="CH74" s="28">
        <v>25</v>
      </c>
      <c r="CI74" s="11" t="str">
        <f>IF(CI72="","",IF($A$25="mm",CI72,ROUND(CI72*25.4,1)))</f>
        <v/>
      </c>
      <c r="CJ74" s="25" t="s">
        <v>141</v>
      </c>
      <c r="CK74" s="11" t="str">
        <f>IF(OR($G$8="IC - Internal Combustion",CI69="Billet Plate"),"N/A",
IF(CI74="","BLANK",IF(CI74&lt;CH74,"REJECT","EQ")))</f>
        <v>N/A</v>
      </c>
      <c r="CN74" s="25" t="s">
        <v>203</v>
      </c>
    </row>
    <row r="75" spans="1:102" ht="15" customHeight="1" thickBot="1" x14ac:dyDescent="0.25">
      <c r="A75" s="88"/>
      <c r="B75" s="89"/>
      <c r="C75" s="89"/>
      <c r="D75" s="89"/>
      <c r="E75" s="89"/>
      <c r="F75" s="89"/>
      <c r="G75" s="89"/>
      <c r="H75" s="89"/>
      <c r="I75" s="90"/>
      <c r="K75" s="295" t="str">
        <f>IF(COUNTIF(S76,"BLANK"),"BLANK",IF(OR(SUMPRODUCT(--ISERROR(S76))&gt;0,COUNTIF(S76,"REJECT")),"REJECT",IF(COUNTIF(S76,"CHECK"),"CHECK","EQ")))</f>
        <v>EQ</v>
      </c>
      <c r="L75" s="295"/>
      <c r="M75" s="295"/>
      <c r="N75" s="295"/>
      <c r="O75" s="295"/>
      <c r="P75" s="295"/>
      <c r="Q75" s="295"/>
      <c r="R75" s="295"/>
      <c r="S75" s="295"/>
      <c r="U75" s="25" t="s">
        <v>175</v>
      </c>
      <c r="AG75" s="15"/>
      <c r="AH75" s="15"/>
      <c r="AI75" s="15" t="str">
        <f>IF(AK71="Round","Outer Diameter (OD):","Square side:")</f>
        <v>Outer Diameter (OD):</v>
      </c>
      <c r="AJ75" s="28">
        <f>IF(AK69="Straight",25,35)</f>
        <v>25</v>
      </c>
      <c r="AK75" s="28">
        <f>IF(AK73="","",IF($A$25="mm",AK73,ROUNDUP(AK73*25.4,1)))</f>
        <v>25.4</v>
      </c>
      <c r="AL75" s="25" t="s">
        <v>141</v>
      </c>
      <c r="AM75" s="11" t="str">
        <f t="shared" si="1"/>
        <v>EQ</v>
      </c>
      <c r="AQ75" s="15"/>
      <c r="AR75" s="15"/>
      <c r="AS75" s="15" t="str">
        <f>IF(AU73="Round","Outer Diameter (OD):","Square side:")</f>
        <v>Outer Diameter (OD):</v>
      </c>
      <c r="AT75" s="75">
        <f>IF($A$25="mm",25,0.984)</f>
        <v>0.98399999999999999</v>
      </c>
      <c r="AU75" s="16">
        <v>1</v>
      </c>
      <c r="AV75" s="25" t="str">
        <f>IF($A$25="mm","mm","in")</f>
        <v>in</v>
      </c>
      <c r="AW75" s="11" t="str">
        <f t="shared" ref="AW75:AW79" si="2">IF(AU75="","BLANK",IF(AU75&lt;AT75,"REJECT","EQ"))</f>
        <v>EQ</v>
      </c>
      <c r="AY75" s="12"/>
      <c r="BA75" s="12"/>
      <c r="BB75" s="12"/>
      <c r="BC75" s="12" t="str">
        <f>AS113</f>
        <v>Main Hoop Braces may run forward or rearward.</v>
      </c>
      <c r="BD75" s="12"/>
      <c r="BE75" s="12"/>
      <c r="BF75" s="12"/>
      <c r="BI75" s="298" t="s">
        <v>1228</v>
      </c>
      <c r="BJ75" s="299"/>
      <c r="BK75" s="299"/>
      <c r="BL75" s="299"/>
      <c r="BM75" s="299"/>
      <c r="BN75" s="299"/>
      <c r="BO75" s="300"/>
      <c r="BP75" s="35" t="s">
        <v>467</v>
      </c>
      <c r="BQ75" s="11" t="str">
        <f>IF(BI75="","BLANK",IF(BI75="Image shows the Shoulder Harness bar supports Powertrain mounts","CHECK","EQ"))</f>
        <v>EQ</v>
      </c>
      <c r="BR75" s="44"/>
      <c r="BS75" s="12" t="s">
        <v>496</v>
      </c>
      <c r="BT75" s="25" t="s">
        <v>497</v>
      </c>
      <c r="BU75" s="13"/>
      <c r="BV75" s="13"/>
      <c r="BW75" s="13"/>
      <c r="BX75" s="13"/>
      <c r="BY75" s="13"/>
      <c r="BZ75" s="13"/>
      <c r="CA75" s="13"/>
      <c r="CD75" s="15"/>
      <c r="CE75" s="15"/>
      <c r="CF75" s="15"/>
      <c r="CG75" s="15" t="s">
        <v>146</v>
      </c>
      <c r="CH75" s="11">
        <f>IF(CH70="Size C",91,114)</f>
        <v>114</v>
      </c>
      <c r="CI75" s="11" t="str">
        <f>IF(OR(CI71="",CI72=""),"",
IF(CI70="Round",
ROUND(PI()*((CI74/2)^2-((CI74-2*CI73)/2)^2),0),
ROUND(CI74^2-(CI74-2*CI73)^2,0)))</f>
        <v/>
      </c>
      <c r="CJ75" s="25" t="s">
        <v>144</v>
      </c>
      <c r="CK75" s="11" t="str">
        <f>IF(OR($G$8="IC - Internal Combustion",CI69="Billet Plate"),"N/A",
IF(CI75="","BLANK",IF(CI75&lt;CH75,"REJECT","EQ")))</f>
        <v>N/A</v>
      </c>
      <c r="CN75" s="22" t="s">
        <v>187</v>
      </c>
    </row>
    <row r="76" spans="1:102" ht="15" customHeight="1" thickBot="1" x14ac:dyDescent="0.25">
      <c r="A76" s="88"/>
      <c r="B76" s="89"/>
      <c r="C76" s="89"/>
      <c r="D76" s="89"/>
      <c r="E76" s="89"/>
      <c r="F76" s="89"/>
      <c r="G76" s="89"/>
      <c r="H76" s="89"/>
      <c r="I76" s="90"/>
      <c r="K76" s="12" t="s">
        <v>312</v>
      </c>
      <c r="M76" s="15"/>
      <c r="N76" s="15"/>
      <c r="O76" s="15"/>
      <c r="P76" s="15" t="s">
        <v>22</v>
      </c>
      <c r="Q76" s="16">
        <v>5.5</v>
      </c>
      <c r="R76" s="25" t="str">
        <f>IF($A$25="mm","mm","in")</f>
        <v>in</v>
      </c>
      <c r="S76" s="11" t="str">
        <f>IF(Q76="","BLANK",IF(OR(AND($A$25="mm",Q76&lt;=250),AND($A$25="Inch",Q76&lt;=9.8)),"EQ","REJECT"))</f>
        <v>EQ</v>
      </c>
      <c r="U76" s="25" t="s">
        <v>19</v>
      </c>
      <c r="AF76" s="15"/>
      <c r="AG76" s="15"/>
      <c r="AH76" s="15"/>
      <c r="AI76" s="15" t="s">
        <v>146</v>
      </c>
      <c r="AJ76" s="11">
        <f>IF(AK69="Straight",114,126)</f>
        <v>114</v>
      </c>
      <c r="AK76" s="11">
        <f>IF(OR(AK72="",AK73=""),"",
IF(AK71="Round",
ROUND(PI()*((AK75/2)^2-((AK75-2*AK74)/2)^2),0),
ROUND(AK75^2-(AK75-2*AK74)^2,0)))</f>
        <v>127</v>
      </c>
      <c r="AL76" s="25" t="s">
        <v>144</v>
      </c>
      <c r="AM76" s="11" t="str">
        <f t="shared" si="1"/>
        <v>EQ</v>
      </c>
      <c r="AQ76" s="15"/>
      <c r="AR76" s="15"/>
      <c r="AS76" s="15" t="s">
        <v>18</v>
      </c>
      <c r="AT76" s="28">
        <v>2</v>
      </c>
      <c r="AU76" s="11">
        <f>IF(AU74="","",IF($A$25="mm",AU74,ROUND(AU74*25.4,1)))</f>
        <v>2.4</v>
      </c>
      <c r="AV76" s="25" t="s">
        <v>141</v>
      </c>
      <c r="AW76" s="11" t="str">
        <f t="shared" si="2"/>
        <v>EQ</v>
      </c>
      <c r="AY76" s="295" t="str">
        <f>IF(COUNTIF(BG77:BG78,"BLANK"),"BLANK",IF(OR(SUMPRODUCT(--ISERROR(BG77:BG78))&gt;0,COUNTIF(BG77:BG78,"REJECT")),"REJECT",IF(COUNTIF(BG77:BG78,"CHECK"),"CHECK","EQ")))</f>
        <v>EQ</v>
      </c>
      <c r="AZ76" s="295"/>
      <c r="BA76" s="295"/>
      <c r="BB76" s="295"/>
      <c r="BC76" s="295"/>
      <c r="BD76" s="295"/>
      <c r="BE76" s="295"/>
      <c r="BF76" s="295"/>
      <c r="BG76" s="295"/>
      <c r="BI76" s="298" t="s">
        <v>1229</v>
      </c>
      <c r="BJ76" s="299"/>
      <c r="BK76" s="299"/>
      <c r="BL76" s="299"/>
      <c r="BM76" s="299"/>
      <c r="BN76" s="299"/>
      <c r="BO76" s="300"/>
      <c r="BP76" s="35" t="s">
        <v>460</v>
      </c>
      <c r="BQ76" s="11" t="str">
        <f>IF(NOT($G$8="IC - Internal Combustion"),"N/A",
IF(BI76="","BLANK",IF(BI76="Fuel tank requires rear impact check","CHECK","EQ")))</f>
        <v>EQ</v>
      </c>
      <c r="BR76" s="44"/>
      <c r="BS76" s="25" t="s">
        <v>498</v>
      </c>
      <c r="BU76" s="13"/>
      <c r="BV76" s="13"/>
      <c r="BW76" s="13"/>
      <c r="BX76" s="13"/>
      <c r="BY76" s="13"/>
      <c r="BZ76" s="13"/>
      <c r="CA76" s="13"/>
      <c r="CD76" s="15"/>
      <c r="CE76" s="15"/>
      <c r="CF76" s="15"/>
      <c r="CG76" s="15" t="s">
        <v>147</v>
      </c>
      <c r="CH76" s="11">
        <f>IF(CH70="Size C",6695,8509)</f>
        <v>8509</v>
      </c>
      <c r="CI76" s="11" t="str">
        <f>IF(OR(CI71="",CI72=""),"",
IF(CI70="Round",
ROUND((PI()/4)*((CI74/2)^4-((CI74-2*CI73)/2)^4),0),
ROUND((CI74^4-(CI74-2*CI73)^4)/12,0)))</f>
        <v/>
      </c>
      <c r="CJ76" s="25" t="s">
        <v>145</v>
      </c>
      <c r="CK76" s="11" t="str">
        <f>IF(OR($G$8="IC - Internal Combustion",CI69="Billet Plate"),"N/A",
IF(CI76="","BLANK",IF(CI76&lt;CH76,"REJECT","EQ")))</f>
        <v>N/A</v>
      </c>
      <c r="CN76" s="22"/>
    </row>
    <row r="77" spans="1:102" ht="15" customHeight="1" thickBot="1" x14ac:dyDescent="0.25">
      <c r="A77" s="88"/>
      <c r="B77" s="89"/>
      <c r="C77" s="89"/>
      <c r="D77" s="89"/>
      <c r="E77" s="89"/>
      <c r="F77" s="89"/>
      <c r="G77" s="89"/>
      <c r="H77" s="89"/>
      <c r="I77" s="90"/>
      <c r="K77" s="25"/>
      <c r="L77" s="25"/>
      <c r="U77" s="25" t="s">
        <v>242</v>
      </c>
      <c r="AF77" s="15"/>
      <c r="AG77" s="15"/>
      <c r="AH77" s="15"/>
      <c r="AI77" s="15" t="s">
        <v>147</v>
      </c>
      <c r="AJ77" s="11">
        <f>IF(AK69="Straight",8509,18015)</f>
        <v>8509</v>
      </c>
      <c r="AK77" s="11">
        <f>IF(OR(AK72="",AK73=""),"",
IF(AK71="Round",
ROUND((PI()/4)*((AK75/2)^4-((AK75-2*AK74)/2)^4),0),
ROUND((AK75^4-(AK75-2*AK74)^4)/12,0)))</f>
        <v>8933</v>
      </c>
      <c r="AL77" s="25" t="s">
        <v>145</v>
      </c>
      <c r="AM77" s="11" t="str">
        <f t="shared" si="1"/>
        <v>EQ</v>
      </c>
      <c r="AQ77" s="15"/>
      <c r="AR77" s="15"/>
      <c r="AS77" s="15" t="str">
        <f>IF(AU73="Round","Outer Diameter (OD):","Square side:")</f>
        <v>Outer Diameter (OD):</v>
      </c>
      <c r="AT77" s="28">
        <v>25</v>
      </c>
      <c r="AU77" s="11">
        <f>IF(AU75="","",IF($A$25="mm",AU75,ROUND(AU75*25.4,1)))</f>
        <v>25.4</v>
      </c>
      <c r="AV77" s="25" t="s">
        <v>141</v>
      </c>
      <c r="AW77" s="11" t="str">
        <f t="shared" si="2"/>
        <v>EQ</v>
      </c>
      <c r="AY77" s="12" t="s">
        <v>323</v>
      </c>
      <c r="BA77" s="15"/>
      <c r="BB77" s="15"/>
      <c r="BC77" s="15"/>
      <c r="BD77" s="15" t="s">
        <v>33</v>
      </c>
      <c r="BE77" s="80" t="s">
        <v>1225</v>
      </c>
      <c r="BG77" s="11" t="str">
        <f>IF(BE77="","BLANK",IF(AU112=0,"EQ",IF(AU111=BE77,"EQ","REJECT")))</f>
        <v>EQ</v>
      </c>
      <c r="BI77" s="298" t="s">
        <v>1230</v>
      </c>
      <c r="BJ77" s="299"/>
      <c r="BK77" s="299"/>
      <c r="BL77" s="299"/>
      <c r="BM77" s="299"/>
      <c r="BN77" s="299"/>
      <c r="BO77" s="300"/>
      <c r="BP77" s="35" t="s">
        <v>430</v>
      </c>
      <c r="BQ77" s="11" t="str">
        <f>IF(NOT($G$8="IC - Internal Combustion"),"N/A",
IF(BI77="","BLANK","EQ"))</f>
        <v>EQ</v>
      </c>
      <c r="BT77" s="13"/>
      <c r="BU77" s="13"/>
      <c r="BV77" s="13"/>
      <c r="BW77" s="13"/>
      <c r="BX77" s="13"/>
      <c r="BY77" s="13"/>
      <c r="BZ77" s="13"/>
      <c r="CA77" s="13"/>
      <c r="CC77" s="12"/>
      <c r="CE77" s="13"/>
      <c r="CF77" s="13"/>
      <c r="CG77" s="13"/>
      <c r="CH77" s="13"/>
      <c r="CI77" s="13"/>
      <c r="CJ77" s="13"/>
      <c r="CK77" s="13"/>
      <c r="CN77" s="303" t="s">
        <v>197</v>
      </c>
      <c r="CO77" s="303"/>
      <c r="CP77" s="303"/>
      <c r="CQ77" s="14"/>
      <c r="CR77" s="14"/>
    </row>
    <row r="78" spans="1:102" ht="15" customHeight="1" thickBot="1" x14ac:dyDescent="0.25">
      <c r="A78" s="88"/>
      <c r="B78" s="89"/>
      <c r="C78" s="89"/>
      <c r="D78" s="89"/>
      <c r="E78" s="89"/>
      <c r="F78" s="89"/>
      <c r="G78" s="89"/>
      <c r="H78" s="89"/>
      <c r="I78" s="90"/>
      <c r="K78" s="295" t="str">
        <f>IF(COUNTIF(S79,"BLANK"),"BLANK",IF(OR(SUMPRODUCT(--ISERROR(S79))&gt;0,COUNTIF(S79,"REJECT")),"REJECT",IF(COUNTIF(S79,"CHECK"),"CHECK","EQ")))</f>
        <v>EQ</v>
      </c>
      <c r="L78" s="295"/>
      <c r="M78" s="295"/>
      <c r="N78" s="295"/>
      <c r="O78" s="295"/>
      <c r="P78" s="295"/>
      <c r="Q78" s="295"/>
      <c r="R78" s="295"/>
      <c r="S78" s="295"/>
      <c r="U78" s="25" t="s">
        <v>241</v>
      </c>
      <c r="AE78" s="12"/>
      <c r="AP78" s="15"/>
      <c r="AQ78" s="15"/>
      <c r="AR78" s="15"/>
      <c r="AS78" s="15" t="s">
        <v>146</v>
      </c>
      <c r="AT78" s="11">
        <v>173</v>
      </c>
      <c r="AU78" s="11">
        <f>IF(OR(AU74="",AU75=""),"",
IF(AU73="Round",
ROUND(PI()*((AU77/2)^2-((AU77-2*AU76)/2)^2),0),
ROUND(AU77^2-(AU77-2*AU76)^2,0)))</f>
        <v>173</v>
      </c>
      <c r="AV78" s="25" t="s">
        <v>144</v>
      </c>
      <c r="AW78" s="11" t="str">
        <f t="shared" si="2"/>
        <v>EQ</v>
      </c>
      <c r="AY78" s="12" t="s">
        <v>324</v>
      </c>
      <c r="BA78" s="15"/>
      <c r="BB78" s="15"/>
      <c r="BC78" s="15"/>
      <c r="BD78" s="15" t="s">
        <v>34</v>
      </c>
      <c r="BE78" s="79">
        <v>31.7</v>
      </c>
      <c r="BF78" s="25" t="s">
        <v>21</v>
      </c>
      <c r="BG78" s="11" t="str">
        <f>IF(BE78="","BLANK",IF(AND(ABS(BE78)&gt;=30,ABS(BE78)&lt;90),"EQ","REJECT"))</f>
        <v>EQ</v>
      </c>
      <c r="BI78" s="298" t="s">
        <v>1242</v>
      </c>
      <c r="BJ78" s="299"/>
      <c r="BK78" s="299"/>
      <c r="BL78" s="299"/>
      <c r="BM78" s="299"/>
      <c r="BN78" s="299"/>
      <c r="BO78" s="300"/>
      <c r="BP78" s="35" t="s">
        <v>462</v>
      </c>
      <c r="BQ78" s="11" t="str">
        <f>IF(NOT($G$8="IC - Internal Combustion"),"N/A",
IF(BI78="","BLANK","EQ"))</f>
        <v>EQ</v>
      </c>
      <c r="BR78" s="11"/>
      <c r="BS78" s="295" t="str" cm="1">
        <f t="array" ref="BS78">IF(COUNTIF(BS79:CA86,"BLANK"),"BLANK",IF(OR(SUMPRODUCT(--ISERROR(BS79:CA86))&gt;0,COUNTIF(BS79:CA86,"REJECT")),"REJECT",IF(COUNTIF(BS79:CA86,"CHECK"),"CHECK","EQ")))</f>
        <v>EQ</v>
      </c>
      <c r="BT78" s="295"/>
      <c r="BU78" s="295"/>
      <c r="BV78" s="295"/>
      <c r="BW78" s="295"/>
      <c r="BX78" s="295"/>
      <c r="BY78" s="295"/>
      <c r="BZ78" s="295"/>
      <c r="CA78" s="295"/>
      <c r="CC78" s="12" t="s">
        <v>508</v>
      </c>
      <c r="CD78" s="25" t="s">
        <v>509</v>
      </c>
      <c r="CE78" s="13"/>
      <c r="CF78" s="13"/>
      <c r="CG78" s="13"/>
      <c r="CH78" s="13"/>
      <c r="CI78" s="13"/>
      <c r="CJ78" s="13"/>
      <c r="CK78" s="13"/>
      <c r="CN78" s="303"/>
      <c r="CO78" s="303"/>
      <c r="CP78" s="303"/>
      <c r="CQ78" s="14"/>
      <c r="CR78" s="14"/>
      <c r="CS78" s="44"/>
      <c r="CT78" s="44"/>
      <c r="CU78" s="44"/>
      <c r="CV78" s="44"/>
      <c r="CW78" s="44"/>
    </row>
    <row r="79" spans="1:102" ht="15" customHeight="1" thickBot="1" x14ac:dyDescent="0.25">
      <c r="A79" s="88"/>
      <c r="B79" s="89"/>
      <c r="C79" s="89"/>
      <c r="D79" s="89"/>
      <c r="E79" s="89"/>
      <c r="F79" s="89"/>
      <c r="G79" s="89"/>
      <c r="H79" s="89"/>
      <c r="I79" s="90"/>
      <c r="K79" s="12" t="s">
        <v>314</v>
      </c>
      <c r="M79" s="15"/>
      <c r="N79" s="15"/>
      <c r="O79" s="15"/>
      <c r="P79" s="15" t="s">
        <v>313</v>
      </c>
      <c r="Q79" s="16">
        <v>0</v>
      </c>
      <c r="R79" s="25" t="s">
        <v>21</v>
      </c>
      <c r="S79" s="11" t="str">
        <f>IF(Q79="","BLANK",IF(ABS(Q79)&lt;=20,"EQ","REJECT"))</f>
        <v>EQ</v>
      </c>
      <c r="V79" s="35"/>
      <c r="AE79" s="295" t="str" cm="1">
        <f t="array" ref="AE79">IF(COUNTIF(AM80:AM82,"BLANK"),"BLANK",IF(OR(SUMPRODUCT(--ISERROR(AM80:AM82))&gt;0,COUNTIF(AM80:AM82,"REJECT")),"REJECT",IF(COUNTIF(AM80:AM82,"CHECK"),"CHECK","EQ")))</f>
        <v>EQ</v>
      </c>
      <c r="AF79" s="295"/>
      <c r="AG79" s="295"/>
      <c r="AH79" s="295"/>
      <c r="AI79" s="295"/>
      <c r="AJ79" s="295"/>
      <c r="AK79" s="295"/>
      <c r="AL79" s="295"/>
      <c r="AM79" s="295"/>
      <c r="AP79" s="15"/>
      <c r="AQ79" s="15"/>
      <c r="AR79" s="15"/>
      <c r="AS79" s="15" t="s">
        <v>147</v>
      </c>
      <c r="AT79" s="11">
        <v>11320</v>
      </c>
      <c r="AU79" s="11">
        <f>IF(OR(AU74="",AU75=""),"",
IF(AU73="Round",
ROUND((PI()/4)*((AU77/2)^4-((AU77-2*AU76)/2)^4),0),
ROUND((AU77^4-(AU77-2*AU76)^4)/12,0)))</f>
        <v>11592</v>
      </c>
      <c r="AV79" s="25" t="s">
        <v>145</v>
      </c>
      <c r="AW79" s="11" t="str">
        <f t="shared" si="2"/>
        <v>EQ</v>
      </c>
      <c r="BI79" s="298" t="s">
        <v>1242</v>
      </c>
      <c r="BJ79" s="299"/>
      <c r="BK79" s="299"/>
      <c r="BL79" s="299"/>
      <c r="BM79" s="299"/>
      <c r="BN79" s="299"/>
      <c r="BO79" s="300"/>
      <c r="BP79" s="35" t="s">
        <v>440</v>
      </c>
      <c r="BQ79" s="11" t="str">
        <f>IF(NOT($G$8="IC - Internal Combustion"),"N/A",
IF(BI79="","BLANK","EQ"))</f>
        <v>EQ</v>
      </c>
      <c r="BR79" s="11"/>
      <c r="BS79" s="12" t="s">
        <v>491</v>
      </c>
      <c r="BT79" s="35" t="s">
        <v>223</v>
      </c>
      <c r="BU79" s="11"/>
      <c r="BV79" s="11"/>
      <c r="BW79" s="11"/>
      <c r="BX79" s="12" t="s">
        <v>142</v>
      </c>
      <c r="BY79" s="296" t="s">
        <v>143</v>
      </c>
      <c r="BZ79" s="296"/>
      <c r="CA79" s="11" t="s">
        <v>56</v>
      </c>
      <c r="CC79" s="25" t="s">
        <v>348</v>
      </c>
      <c r="CD79" s="13"/>
      <c r="CE79" s="13"/>
      <c r="CF79" s="13"/>
      <c r="CG79" s="13"/>
      <c r="CH79" s="13"/>
      <c r="CI79" s="13"/>
      <c r="CJ79" s="13"/>
      <c r="CK79" s="13"/>
      <c r="CN79" s="14"/>
    </row>
    <row r="80" spans="1:102" ht="15" customHeight="1" thickBot="1" x14ac:dyDescent="0.25">
      <c r="A80" s="88"/>
      <c r="B80" s="89"/>
      <c r="C80" s="89"/>
      <c r="D80" s="89"/>
      <c r="E80" s="89"/>
      <c r="F80" s="89"/>
      <c r="G80" s="89"/>
      <c r="H80" s="89"/>
      <c r="I80" s="90"/>
      <c r="K80" s="25"/>
      <c r="L80" s="25"/>
      <c r="U80" s="12" t="s">
        <v>249</v>
      </c>
      <c r="V80" s="25" t="s">
        <v>250</v>
      </c>
      <c r="AE80" s="15"/>
      <c r="AF80" s="15"/>
      <c r="AG80" s="15"/>
      <c r="AH80" s="15"/>
      <c r="AI80" s="15"/>
      <c r="AJ80" s="15" t="str">
        <f>IF(AJ46="Composite","",IF($A$25="mm","Top surface of Lower SIS to Lowest UpperSIS top edge &gt;=265mm:","Top surface of Lower SIS to Lowest Upper SIS top edge &gt;=10.43in:"))</f>
        <v>Top surface of Lower SIS to Lowest Upper SIS top edge &gt;=10.43in:</v>
      </c>
      <c r="AK80" s="79">
        <v>10.5</v>
      </c>
      <c r="AL80" s="25" t="str">
        <f>IF($A$25="mm","mm","in")</f>
        <v>in</v>
      </c>
      <c r="AM80" s="11" t="str">
        <f>IF(AJ69="Composite","N/A",IF(AK80="","BLANK",IF(OR(AND($A$25="mm",AK80&gt;=265,AK80&lt;=320),AND($A$25="Inch",AK80&gt;=10.43,AK80&lt;=12.6)),"EQ","REJECT")))</f>
        <v>EQ</v>
      </c>
      <c r="AY80" s="295" t="str">
        <f>IF(COUNTIF(BG81,"BLANK"),"BLANK",IF(OR(SUMPRODUCT(--ISERROR(BG81))&gt;0,COUNTIF(BG81,"REJECT")),"REJECT",IF(COUNTIF(BG81,"CHECK"),"CHECK","EQ")))</f>
        <v>EQ</v>
      </c>
      <c r="AZ80" s="295"/>
      <c r="BA80" s="295"/>
      <c r="BB80" s="295"/>
      <c r="BC80" s="295"/>
      <c r="BD80" s="295"/>
      <c r="BE80" s="295"/>
      <c r="BF80" s="295"/>
      <c r="BG80" s="295"/>
      <c r="BS80" s="12" t="s">
        <v>368</v>
      </c>
      <c r="BT80" s="25" t="str">
        <f>IF($A$25="mm",
"Example: 25.4mm x 1.6mm round",
"Example: 1.0in x 0.065in round")</f>
        <v>Example: 1.0in x 0.065in round</v>
      </c>
      <c r="BU80" s="15"/>
      <c r="BV80" s="15"/>
      <c r="BW80" s="15"/>
      <c r="BX80" s="11" t="s">
        <v>154</v>
      </c>
      <c r="BY80" s="80"/>
      <c r="CA80" s="11" t="str">
        <f>IF($G$8="IC - Internal Combustion","N/A",
IF(BY80="","BLANK","EQ"))</f>
        <v>N/A</v>
      </c>
      <c r="CD80" s="13"/>
      <c r="CE80" s="13"/>
      <c r="CF80" s="13"/>
      <c r="CG80" s="13"/>
      <c r="CH80" s="13"/>
      <c r="CI80" s="13"/>
      <c r="CJ80" s="13"/>
      <c r="CK80" s="13"/>
      <c r="CN80" s="25" t="s">
        <v>204</v>
      </c>
    </row>
    <row r="81" spans="1:102" ht="15" customHeight="1" thickBot="1" x14ac:dyDescent="0.25">
      <c r="A81" s="88"/>
      <c r="B81" s="89"/>
      <c r="C81" s="89"/>
      <c r="D81" s="89"/>
      <c r="E81" s="89"/>
      <c r="F81" s="89"/>
      <c r="G81" s="89"/>
      <c r="H81" s="89"/>
      <c r="I81" s="90"/>
      <c r="K81" s="295" t="str">
        <f>IF(COUNTIF(S82,"BLANK"),"BLANK",IF(OR(SUMPRODUCT(--ISERROR(S82))&gt;0,COUNTIF(S82,"REJECT")),"REJECT",IF(COUNTIF(S82,"CHECK"),"CHECK","EQ")))</f>
        <v>EQ</v>
      </c>
      <c r="L81" s="295"/>
      <c r="M81" s="295"/>
      <c r="N81" s="295"/>
      <c r="O81" s="295"/>
      <c r="P81" s="295"/>
      <c r="Q81" s="295"/>
      <c r="R81" s="295"/>
      <c r="S81" s="295"/>
      <c r="U81" s="25" t="s">
        <v>41</v>
      </c>
      <c r="AE81" s="15"/>
      <c r="AF81" s="15"/>
      <c r="AG81" s="15"/>
      <c r="AH81" s="15"/>
      <c r="AI81" s="15"/>
      <c r="AJ81" s="15" t="str">
        <f>IF(AJ46="Composite","",IF($A$25="mm","Top surface of Lower SIS to Highest Upper SIS top edge &lt;=320mm:","Top surface of Lower SIS to Highest Upper SIS top edge &lt;=12.6in:"))</f>
        <v>Top surface of Lower SIS to Highest Upper SIS top edge &lt;=12.6in:</v>
      </c>
      <c r="AK81" s="79">
        <v>12.14</v>
      </c>
      <c r="AL81" s="25" t="str">
        <f>IF($A$25="mm","mm","in")</f>
        <v>in</v>
      </c>
      <c r="AM81" s="11" t="str">
        <f>IF(AJ69="Composite","N/A",IF(AK81="","BLANK",IF(OR(AND($A$25="mm",AK81&gt;=265,AK81&lt;=320),AND($A$25="Inch",AK81&gt;=10.43,AK81&lt;=12.6)),"EQ","REJECT")))</f>
        <v>EQ</v>
      </c>
      <c r="AO81" s="295" t="str">
        <f>IF(COUNTIF(AW82:AW90,"BLANK"),"BLANK",IF(OR(SUMPRODUCT(--ISERROR(AW82:AW90))&gt;0,COUNTIF(AW82:AW90,"REJECT")),"REJECT",IF(COUNTIF(AW82:AW90,"CHECK"),"CHECK","EQ")))</f>
        <v>EQ</v>
      </c>
      <c r="AP81" s="295"/>
      <c r="AQ81" s="295"/>
      <c r="AR81" s="295"/>
      <c r="AS81" s="295"/>
      <c r="AT81" s="295"/>
      <c r="AU81" s="295"/>
      <c r="AV81" s="295"/>
      <c r="AW81" s="295"/>
      <c r="AY81" s="12" t="s">
        <v>322</v>
      </c>
      <c r="BA81" s="15"/>
      <c r="BB81" s="15"/>
      <c r="BC81" s="15"/>
      <c r="BD81" s="15" t="str">
        <f>IF($A$25="mm","Top of MH of MHB tube, 160mm vertical limit:","Top of MH to top of MHB tube, 6.3in vertical limit:")</f>
        <v>Top of MH to top of MHB tube, 6.3in vertical limit:</v>
      </c>
      <c r="BE81" s="16">
        <v>4.54</v>
      </c>
      <c r="BF81" s="25" t="str">
        <f>IF($A$25="mm","mm","in")</f>
        <v>in</v>
      </c>
      <c r="BG81" s="11" t="str">
        <f>IF(BE81="","BLANK",IF(OR(AND($A$25="mm",ABS(BE81)&lt;=160),AND($A$25="Inch",ABS(BE81)&lt;=6.3)),"EQ","REJECT"))</f>
        <v>EQ</v>
      </c>
      <c r="BI81" s="12" t="s">
        <v>277</v>
      </c>
      <c r="BJ81" s="25" t="s">
        <v>422</v>
      </c>
      <c r="BS81" s="12" t="s">
        <v>360</v>
      </c>
      <c r="BU81" s="15"/>
      <c r="BV81" s="15"/>
      <c r="BW81" s="15" t="s">
        <v>18</v>
      </c>
      <c r="BX81" s="75">
        <f>IF($A$25="mm",1.2,0.047)</f>
        <v>4.7E-2</v>
      </c>
      <c r="BY81" s="16"/>
      <c r="BZ81" s="25" t="str">
        <f>IF($A$25="mm","mm","in")</f>
        <v>in</v>
      </c>
      <c r="CA81" s="11" t="str">
        <f t="shared" ref="CA81:CA86" si="3">IF($G$8="IC - Internal Combustion","N/A",
IF(BY81="","BLANK",IF(BY81&lt;BX81,"REJECT","EQ")))</f>
        <v>N/A</v>
      </c>
      <c r="CC81" s="295" t="str" cm="1">
        <f t="array" ref="CC81">IF(COUNTIF(CC82:CK82,"BLANK"),"BLANK",IF(OR(SUMPRODUCT(--ISERROR(CC82:CK82))&gt;0,COUNTIF(CC82:CK82,"REJECT")),"REJECT",IF(COUNTIF(CC82:CK82,"CHECK"),"CHECK","EQ")))</f>
        <v>EQ</v>
      </c>
      <c r="CD81" s="295"/>
      <c r="CE81" s="295"/>
      <c r="CF81" s="295"/>
      <c r="CG81" s="295"/>
      <c r="CH81" s="295"/>
      <c r="CI81" s="295"/>
      <c r="CJ81" s="295"/>
      <c r="CK81" s="295"/>
      <c r="CN81" s="12" t="s">
        <v>174</v>
      </c>
      <c r="CO81" s="25" t="s">
        <v>282</v>
      </c>
    </row>
    <row r="82" spans="1:102" ht="15" customHeight="1" thickBot="1" x14ac:dyDescent="0.25">
      <c r="A82" s="88"/>
      <c r="B82" s="89"/>
      <c r="C82" s="89"/>
      <c r="D82" s="89"/>
      <c r="E82" s="89"/>
      <c r="F82" s="89"/>
      <c r="G82" s="89"/>
      <c r="H82" s="89"/>
      <c r="I82" s="90"/>
      <c r="K82" s="12" t="s">
        <v>148</v>
      </c>
      <c r="M82" s="15"/>
      <c r="N82" s="15"/>
      <c r="O82" s="15"/>
      <c r="P82" s="15" t="s">
        <v>28</v>
      </c>
      <c r="Q82" s="16">
        <v>0</v>
      </c>
      <c r="R82" s="25" t="s">
        <v>21</v>
      </c>
      <c r="S82" s="11" t="str">
        <f>IF(Q82="","BLANK",IF(Q82&lt;=20,"EQ","REJECT"))</f>
        <v>EQ</v>
      </c>
      <c r="U82" s="12" t="s">
        <v>247</v>
      </c>
      <c r="V82" s="25" t="s">
        <v>243</v>
      </c>
      <c r="AE82" s="15"/>
      <c r="AF82" s="15"/>
      <c r="AG82" s="15"/>
      <c r="AH82" s="15"/>
      <c r="AI82" s="15"/>
      <c r="AJ82" s="15" t="s">
        <v>1205</v>
      </c>
      <c r="AK82" s="11">
        <f>AK81-AK80</f>
        <v>1.6400000000000006</v>
      </c>
      <c r="AL82" s="25" t="str">
        <f>IF($A$25="mm","mm","in")</f>
        <v>in</v>
      </c>
      <c r="AM82" s="11" t="str">
        <f>IF(AJ69="Composite","N/A",
IF(OR(AK80="",AK81=""),"BLANK",
IF(AK82&gt;IF($A$25="mm",320-265,12.6-10.43),"REJECT","EQ")))</f>
        <v>EQ</v>
      </c>
      <c r="AO82" s="12" t="s">
        <v>159</v>
      </c>
      <c r="AP82" s="35" t="s">
        <v>161</v>
      </c>
      <c r="AT82" s="50"/>
      <c r="AU82" s="298" t="s">
        <v>1219</v>
      </c>
      <c r="AV82" s="300"/>
      <c r="AW82" s="11" t="str">
        <f>IF(AU82="","BLANK",IF(AND(AU82="Bent",AU90="Square"),"REJECT","EQ"))</f>
        <v>EQ</v>
      </c>
      <c r="BI82" s="25" t="s">
        <v>423</v>
      </c>
      <c r="BJ82" s="44"/>
      <c r="BK82" s="44"/>
      <c r="BL82" s="44"/>
      <c r="BM82" s="44"/>
      <c r="BN82" s="44"/>
      <c r="BO82" s="44"/>
      <c r="BP82" s="44"/>
      <c r="BQ82" s="44"/>
      <c r="BU82" s="15"/>
      <c r="BV82" s="15"/>
      <c r="BW82" s="15" t="str">
        <f>IF(BY80="Round","Outer Diameter (OD):","Square side:")</f>
        <v>Square side:</v>
      </c>
      <c r="BX82" s="75">
        <f>IF($A$25="mm",25,0.984)</f>
        <v>0.98399999999999999</v>
      </c>
      <c r="BY82" s="16"/>
      <c r="BZ82" s="25" t="str">
        <f>IF($A$25="mm","mm","in")</f>
        <v>in</v>
      </c>
      <c r="CA82" s="11" t="str">
        <f t="shared" si="3"/>
        <v>N/A</v>
      </c>
      <c r="CC82" s="15"/>
      <c r="CD82" s="15"/>
      <c r="CE82" s="15"/>
      <c r="CF82" s="15"/>
      <c r="CG82" s="15"/>
      <c r="CH82" s="15" t="str">
        <f>IF(AT84="Composite","",IF($A$25="mm","Top surface of Lower SIS to top Rear Bulkhead edge &gt;=265mm:","Top surface of Lower SIS to top Rear Bulkhead edge &gt;=10.43in:"))</f>
        <v>Top surface of Lower SIS to top Rear Bulkhead edge &gt;=10.43in:</v>
      </c>
      <c r="CI82" s="79"/>
      <c r="CJ82" s="25" t="str">
        <f>IF($A$25="mm","mm","in")</f>
        <v>in</v>
      </c>
      <c r="CK82" s="11" t="str">
        <f>IF($G$8="IC - Internal Combustion","N/A",IF(CI82="","BLANK",IF(OR(AND($A$25="mm",CI82&gt;=265),AND($A$25="Inch",CI82&gt;=10.43)),"EQ","REJECT")))</f>
        <v>N/A</v>
      </c>
      <c r="CN82" s="12" t="s">
        <v>286</v>
      </c>
      <c r="CO82" s="25" t="s">
        <v>283</v>
      </c>
    </row>
    <row r="83" spans="1:102" ht="15" customHeight="1" thickBot="1" x14ac:dyDescent="0.25">
      <c r="A83" s="88"/>
      <c r="B83" s="89"/>
      <c r="C83" s="89"/>
      <c r="D83" s="89"/>
      <c r="E83" s="89"/>
      <c r="F83" s="89"/>
      <c r="G83" s="89"/>
      <c r="H83" s="89"/>
      <c r="I83" s="90"/>
      <c r="K83" s="25"/>
      <c r="L83" s="296" t="str">
        <f>IF(Q82&lt;=10,"Rearward Front Hoop Brace is not required.","Rearward Front Hoop Brace Required by Front Hoop.")</f>
        <v>Rearward Front Hoop Brace is not required.</v>
      </c>
      <c r="M83" s="296"/>
      <c r="N83" s="296"/>
      <c r="O83" s="296"/>
      <c r="P83" s="296"/>
      <c r="Q83" s="296"/>
      <c r="R83" s="296"/>
      <c r="S83" s="11"/>
      <c r="U83" s="12" t="s">
        <v>232</v>
      </c>
      <c r="V83" s="25" t="s">
        <v>244</v>
      </c>
      <c r="AO83" s="12"/>
      <c r="AQ83" s="11"/>
      <c r="AR83" s="11"/>
      <c r="AS83" s="11"/>
      <c r="AT83" s="12" t="s">
        <v>142</v>
      </c>
      <c r="AU83" s="296" t="s">
        <v>143</v>
      </c>
      <c r="AV83" s="296"/>
      <c r="AW83" s="11" t="s">
        <v>56</v>
      </c>
      <c r="AY83" s="295" t="str">
        <f>IF(COUNTIF(BG84:BG91,"BLANK"),"BLANK",IF(OR(SUMPRODUCT(--ISERROR(BG84:BG91))&gt;0,COUNTIF(BG84:BG91,"REJECT")),"REJECT",IF(COUNTIF(BG84:BG91,"CHECK"),"CHECK","EQ")))</f>
        <v>EQ</v>
      </c>
      <c r="AZ83" s="295"/>
      <c r="BA83" s="295"/>
      <c r="BB83" s="295"/>
      <c r="BC83" s="295"/>
      <c r="BD83" s="295"/>
      <c r="BE83" s="295"/>
      <c r="BF83" s="295"/>
      <c r="BG83" s="295"/>
      <c r="BI83" s="12" t="s">
        <v>334</v>
      </c>
      <c r="BJ83" s="25" t="s">
        <v>432</v>
      </c>
      <c r="BK83" s="44"/>
      <c r="BL83" s="44"/>
      <c r="BM83" s="44"/>
      <c r="BN83" s="44"/>
      <c r="BO83" s="44"/>
      <c r="BP83" s="44"/>
      <c r="BQ83" s="44"/>
      <c r="BR83" s="44"/>
      <c r="BU83" s="15"/>
      <c r="BV83" s="15"/>
      <c r="BW83" s="15" t="s">
        <v>18</v>
      </c>
      <c r="BX83" s="28">
        <v>1.2</v>
      </c>
      <c r="BY83" s="11" t="str">
        <f>IF(BY81="","",IF($A$25="mm",BY81,ROUND(BY81*25.4,1)))</f>
        <v/>
      </c>
      <c r="BZ83" s="25" t="s">
        <v>141</v>
      </c>
      <c r="CA83" s="11" t="str">
        <f t="shared" si="3"/>
        <v>N/A</v>
      </c>
      <c r="CC83" s="124"/>
      <c r="CD83" s="307"/>
      <c r="CE83" s="307"/>
      <c r="CF83" s="307"/>
      <c r="CG83" s="307"/>
      <c r="CH83" s="26"/>
      <c r="CI83" s="26"/>
      <c r="CK83" s="11"/>
      <c r="CM83" s="15"/>
      <c r="CN83" s="12" t="s">
        <v>255</v>
      </c>
      <c r="CO83" s="25" t="s">
        <v>284</v>
      </c>
    </row>
    <row r="84" spans="1:102" ht="15" customHeight="1" thickBot="1" x14ac:dyDescent="0.25">
      <c r="A84" s="88"/>
      <c r="B84" s="89"/>
      <c r="C84" s="89"/>
      <c r="D84" s="89"/>
      <c r="E84" s="89"/>
      <c r="F84" s="89"/>
      <c r="G84" s="89"/>
      <c r="H84" s="89"/>
      <c r="I84" s="90"/>
      <c r="K84" s="25"/>
      <c r="L84" s="25"/>
      <c r="U84" s="12" t="s">
        <v>232</v>
      </c>
      <c r="V84" s="25" t="s">
        <v>245</v>
      </c>
      <c r="AE84" s="295" t="str">
        <f>IF(COUNTIF(AM85:AM92,"BLANK"),"BLANK",IF(OR(SUMPRODUCT(--ISERROR(AM85:AM92))&gt;0,COUNTIF(AM85:AM92,"REJECT")),"REJECT",IF(COUNTIF(AM85:AM92,"CHECK"),"CHECK","EQ")))</f>
        <v>EQ</v>
      </c>
      <c r="AF84" s="295"/>
      <c r="AG84" s="295"/>
      <c r="AH84" s="295"/>
      <c r="AI84" s="295"/>
      <c r="AJ84" s="295"/>
      <c r="AK84" s="295"/>
      <c r="AL84" s="295"/>
      <c r="AM84" s="295"/>
      <c r="AO84" s="12" t="s">
        <v>363</v>
      </c>
      <c r="AP84" s="25" t="str">
        <f>IF($A$25="mm",
"Example: 25mm x 2.5mm round",
"Example: 1.0in x 0.095in round")</f>
        <v>Example: 1.0in x 0.095in round</v>
      </c>
      <c r="AQ84" s="15"/>
      <c r="AR84" s="15"/>
      <c r="AS84" s="15"/>
      <c r="AT84" s="11" t="s">
        <v>156</v>
      </c>
      <c r="AU84" s="80" t="s">
        <v>3</v>
      </c>
      <c r="AW84" s="11" t="str">
        <f>IF(AU84="","BLANK",IF(AND(NOT(AU82="Straight"),AU84="Square"),"REJECT","EQ"))</f>
        <v>EQ</v>
      </c>
      <c r="AY84" s="12" t="s">
        <v>321</v>
      </c>
      <c r="AZ84" s="35" t="s">
        <v>160</v>
      </c>
      <c r="BA84" s="11"/>
      <c r="BB84" s="11"/>
      <c r="BC84" s="11"/>
      <c r="BD84" s="12" t="s">
        <v>142</v>
      </c>
      <c r="BE84" s="296" t="s">
        <v>143</v>
      </c>
      <c r="BF84" s="296"/>
      <c r="BG84" s="11" t="s">
        <v>56</v>
      </c>
      <c r="BI84" s="25" t="s">
        <v>473</v>
      </c>
      <c r="BJ84" s="44"/>
      <c r="BK84" s="44"/>
      <c r="BL84" s="44"/>
      <c r="BM84" s="44"/>
      <c r="BN84" s="44"/>
      <c r="BO84" s="44"/>
      <c r="BP84" s="44"/>
      <c r="BQ84" s="44"/>
      <c r="BR84" s="44"/>
      <c r="BU84" s="15"/>
      <c r="BV84" s="15"/>
      <c r="BW84" s="15" t="str">
        <f>IF(BY80="Round","Outer Diameter (OD):","Square side:")</f>
        <v>Square side:</v>
      </c>
      <c r="BX84" s="28">
        <v>25</v>
      </c>
      <c r="BY84" s="11" t="str">
        <f>IF(BY82="","",IF($A$25="mm",BY82,ROUND(BY82*25.4,1)))</f>
        <v/>
      </c>
      <c r="BZ84" s="25" t="s">
        <v>141</v>
      </c>
      <c r="CA84" s="11" t="str">
        <f t="shared" si="3"/>
        <v>N/A</v>
      </c>
      <c r="CC84" s="25" t="s">
        <v>404</v>
      </c>
      <c r="CM84" s="36"/>
      <c r="CN84" s="12" t="s">
        <v>255</v>
      </c>
      <c r="CO84" s="25" t="s">
        <v>285</v>
      </c>
    </row>
    <row r="85" spans="1:102" ht="15" customHeight="1" thickBot="1" x14ac:dyDescent="0.25">
      <c r="A85" s="88"/>
      <c r="B85" s="89"/>
      <c r="C85" s="89"/>
      <c r="D85" s="89"/>
      <c r="E85" s="89"/>
      <c r="F85" s="89"/>
      <c r="G85" s="89"/>
      <c r="H85" s="89"/>
      <c r="I85" s="90"/>
      <c r="K85" s="295" t="str">
        <f>IF(COUNTIF(S86,"BLANK"),"BLANK",IF(OR(SUMPRODUCT(--ISERROR(S86))&gt;0,COUNTIF(S86,"REJECT")),"REJECT",IF(COUNTIF(S86,"CHECK"),"CHECK","EQ")))</f>
        <v>EQ</v>
      </c>
      <c r="L85" s="295"/>
      <c r="M85" s="295"/>
      <c r="N85" s="295"/>
      <c r="O85" s="295"/>
      <c r="P85" s="295"/>
      <c r="Q85" s="295"/>
      <c r="R85" s="295"/>
      <c r="S85" s="295"/>
      <c r="U85" s="12" t="s">
        <v>248</v>
      </c>
      <c r="V85" s="25" t="s">
        <v>246</v>
      </c>
      <c r="AE85" s="12" t="s">
        <v>280</v>
      </c>
      <c r="AF85" s="35" t="s">
        <v>405</v>
      </c>
      <c r="AG85" s="11"/>
      <c r="AH85" s="11"/>
      <c r="AI85" s="11"/>
      <c r="AJ85" s="12" t="s">
        <v>142</v>
      </c>
      <c r="AK85" s="296" t="s">
        <v>143</v>
      </c>
      <c r="AL85" s="296"/>
      <c r="AM85" s="11" t="s">
        <v>56</v>
      </c>
      <c r="AO85" s="12" t="s">
        <v>356</v>
      </c>
      <c r="AQ85" s="15"/>
      <c r="AR85" s="15"/>
      <c r="AS85" s="15" t="s">
        <v>18</v>
      </c>
      <c r="AT85" s="75">
        <f>IF($A$25="mm",2,0.079)</f>
        <v>7.9000000000000001E-2</v>
      </c>
      <c r="AU85" s="16">
        <v>9.5000000000000001E-2</v>
      </c>
      <c r="AV85" s="25" t="str">
        <f>IF($A$25="mm","mm","in")</f>
        <v>in</v>
      </c>
      <c r="AW85" s="11" t="str">
        <f>IF(AU85="","BLANK",IF(AU85&lt;AT85,"REJECT","EQ"))</f>
        <v>EQ</v>
      </c>
      <c r="AY85" s="12" t="s">
        <v>365</v>
      </c>
      <c r="AZ85" s="25" t="str">
        <f>IF($A$25="mm",
"Example: 25.4mm x 1.6mm round",
"Example: 1.0in x 0.065in round")</f>
        <v>Example: 1.0in x 0.065in round</v>
      </c>
      <c r="BA85" s="15"/>
      <c r="BB85" s="15"/>
      <c r="BC85" s="15"/>
      <c r="BD85" s="11" t="s">
        <v>154</v>
      </c>
      <c r="BE85" s="80" t="s">
        <v>3</v>
      </c>
      <c r="BG85" s="11" t="str">
        <f>IF(BE85="","BLANK","EQ")</f>
        <v>EQ</v>
      </c>
      <c r="BI85" s="12" t="s">
        <v>424</v>
      </c>
      <c r="BJ85" s="25" t="s">
        <v>425</v>
      </c>
      <c r="BK85" s="44"/>
      <c r="BL85" s="44"/>
      <c r="BM85" s="44"/>
      <c r="BN85" s="44"/>
      <c r="BO85" s="44"/>
      <c r="BP85" s="44"/>
      <c r="BQ85" s="44"/>
      <c r="BR85" s="44"/>
      <c r="BT85" s="15"/>
      <c r="BU85" s="15"/>
      <c r="BV85" s="15"/>
      <c r="BW85" s="15" t="s">
        <v>146</v>
      </c>
      <c r="BX85" s="11">
        <v>114</v>
      </c>
      <c r="BY85" s="11" t="str">
        <f>IF(OR(BY81="",BY82=""),"",
IF(BY80="Round",
ROUND(PI()*((BY84/2)^2-((BY84-2*BY83)/2)^2),0),
ROUND(BY84^2-(BY84-2*BY83)^2,0)))</f>
        <v/>
      </c>
      <c r="BZ85" s="25" t="s">
        <v>144</v>
      </c>
      <c r="CA85" s="11" t="str">
        <f t="shared" si="3"/>
        <v>N/A</v>
      </c>
      <c r="CC85" s="35" t="s">
        <v>510</v>
      </c>
      <c r="CD85" s="25" t="s">
        <v>347</v>
      </c>
      <c r="CE85" s="44"/>
      <c r="CF85" s="44"/>
      <c r="CG85" s="44"/>
      <c r="CH85" s="44"/>
      <c r="CI85" s="44"/>
      <c r="CJ85" s="44"/>
      <c r="CK85" s="44"/>
      <c r="CN85" s="25" t="s">
        <v>62</v>
      </c>
      <c r="CX85" s="14"/>
    </row>
    <row r="86" spans="1:102" ht="15" customHeight="1" thickBot="1" x14ac:dyDescent="0.25">
      <c r="A86" s="88"/>
      <c r="B86" s="89"/>
      <c r="C86" s="89"/>
      <c r="D86" s="89"/>
      <c r="E86" s="89"/>
      <c r="F86" s="89"/>
      <c r="G86" s="89"/>
      <c r="H86" s="89"/>
      <c r="I86" s="90"/>
      <c r="K86" s="12" t="s">
        <v>415</v>
      </c>
      <c r="M86" s="15"/>
      <c r="N86" s="15"/>
      <c r="O86" s="15"/>
      <c r="P86" s="15" t="s">
        <v>416</v>
      </c>
      <c r="Q86" s="80" t="s">
        <v>1216</v>
      </c>
      <c r="S86" s="11" t="str">
        <f>IF(Q86="","BLANK","EQ")</f>
        <v>EQ</v>
      </c>
      <c r="U86" s="25" t="s">
        <v>291</v>
      </c>
      <c r="AE86" s="12" t="s">
        <v>361</v>
      </c>
      <c r="AF86" s="25" t="str">
        <f>IF($A$25="mm",
"Example: 25.4mm x 1.6mm round",
"Example: 1.0in x 0.065in round")</f>
        <v>Example: 1.0in x 0.065in round</v>
      </c>
      <c r="AG86" s="15"/>
      <c r="AH86" s="15"/>
      <c r="AI86" s="15"/>
      <c r="AJ86" s="11" t="s">
        <v>154</v>
      </c>
      <c r="AK86" s="80" t="s">
        <v>3</v>
      </c>
      <c r="AM86" s="11" t="str">
        <f>IF(AK86="","BLANK","EQ")</f>
        <v>EQ</v>
      </c>
      <c r="AQ86" s="15"/>
      <c r="AR86" s="15"/>
      <c r="AS86" s="15" t="str">
        <f>IF(AU84="Round","Outer Diameter (OD):","Square side:")</f>
        <v>Outer Diameter (OD):</v>
      </c>
      <c r="AT86" s="75">
        <f>IF($A$25="mm",25,0.984)</f>
        <v>0.98399999999999999</v>
      </c>
      <c r="AU86" s="16">
        <v>1</v>
      </c>
      <c r="AV86" s="25" t="str">
        <f>IF($A$25="mm","mm","in")</f>
        <v>in</v>
      </c>
      <c r="AW86" s="11" t="str">
        <f t="shared" ref="AW86:AW90" si="4">IF(AU86="","BLANK",IF(AU86&lt;AT86,"REJECT","EQ"))</f>
        <v>EQ</v>
      </c>
      <c r="AY86" s="12" t="s">
        <v>360</v>
      </c>
      <c r="BA86" s="15"/>
      <c r="BB86" s="15"/>
      <c r="BC86" s="15" t="s">
        <v>18</v>
      </c>
      <c r="BD86" s="75">
        <f>IF($A$25="mm",1.2,0.047)</f>
        <v>4.7E-2</v>
      </c>
      <c r="BE86" s="16">
        <v>6.5000000000000002E-2</v>
      </c>
      <c r="BF86" s="25" t="str">
        <f>IF($A$25="mm","mm","in")</f>
        <v>in</v>
      </c>
      <c r="BG86" s="11" t="str">
        <f>IF(BE86="","BLANK",IF(BE86&lt;BD86,"REJECT","EQ"))</f>
        <v>EQ</v>
      </c>
      <c r="BI86" s="295" t="str" cm="1">
        <f t="array" ref="BI86">IF(COUNTIF(BQ87:BQ95,"BLANK"),"BLANK",IF(OR(SUMPRODUCT(--ISERROR(BQ87:BQ95))&gt;0,COUNTIF(BQ87:BQ95,"REJECT")),"REJECT",IF(COUNTIF(BQ87:BQ95,"CHECK"),"CHECK","EQ")))</f>
        <v>EQ</v>
      </c>
      <c r="BJ86" s="295"/>
      <c r="BK86" s="295"/>
      <c r="BL86" s="295"/>
      <c r="BM86" s="295"/>
      <c r="BN86" s="295"/>
      <c r="BO86" s="295"/>
      <c r="BP86" s="295"/>
      <c r="BQ86" s="295"/>
      <c r="BR86" s="44"/>
      <c r="BT86" s="15"/>
      <c r="BU86" s="15"/>
      <c r="BV86" s="15"/>
      <c r="BW86" s="15" t="s">
        <v>147</v>
      </c>
      <c r="BX86" s="11">
        <v>8509</v>
      </c>
      <c r="BY86" s="11" t="str">
        <f>IF(OR(BY81="",BY82=""),"",
IF(BY80="Round",
ROUND((PI()/4)*((BY84/2)^4-((BY84-2*BY83)/2)^4),0),
ROUND((BY84^4-(BY84-2*BY83)^4)/12,0)))</f>
        <v/>
      </c>
      <c r="BZ86" s="25" t="s">
        <v>145</v>
      </c>
      <c r="CA86" s="11" t="str">
        <f t="shared" si="3"/>
        <v>N/A</v>
      </c>
      <c r="CC86" s="25" t="s">
        <v>288</v>
      </c>
      <c r="CD86" s="44"/>
      <c r="CE86" s="44"/>
      <c r="CF86" s="44"/>
      <c r="CG86" s="44"/>
      <c r="CH86" s="44"/>
      <c r="CI86" s="44"/>
      <c r="CJ86" s="44"/>
      <c r="CK86" s="44"/>
      <c r="CN86" s="25" t="s">
        <v>63</v>
      </c>
      <c r="CX86" s="14"/>
    </row>
    <row r="87" spans="1:102" ht="15" customHeight="1" thickBot="1" x14ac:dyDescent="0.25">
      <c r="A87" s="88"/>
      <c r="B87" s="89"/>
      <c r="C87" s="89"/>
      <c r="D87" s="89"/>
      <c r="E87" s="89"/>
      <c r="F87" s="89"/>
      <c r="G87" s="89"/>
      <c r="H87" s="89"/>
      <c r="I87" s="90"/>
      <c r="K87" s="83"/>
      <c r="L87" s="25"/>
      <c r="O87" s="12" t="str">
        <f>IF(Q86="Inside","Additional steering protection is not required.","Additional steering protection required "&amp;Q86&amp;" the FBHS.")</f>
        <v>Additional steering protection is not required.</v>
      </c>
      <c r="P87" s="15"/>
      <c r="Q87" s="26"/>
      <c r="R87" s="53"/>
      <c r="S87" s="11" t="s">
        <v>56</v>
      </c>
      <c r="U87" s="25" t="s">
        <v>115</v>
      </c>
      <c r="AE87" s="12" t="s">
        <v>360</v>
      </c>
      <c r="AG87" s="15"/>
      <c r="AH87" s="15"/>
      <c r="AI87" s="15" t="s">
        <v>18</v>
      </c>
      <c r="AJ87" s="75">
        <f>IF($A$25="mm",1.2,0.047)</f>
        <v>4.7E-2</v>
      </c>
      <c r="AK87" s="16">
        <v>6.5000000000000002E-2</v>
      </c>
      <c r="AL87" s="25" t="str">
        <f>IF($A$25="mm","mm","in")</f>
        <v>in</v>
      </c>
      <c r="AM87" s="11" t="str">
        <f>IF(AK87="","BLANK",IF(AK87&lt;AJ87,"REJECT","EQ"))</f>
        <v>EQ</v>
      </c>
      <c r="AQ87" s="15"/>
      <c r="AR87" s="15"/>
      <c r="AS87" s="15" t="s">
        <v>18</v>
      </c>
      <c r="AT87" s="28">
        <v>2</v>
      </c>
      <c r="AU87" s="11">
        <f>IF(AU85="","",IF($A$25="mm",AU85,ROUND(AU85*25.4,1)))</f>
        <v>2.4</v>
      </c>
      <c r="AV87" s="25" t="s">
        <v>141</v>
      </c>
      <c r="AW87" s="11" t="str">
        <f t="shared" si="4"/>
        <v>EQ</v>
      </c>
      <c r="BA87" s="15"/>
      <c r="BB87" s="15"/>
      <c r="BC87" s="15" t="str">
        <f>IF(BE85="Round","Outer Diameter (OD):","Square side:")</f>
        <v>Outer Diameter (OD):</v>
      </c>
      <c r="BD87" s="75">
        <f>IF($A$25="mm",25,0.984)</f>
        <v>0.98399999999999999</v>
      </c>
      <c r="BE87" s="16">
        <v>1</v>
      </c>
      <c r="BF87" s="25" t="str">
        <f>IF($A$25="mm","mm","in")</f>
        <v>in</v>
      </c>
      <c r="BG87" s="11" t="str">
        <f t="shared" ref="BG87:BG91" si="5">IF(BE87="","BLANK",IF(BE87&lt;BD87,"REJECT","EQ"))</f>
        <v>EQ</v>
      </c>
      <c r="BI87" s="12" t="s">
        <v>277</v>
      </c>
      <c r="BK87" s="15"/>
      <c r="BL87" s="15"/>
      <c r="BM87" s="15"/>
      <c r="BN87" s="15" t="s">
        <v>372</v>
      </c>
      <c r="BO87" s="81">
        <v>1.05</v>
      </c>
      <c r="BP87" s="25" t="str">
        <f>IF($A$25="mm","mm","in")</f>
        <v>in</v>
      </c>
      <c r="BQ87" s="11" t="str">
        <f>IF(BO87="","BLANK",IF(BO87&gt;=0,"EQ","REJECT"))</f>
        <v>EQ</v>
      </c>
      <c r="BR87" s="44"/>
      <c r="BT87" s="13"/>
      <c r="BU87" s="13"/>
      <c r="BV87" s="13"/>
      <c r="BW87" s="13"/>
      <c r="BX87" s="13"/>
      <c r="BY87" s="13"/>
      <c r="BZ87" s="13"/>
      <c r="CA87" s="13"/>
      <c r="CD87" s="44"/>
      <c r="CE87" s="44"/>
      <c r="CF87" s="44"/>
      <c r="CG87" s="44"/>
      <c r="CH87" s="44"/>
      <c r="CI87" s="44"/>
      <c r="CJ87" s="44"/>
      <c r="CK87" s="44"/>
      <c r="CN87" s="76"/>
      <c r="CX87" s="14"/>
    </row>
    <row r="88" spans="1:102" ht="15" customHeight="1" thickBot="1" x14ac:dyDescent="0.25">
      <c r="A88" s="88"/>
      <c r="B88" s="89"/>
      <c r="C88" s="89"/>
      <c r="D88" s="89"/>
      <c r="E88" s="89"/>
      <c r="F88" s="89"/>
      <c r="G88" s="89"/>
      <c r="H88" s="89"/>
      <c r="I88" s="90"/>
      <c r="K88" s="12" t="s">
        <v>415</v>
      </c>
      <c r="L88" s="35" t="s">
        <v>445</v>
      </c>
      <c r="M88" s="35"/>
      <c r="N88" s="35"/>
      <c r="O88" s="35"/>
      <c r="P88" s="12" t="s">
        <v>142</v>
      </c>
      <c r="Q88" s="296" t="s">
        <v>143</v>
      </c>
      <c r="R88" s="296"/>
      <c r="S88" s="11" t="str">
        <f>IF(Q86="Inside","N/A","EQ")</f>
        <v>N/A</v>
      </c>
      <c r="U88" s="295" t="str">
        <f>IF(COUNTIF(AC89:AC96,"BLANK"),"BLANK",IF(OR(SUMPRODUCT(--ISERROR(AC89:AC96))&gt;0,COUNTIF(AC89:AC96,"REJECT")),"REJECT",IF(COUNTIF(AC89:AC96,"CHECK"),"CHECK","EQ")))</f>
        <v>EQ</v>
      </c>
      <c r="V88" s="295"/>
      <c r="W88" s="295"/>
      <c r="X88" s="295"/>
      <c r="Y88" s="295"/>
      <c r="Z88" s="295"/>
      <c r="AA88" s="295"/>
      <c r="AB88" s="295"/>
      <c r="AC88" s="295"/>
      <c r="AG88" s="15"/>
      <c r="AH88" s="15"/>
      <c r="AI88" s="15" t="str">
        <f>IF(AK86="Round","Outer Diameter (OD):","Square side:")</f>
        <v>Outer Diameter (OD):</v>
      </c>
      <c r="AJ88" s="75">
        <f>IF($A$25="mm",25,0.984)</f>
        <v>0.98399999999999999</v>
      </c>
      <c r="AK88" s="16">
        <v>1</v>
      </c>
      <c r="AL88" s="25" t="str">
        <f>IF($A$25="mm","mm","in")</f>
        <v>in</v>
      </c>
      <c r="AM88" s="11" t="str">
        <f t="shared" ref="AM88:AM92" si="6">IF(AK88="","BLANK",IF(AK88&lt;AJ88,"REJECT","EQ"))</f>
        <v>EQ</v>
      </c>
      <c r="AQ88" s="15"/>
      <c r="AR88" s="15"/>
      <c r="AS88" s="15" t="str">
        <f>IF(AU84="Round","Outer Diameter (OD):","Square side:")</f>
        <v>Outer Diameter (OD):</v>
      </c>
      <c r="AT88" s="28">
        <v>25</v>
      </c>
      <c r="AU88" s="11">
        <f>IF(AU86="","",IF($A$25="mm",AU86,ROUND(AU86*25.4,1)))</f>
        <v>25.4</v>
      </c>
      <c r="AV88" s="25" t="s">
        <v>141</v>
      </c>
      <c r="AW88" s="11" t="str">
        <f t="shared" si="4"/>
        <v>EQ</v>
      </c>
      <c r="BA88" s="15"/>
      <c r="BB88" s="15"/>
      <c r="BC88" s="15" t="s">
        <v>18</v>
      </c>
      <c r="BD88" s="28">
        <v>1.2</v>
      </c>
      <c r="BE88" s="11">
        <f>IF(BE86="","",IF($A$25="mm",BE86,ROUND(BE86*25.4,1)))</f>
        <v>1.7</v>
      </c>
      <c r="BF88" s="25" t="s">
        <v>141</v>
      </c>
      <c r="BG88" s="11" t="str">
        <f t="shared" si="5"/>
        <v>EQ</v>
      </c>
      <c r="BI88" s="12" t="s">
        <v>334</v>
      </c>
      <c r="BJ88" s="35"/>
      <c r="BK88" s="11"/>
      <c r="BL88" s="11"/>
      <c r="BM88" s="11"/>
      <c r="BN88" s="32" t="s">
        <v>373</v>
      </c>
      <c r="BO88" s="298" t="s">
        <v>1231</v>
      </c>
      <c r="BP88" s="300"/>
      <c r="BQ88" s="11" t="str">
        <f>IF(BO88="","BLANK","EQ")</f>
        <v>EQ</v>
      </c>
      <c r="BS88" s="295" t="str" cm="1">
        <f t="array" ref="BS88">IF(COUNTIF(BS90:CA90,"BLANK"),"BLANK",IF(OR(SUMPRODUCT(--ISERROR(BS90:CA90))&gt;0,COUNTIF(BS90:CA90,"REJECT")),"REJECT",IF(COUNTIF(BS90:CA90,"CHECK"),"CHECK","EQ")))</f>
        <v>EQ</v>
      </c>
      <c r="BT88" s="295"/>
      <c r="BU88" s="295"/>
      <c r="BV88" s="295"/>
      <c r="BW88" s="295"/>
      <c r="BX88" s="295"/>
      <c r="BY88" s="295"/>
      <c r="BZ88" s="295"/>
      <c r="CA88" s="295"/>
      <c r="CC88" s="125" t="s">
        <v>335</v>
      </c>
      <c r="CN88" s="25" t="s">
        <v>65</v>
      </c>
    </row>
    <row r="89" spans="1:102" ht="15" customHeight="1" thickBot="1" x14ac:dyDescent="0.25">
      <c r="A89" s="88"/>
      <c r="B89" s="89"/>
      <c r="C89" s="89"/>
      <c r="D89" s="89"/>
      <c r="E89" s="89"/>
      <c r="F89" s="89"/>
      <c r="G89" s="89"/>
      <c r="H89" s="89"/>
      <c r="I89" s="90"/>
      <c r="K89" s="12" t="s">
        <v>369</v>
      </c>
      <c r="L89" s="25" t="s">
        <v>446</v>
      </c>
      <c r="M89" s="15"/>
      <c r="N89" s="15"/>
      <c r="O89" s="15"/>
      <c r="P89" s="11" t="s">
        <v>155</v>
      </c>
      <c r="Q89" s="80"/>
      <c r="S89" s="11" t="str">
        <f>IF(S88="N/A","N/A",
IF(Q89="","BLANK","EQ"))</f>
        <v>N/A</v>
      </c>
      <c r="U89" s="12" t="s">
        <v>149</v>
      </c>
      <c r="V89" s="35" t="s">
        <v>150</v>
      </c>
      <c r="W89" s="11"/>
      <c r="X89" s="11"/>
      <c r="Y89" s="11"/>
      <c r="Z89" s="12" t="s">
        <v>142</v>
      </c>
      <c r="AA89" s="296" t="s">
        <v>143</v>
      </c>
      <c r="AB89" s="296"/>
      <c r="AC89" s="11" t="s">
        <v>56</v>
      </c>
      <c r="AG89" s="15"/>
      <c r="AH89" s="15"/>
      <c r="AI89" s="15" t="s">
        <v>18</v>
      </c>
      <c r="AJ89" s="28">
        <v>1.2</v>
      </c>
      <c r="AK89" s="11">
        <f>IF(AK87="","",IF($A$25="mm",AK87,ROUND(AK87*25.4,1)))</f>
        <v>1.7</v>
      </c>
      <c r="AL89" s="25" t="s">
        <v>141</v>
      </c>
      <c r="AM89" s="11" t="str">
        <f t="shared" si="6"/>
        <v>EQ</v>
      </c>
      <c r="AP89" s="15"/>
      <c r="AQ89" s="15"/>
      <c r="AR89" s="15"/>
      <c r="AS89" s="15" t="s">
        <v>146</v>
      </c>
      <c r="AT89" s="11">
        <v>173</v>
      </c>
      <c r="AU89" s="11">
        <f>IF(OR(AU85="",AU86=""),"",
IF(AU84="Round",
ROUND(PI()*((AU88/2)^2-((AU88-2*AU87)/2)^2),0),
ROUND(AU88^2-(AU88-2*AU87)^2,0)))</f>
        <v>173</v>
      </c>
      <c r="AV89" s="25" t="s">
        <v>144</v>
      </c>
      <c r="AW89" s="11" t="str">
        <f t="shared" si="4"/>
        <v>EQ</v>
      </c>
      <c r="BA89" s="15"/>
      <c r="BB89" s="15"/>
      <c r="BC89" s="15" t="str">
        <f>IF(BE85="Round","Outer Diameter (OD):","Square side:")</f>
        <v>Outer Diameter (OD):</v>
      </c>
      <c r="BD89" s="28">
        <v>25</v>
      </c>
      <c r="BE89" s="11">
        <f>IF(BE87="","",IF($A$25="mm",BE87,ROUND(BE87*25.4,1)))</f>
        <v>25.4</v>
      </c>
      <c r="BF89" s="25" t="s">
        <v>141</v>
      </c>
      <c r="BG89" s="11" t="str">
        <f t="shared" si="5"/>
        <v>EQ</v>
      </c>
      <c r="BI89" s="12" t="s">
        <v>365</v>
      </c>
      <c r="BJ89" s="25" t="str">
        <f>IF($A$25="mm",
"Example: 25.4mm x 1.6mm round",
"Example: 1.0in x 0.065in round")</f>
        <v>Example: 1.0in x 0.065in round</v>
      </c>
      <c r="BK89" s="15"/>
      <c r="BL89" s="15"/>
      <c r="BM89" s="15"/>
      <c r="BN89" s="11" t="s">
        <v>154</v>
      </c>
      <c r="BO89" s="101"/>
      <c r="BQ89" s="11" t="str">
        <f>IF(NOT(BO88="YES"),"N/A",
IF(BO89="","BLANK","EQ"))</f>
        <v>N/A</v>
      </c>
      <c r="BS89" s="12" t="s">
        <v>374</v>
      </c>
      <c r="BT89" s="15"/>
      <c r="BU89" s="15"/>
      <c r="BV89" s="15"/>
      <c r="BW89" s="15"/>
      <c r="BX89" s="15" t="str">
        <f>IF(AJ85="Composite","",IF($A$25="mm","Air gap to driver's seat &gt;=25mm:","Air gap to driver's seat &gt;=0.984in:"))</f>
        <v>Air gap to driver's seat &gt;=0.984in:</v>
      </c>
      <c r="BY89" s="79"/>
      <c r="BZ89" s="25" t="str">
        <f>IF($A$25="mm","mm","in")</f>
        <v>in</v>
      </c>
      <c r="CA89" s="11" t="str">
        <f>IF($G$8="IC - Internal Combustion","N/A",IF(BY89="","BLANK",IF(OR(AND($A$25="mm",BY89&gt;=25),AND($A$25="Inch",BY89&gt;=0.984)),"EQ","REJECT")))</f>
        <v>N/A</v>
      </c>
      <c r="CC89" s="125" t="s">
        <v>349</v>
      </c>
      <c r="CN89" s="25" t="s">
        <v>64</v>
      </c>
    </row>
    <row r="90" spans="1:102" ht="15" customHeight="1" thickBot="1" x14ac:dyDescent="0.25">
      <c r="A90" s="88"/>
      <c r="B90" s="89"/>
      <c r="C90" s="89"/>
      <c r="D90" s="89"/>
      <c r="E90" s="89"/>
      <c r="F90" s="89"/>
      <c r="G90" s="89"/>
      <c r="H90" s="89"/>
      <c r="I90" s="90"/>
      <c r="K90" s="12" t="s">
        <v>358</v>
      </c>
      <c r="L90" s="25"/>
      <c r="M90" s="15"/>
      <c r="N90" s="15"/>
      <c r="O90" s="15" t="s">
        <v>18</v>
      </c>
      <c r="P90" s="75">
        <f>IF($A$25="mm",1.2,0.047)</f>
        <v>4.7E-2</v>
      </c>
      <c r="Q90" s="16"/>
      <c r="R90" s="25" t="str">
        <f>IF($A$25="mm","mm","in")</f>
        <v>in</v>
      </c>
      <c r="S90" s="11" t="str">
        <f>IF(S88="N/A","N/A",
IF(Q90="","BLANK",IF(Q90&lt;P90,"REJECT","EQ")))</f>
        <v>N/A</v>
      </c>
      <c r="U90" s="12" t="s">
        <v>357</v>
      </c>
      <c r="V90" s="25" t="str">
        <f>IF($A$25="mm",
"Example: 25.4mm x 1.2mm round",
"Example: 1.0in x 0.047in round")</f>
        <v>Example: 1.0in x 0.047in round</v>
      </c>
      <c r="W90" s="15"/>
      <c r="X90" s="15"/>
      <c r="Y90" s="15"/>
      <c r="Z90" s="11" t="s">
        <v>155</v>
      </c>
      <c r="AA90" s="80" t="s">
        <v>3</v>
      </c>
      <c r="AC90" s="11" t="str">
        <f>IF(AA90="","BLANK","EQ")</f>
        <v>EQ</v>
      </c>
      <c r="AG90" s="15"/>
      <c r="AH90" s="15"/>
      <c r="AI90" s="15" t="str">
        <f>IF(AK86="Round","Outer Diameter (OD):","Square side:")</f>
        <v>Outer Diameter (OD):</v>
      </c>
      <c r="AJ90" s="28">
        <v>25</v>
      </c>
      <c r="AK90" s="11">
        <f>IF(AK88="","",IF($A$25="mm",AK88,ROUND(AK88*25.4,1)))</f>
        <v>25.4</v>
      </c>
      <c r="AL90" s="25" t="s">
        <v>141</v>
      </c>
      <c r="AM90" s="11" t="str">
        <f t="shared" si="6"/>
        <v>EQ</v>
      </c>
      <c r="AP90" s="15"/>
      <c r="AQ90" s="15"/>
      <c r="AR90" s="15"/>
      <c r="AS90" s="15" t="s">
        <v>147</v>
      </c>
      <c r="AT90" s="11">
        <v>11320</v>
      </c>
      <c r="AU90" s="11">
        <f>IF(OR(AU85="",AU86=""),"",
IF(AU84="Round",
ROUND((PI()/4)*((AU88/2)^4-((AU88-2*AU87)/2)^4),0),
ROUND((AU88^4-(AU88-2*AU87)^4)/12,0)))</f>
        <v>11592</v>
      </c>
      <c r="AV90" s="25" t="s">
        <v>145</v>
      </c>
      <c r="AW90" s="11" t="str">
        <f t="shared" si="4"/>
        <v>EQ</v>
      </c>
      <c r="AZ90" s="15"/>
      <c r="BA90" s="15"/>
      <c r="BB90" s="15"/>
      <c r="BC90" s="15" t="s">
        <v>146</v>
      </c>
      <c r="BD90" s="11">
        <v>114</v>
      </c>
      <c r="BE90" s="11">
        <f>IF(OR(BE86="",BE87=""),"",
IF(BE85="Round",
ROUND(PI()*((BE89/2)^2-((BE89-2*BE88)/2)^2),0),
ROUND(BE89^2-(BE89-2*BE88)^2,0)))</f>
        <v>127</v>
      </c>
      <c r="BF90" s="25" t="s">
        <v>144</v>
      </c>
      <c r="BG90" s="11" t="str">
        <f t="shared" si="5"/>
        <v>EQ</v>
      </c>
      <c r="BI90" s="12" t="s">
        <v>360</v>
      </c>
      <c r="BK90" s="15"/>
      <c r="BL90" s="15"/>
      <c r="BM90" s="15" t="s">
        <v>18</v>
      </c>
      <c r="BN90" s="75">
        <f>IF($A$25="mm",1.2,0.047)</f>
        <v>4.7E-2</v>
      </c>
      <c r="BO90" s="16"/>
      <c r="BP90" s="25" t="str">
        <f>IF($A$25="mm","mm","in")</f>
        <v>in</v>
      </c>
      <c r="BQ90" s="11" t="str">
        <f>IF(NOT(BO88="YES"),"N/A",
IF(BO90="","BLANK",IF(BO90&lt;BN90,"REJECT","EQ")))</f>
        <v>N/A</v>
      </c>
      <c r="BR90" s="11"/>
      <c r="BS90" s="15"/>
      <c r="BT90" s="15"/>
      <c r="BU90" s="15"/>
      <c r="BV90" s="15"/>
      <c r="BW90" s="15"/>
      <c r="BX90" s="15" t="s">
        <v>435</v>
      </c>
      <c r="BY90" s="298"/>
      <c r="BZ90" s="300"/>
      <c r="CA90" s="11" t="str">
        <f>IF($G$8="IC - Internal Combustion","N/A",IF(BY90="","BLANK","EQ"))</f>
        <v>N/A</v>
      </c>
      <c r="CC90" s="125" t="s">
        <v>525</v>
      </c>
    </row>
    <row r="91" spans="1:102" ht="15" customHeight="1" x14ac:dyDescent="0.2">
      <c r="A91" s="88"/>
      <c r="B91" s="89"/>
      <c r="C91" s="89"/>
      <c r="D91" s="89"/>
      <c r="E91" s="89"/>
      <c r="F91" s="89"/>
      <c r="G91" s="89"/>
      <c r="H91" s="89"/>
      <c r="I91" s="90"/>
      <c r="K91" s="25"/>
      <c r="L91" s="25"/>
      <c r="M91" s="15"/>
      <c r="N91" s="15"/>
      <c r="O91" s="15" t="str">
        <f>IF(Q89="Round","Outer Diameter (OD):","Square side:")</f>
        <v>Square side:</v>
      </c>
      <c r="P91" s="75">
        <f>IF($A$25="mm",25,0.984)</f>
        <v>0.98399999999999999</v>
      </c>
      <c r="Q91" s="16"/>
      <c r="R91" s="25" t="str">
        <f>IF($A$25="mm","mm","in")</f>
        <v>in</v>
      </c>
      <c r="S91" s="11" t="str">
        <f>IF(S88="N/A","N/A",
IF(Q91="","BLANK",IF(Q91&lt;P91,"REJECT","EQ")))</f>
        <v>N/A</v>
      </c>
      <c r="U91" s="12" t="s">
        <v>358</v>
      </c>
      <c r="W91" s="15"/>
      <c r="X91" s="15"/>
      <c r="Y91" s="15" t="s">
        <v>18</v>
      </c>
      <c r="Z91" s="75">
        <f>IF($A$25="mm",1.2,0.047)</f>
        <v>4.7E-2</v>
      </c>
      <c r="AA91" s="16">
        <v>4.9000000000000002E-2</v>
      </c>
      <c r="AB91" s="25" t="str">
        <f>IF($A$25="mm","mm","in")</f>
        <v>in</v>
      </c>
      <c r="AC91" s="11" t="str">
        <f t="shared" ref="AC91:AC96" si="7">IF(AA91="","BLANK",IF(AA91&lt;Z91,"REJECT","EQ"))</f>
        <v>EQ</v>
      </c>
      <c r="AF91" s="15"/>
      <c r="AG91" s="15"/>
      <c r="AH91" s="15"/>
      <c r="AI91" s="15" t="s">
        <v>146</v>
      </c>
      <c r="AJ91" s="11">
        <v>114</v>
      </c>
      <c r="AK91" s="11">
        <f>IF(OR(AK87="",AK88=""),"",
IF(AK86="Round",
ROUND(PI()*((AK90/2)^2-((AK90-2*AK89)/2)^2),0),
ROUND(AK90^2-(AK90-2*AK89)^2,0)))</f>
        <v>127</v>
      </c>
      <c r="AL91" s="25" t="s">
        <v>144</v>
      </c>
      <c r="AM91" s="11" t="str">
        <f t="shared" si="6"/>
        <v>EQ</v>
      </c>
      <c r="AP91" s="15"/>
      <c r="AQ91" s="15"/>
      <c r="AR91" s="15"/>
      <c r="AS91" s="15"/>
      <c r="AT91" s="11"/>
      <c r="AU91" s="11"/>
      <c r="AW91" s="11"/>
      <c r="AZ91" s="15"/>
      <c r="BA91" s="15"/>
      <c r="BB91" s="15"/>
      <c r="BC91" s="15" t="s">
        <v>147</v>
      </c>
      <c r="BD91" s="11">
        <v>8509</v>
      </c>
      <c r="BE91" s="11">
        <f>IF(OR(BE86="",BE87=""),"",
IF(BE85="Round",
ROUND((PI()/4)*((BE89/2)^4-((BE89-2*BE88)/2)^4),0),
ROUND((BE89^4-(BE89-2*BE88)^4)/12,0)))</f>
        <v>8933</v>
      </c>
      <c r="BF91" s="25" t="s">
        <v>145</v>
      </c>
      <c r="BG91" s="11" t="str">
        <f t="shared" si="5"/>
        <v>EQ</v>
      </c>
      <c r="BK91" s="15"/>
      <c r="BL91" s="15"/>
      <c r="BM91" s="15" t="str">
        <f>IF(BO89="Round","Outer Diameter (OD):","Square side:")</f>
        <v>Square side:</v>
      </c>
      <c r="BN91" s="75">
        <f>IF($A$25="mm",25,0.984)</f>
        <v>0.98399999999999999</v>
      </c>
      <c r="BO91" s="16"/>
      <c r="BP91" s="25" t="str">
        <f>IF($A$25="mm","mm","in")</f>
        <v>in</v>
      </c>
      <c r="BQ91" s="11" t="str">
        <f>IF(NOT(BO88="YES"),"N/A",
IF(BO91="","BLANK",IF(BO91&lt;BN91,"REJECT","EQ")))</f>
        <v>N/A</v>
      </c>
      <c r="BR91" s="11"/>
      <c r="BS91" s="13"/>
      <c r="BT91" s="13"/>
      <c r="BU91" s="13"/>
      <c r="BV91" s="13"/>
      <c r="BW91" s="13"/>
      <c r="BX91" s="13"/>
      <c r="BY91" s="13"/>
      <c r="BZ91" s="13"/>
      <c r="CA91" s="13"/>
      <c r="CC91" s="125"/>
      <c r="CN91" s="303" t="s">
        <v>199</v>
      </c>
      <c r="CO91" s="303"/>
      <c r="CP91" s="303"/>
      <c r="CQ91" s="303"/>
      <c r="CR91" s="303"/>
      <c r="CS91" s="303"/>
      <c r="CT91" s="303"/>
      <c r="CU91" s="14"/>
      <c r="CV91" s="14"/>
      <c r="CW91" s="14"/>
    </row>
    <row r="92" spans="1:102" ht="15" customHeight="1" x14ac:dyDescent="0.2">
      <c r="A92" s="88"/>
      <c r="B92" s="89"/>
      <c r="C92" s="89"/>
      <c r="D92" s="89"/>
      <c r="E92" s="89"/>
      <c r="F92" s="89"/>
      <c r="G92" s="89"/>
      <c r="H92" s="89"/>
      <c r="I92" s="90"/>
      <c r="K92" s="25"/>
      <c r="L92" s="25"/>
      <c r="M92" s="15"/>
      <c r="N92" s="15"/>
      <c r="O92" s="15" t="s">
        <v>18</v>
      </c>
      <c r="P92" s="28">
        <v>1.2</v>
      </c>
      <c r="Q92" s="11" t="str">
        <f>IF(Q90="","",IF($A$25="mm",Q90,ROUND(Q90*25.4,1)))</f>
        <v/>
      </c>
      <c r="R92" s="25" t="s">
        <v>141</v>
      </c>
      <c r="S92" s="11" t="str">
        <f>IF(S88="N/A","N/A",
IF(Q92="","BLANK",IF(Q92&lt;P92,"REJECT","EQ")))</f>
        <v>N/A</v>
      </c>
      <c r="W92" s="15"/>
      <c r="X92" s="15"/>
      <c r="Y92" s="15" t="str">
        <f>IF(AA90="Round","Outer Diameter (OD):","Square side:")</f>
        <v>Outer Diameter (OD):</v>
      </c>
      <c r="Z92" s="75">
        <f>IF($A$25="mm",25,0.984)</f>
        <v>0.98399999999999999</v>
      </c>
      <c r="AA92" s="16">
        <v>1</v>
      </c>
      <c r="AB92" s="25" t="str">
        <f>IF($A$25="mm","mm","in")</f>
        <v>in</v>
      </c>
      <c r="AC92" s="11" t="str">
        <f t="shared" si="7"/>
        <v>EQ</v>
      </c>
      <c r="AF92" s="15"/>
      <c r="AG92" s="15"/>
      <c r="AH92" s="15"/>
      <c r="AI92" s="15" t="s">
        <v>147</v>
      </c>
      <c r="AJ92" s="11">
        <v>8509</v>
      </c>
      <c r="AK92" s="11">
        <f>IF(OR(AK87="",AK88=""),"",
IF(AK86="Round",
ROUND((PI()/4)*((AK90/2)^4-((AK90-2*AK89)/2)^4),0),
ROUND((AK90^4-(AK90-2*AK89)^4)/12,0)))</f>
        <v>8933</v>
      </c>
      <c r="AL92" s="25" t="s">
        <v>145</v>
      </c>
      <c r="AM92" s="11" t="str">
        <f t="shared" si="6"/>
        <v>EQ</v>
      </c>
      <c r="AQ92" s="12"/>
      <c r="AR92" s="12"/>
      <c r="AS92" s="12" t="str">
        <f>IF(AU82="Straight","Shoulder Harness Bar does not require braces.","Shoulder Harness Bar bends requires braces.")</f>
        <v>Shoulder Harness Bar does not require braces.</v>
      </c>
      <c r="AT92" s="12"/>
      <c r="AU92" s="12"/>
      <c r="AV92" s="12"/>
      <c r="AW92" s="11"/>
      <c r="BK92" s="15"/>
      <c r="BL92" s="15"/>
      <c r="BM92" s="15" t="s">
        <v>18</v>
      </c>
      <c r="BN92" s="28">
        <v>1.2</v>
      </c>
      <c r="BO92" s="11" t="str">
        <f>IF(BO90="","",IF($A$25="mm",BO90,ROUND(BO90*25.4,1)))</f>
        <v/>
      </c>
      <c r="BP92" s="25" t="s">
        <v>141</v>
      </c>
      <c r="BQ92" s="11" t="str">
        <f>IF(NOT(BO88="YES"),"N/A",
IF(BO92="","BLANK",IF(BO92&lt;BN92,"REJECT","EQ")))</f>
        <v>N/A</v>
      </c>
      <c r="BR92" s="11"/>
      <c r="BS92" s="12" t="s">
        <v>226</v>
      </c>
      <c r="BT92" s="12" t="s">
        <v>227</v>
      </c>
      <c r="BU92" s="25" t="s">
        <v>228</v>
      </c>
      <c r="BV92" s="13"/>
      <c r="BW92" s="13"/>
      <c r="BX92" s="13"/>
      <c r="BY92" s="13"/>
      <c r="BZ92" s="13"/>
      <c r="CA92" s="13"/>
      <c r="CC92" s="125" t="s">
        <v>289</v>
      </c>
      <c r="CD92" s="47"/>
      <c r="CE92" s="124"/>
      <c r="CF92" s="124"/>
      <c r="CG92" s="124"/>
      <c r="CH92" s="126"/>
      <c r="CI92" s="126"/>
      <c r="CJ92" s="127"/>
      <c r="CK92" s="128"/>
      <c r="CN92" s="303"/>
      <c r="CO92" s="303"/>
      <c r="CP92" s="303"/>
      <c r="CQ92" s="303"/>
      <c r="CR92" s="303"/>
      <c r="CS92" s="303"/>
      <c r="CT92" s="303"/>
      <c r="CU92" s="14"/>
      <c r="CV92" s="14"/>
      <c r="CW92" s="14"/>
    </row>
    <row r="93" spans="1:102" ht="15" customHeight="1" x14ac:dyDescent="0.2">
      <c r="A93" s="88"/>
      <c r="B93" s="89"/>
      <c r="C93" s="89"/>
      <c r="D93" s="89"/>
      <c r="E93" s="89"/>
      <c r="F93" s="89"/>
      <c r="G93" s="89"/>
      <c r="H93" s="89"/>
      <c r="I93" s="90"/>
      <c r="K93" s="25"/>
      <c r="L93" s="25"/>
      <c r="M93" s="15"/>
      <c r="N93" s="15"/>
      <c r="O93" s="15" t="str">
        <f>IF(Q89="Round","Outer Diameter (OD):","Square side:")</f>
        <v>Square side:</v>
      </c>
      <c r="P93" s="28">
        <v>25</v>
      </c>
      <c r="Q93" s="11" t="str">
        <f>IF(Q91="","",IF($A$25="mm",Q91,ROUND(Q91*25.4,1)))</f>
        <v/>
      </c>
      <c r="R93" s="25" t="s">
        <v>141</v>
      </c>
      <c r="S93" s="11" t="str">
        <f>IF(S88="N/A","N/A",
IF(Q93="","BLANK",IF(Q93&lt;P93,"REJECT","EQ")))</f>
        <v>N/A</v>
      </c>
      <c r="W93" s="15"/>
      <c r="X93" s="15"/>
      <c r="Y93" s="15" t="s">
        <v>18</v>
      </c>
      <c r="Z93" s="28">
        <v>1.2</v>
      </c>
      <c r="AA93" s="11">
        <f>IF(AA91="","",IF($A$25="mm",AA91,ROUND(AA91*25.4,1)))</f>
        <v>1.2</v>
      </c>
      <c r="AB93" s="25" t="s">
        <v>141</v>
      </c>
      <c r="AC93" s="11" t="str">
        <f t="shared" si="7"/>
        <v>EQ</v>
      </c>
      <c r="AF93" s="15"/>
      <c r="AG93" s="15"/>
      <c r="AH93" s="15"/>
      <c r="AI93" s="15"/>
      <c r="AJ93" s="11"/>
      <c r="AK93" s="11"/>
      <c r="AM93" s="11"/>
      <c r="AY93" s="295" t="str">
        <f>IF(COUNTIF(BG94:BG101,"BLANK"),"BLANK",IF(OR(SUMPRODUCT(--ISERROR(BG94:BG101))&gt;0,COUNTIF(BG94:BG101,"REJECT")),"REJECT",IF(COUNTIF(BG94:BG101,"CHECK"),"CHECK","EQ")))</f>
        <v>EQ</v>
      </c>
      <c r="AZ93" s="295"/>
      <c r="BA93" s="295"/>
      <c r="BB93" s="295"/>
      <c r="BC93" s="295"/>
      <c r="BD93" s="295"/>
      <c r="BE93" s="295"/>
      <c r="BF93" s="295"/>
      <c r="BG93" s="295"/>
      <c r="BK93" s="15"/>
      <c r="BL93" s="15"/>
      <c r="BM93" s="15" t="str">
        <f>IF(BO89="Round","Outer Diameter (OD):","Square side:")</f>
        <v>Square side:</v>
      </c>
      <c r="BN93" s="28">
        <v>25</v>
      </c>
      <c r="BO93" s="11" t="str">
        <f>IF(BO91="","",IF($A$25="mm",BO91,ROUND(BO91*25.4,1)))</f>
        <v/>
      </c>
      <c r="BP93" s="25" t="s">
        <v>141</v>
      </c>
      <c r="BQ93" s="11" t="str">
        <f>IF(NOT(BO88="YES"),"N/A",
IF(BO93="","BLANK",IF(BO93&lt;BN93,"REJECT","EQ")))</f>
        <v>N/A</v>
      </c>
      <c r="BR93" s="11"/>
      <c r="BS93" s="12" t="s">
        <v>451</v>
      </c>
      <c r="BT93" s="25" t="s">
        <v>452</v>
      </c>
      <c r="BU93" s="13"/>
      <c r="BV93" s="13"/>
      <c r="BW93" s="13"/>
      <c r="BX93" s="13"/>
      <c r="BY93" s="13"/>
      <c r="BZ93" s="13"/>
      <c r="CA93" s="13"/>
      <c r="CC93" s="125" t="s">
        <v>336</v>
      </c>
      <c r="CD93" s="124"/>
      <c r="CE93" s="124"/>
      <c r="CF93" s="124"/>
      <c r="CG93" s="124"/>
      <c r="CH93" s="126"/>
      <c r="CI93" s="126"/>
      <c r="CJ93" s="127"/>
      <c r="CK93" s="128"/>
      <c r="CN93" s="14"/>
      <c r="CO93" s="14"/>
      <c r="CP93" s="14"/>
      <c r="CQ93" s="14"/>
      <c r="CR93" s="14"/>
      <c r="CS93" s="14"/>
      <c r="CT93" s="14"/>
      <c r="CU93" s="14"/>
      <c r="CV93" s="14"/>
      <c r="CW93" s="14"/>
    </row>
    <row r="94" spans="1:102" ht="15" customHeight="1" thickBot="1" x14ac:dyDescent="0.25">
      <c r="A94" s="88"/>
      <c r="B94" s="89"/>
      <c r="C94" s="89"/>
      <c r="D94" s="89"/>
      <c r="E94" s="89"/>
      <c r="F94" s="89"/>
      <c r="G94" s="89"/>
      <c r="H94" s="89"/>
      <c r="I94" s="90"/>
      <c r="K94" s="25"/>
      <c r="L94" s="15"/>
      <c r="M94" s="15"/>
      <c r="N94" s="15"/>
      <c r="O94" s="15" t="s">
        <v>146</v>
      </c>
      <c r="P94" s="11">
        <v>91</v>
      </c>
      <c r="Q94" s="11" t="str">
        <f>IF(OR(Q90="",Q91=""),"",
IF(Q89="Round",
ROUND(PI()*((Q93/2)^2-((Q93-2*Q92)/2)^2),0),
ROUND(Q93^2-(Q93-2*Q92)^2,0)))</f>
        <v/>
      </c>
      <c r="R94" s="25" t="s">
        <v>144</v>
      </c>
      <c r="S94" s="11" t="str">
        <f>IF(S88="N/A","N/A",
IF(Q94="","BLANK",IF(Q94&lt;P94,"REJECT","EQ")))</f>
        <v>N/A</v>
      </c>
      <c r="W94" s="15"/>
      <c r="X94" s="15"/>
      <c r="Y94" s="15" t="str">
        <f>IF(AA90="Round","Outer Diameter (OD):","Square side:")</f>
        <v>Outer Diameter (OD):</v>
      </c>
      <c r="Z94" s="28">
        <v>25</v>
      </c>
      <c r="AA94" s="11">
        <f>IF(AA92="","",IF($A$25="mm",AA92,ROUND(AA92*25.4,1)))</f>
        <v>25.4</v>
      </c>
      <c r="AB94" s="25" t="s">
        <v>141</v>
      </c>
      <c r="AC94" s="11" t="str">
        <f t="shared" si="7"/>
        <v>EQ</v>
      </c>
      <c r="AE94" s="12" t="s">
        <v>352</v>
      </c>
      <c r="AF94" s="12" t="s">
        <v>353</v>
      </c>
      <c r="AG94" s="25" t="s">
        <v>378</v>
      </c>
      <c r="AH94" s="15"/>
      <c r="AI94" s="15"/>
      <c r="AJ94" s="11"/>
      <c r="AK94" s="11"/>
      <c r="AM94" s="11"/>
      <c r="AO94" s="295" t="str">
        <f>IF(COUNTIF(AW95,"BLANK"),"BLANK",IF(OR(SUMPRODUCT(--ISERROR(AW95))&gt;0,COUNTIF(AW95,"REJECT")),"REJECT",IF(COUNTIF(AW95,"CHECK"),"CHECK","EQ")))</f>
        <v>EQ</v>
      </c>
      <c r="AP94" s="295"/>
      <c r="AQ94" s="295"/>
      <c r="AR94" s="295"/>
      <c r="AS94" s="295"/>
      <c r="AT94" s="295"/>
      <c r="AU94" s="295"/>
      <c r="AV94" s="295"/>
      <c r="AW94" s="295"/>
      <c r="AY94" s="12" t="s">
        <v>163</v>
      </c>
      <c r="AZ94" s="35" t="s">
        <v>162</v>
      </c>
      <c r="BA94" s="11"/>
      <c r="BB94" s="11"/>
      <c r="BC94" s="11"/>
      <c r="BD94" s="12" t="s">
        <v>142</v>
      </c>
      <c r="BE94" s="296" t="s">
        <v>143</v>
      </c>
      <c r="BF94" s="296"/>
      <c r="BG94" s="11" t="s">
        <v>56</v>
      </c>
      <c r="BJ94" s="15"/>
      <c r="BK94" s="15"/>
      <c r="BL94" s="15"/>
      <c r="BM94" s="15" t="s">
        <v>146</v>
      </c>
      <c r="BN94" s="11">
        <v>114</v>
      </c>
      <c r="BO94" s="11" t="str">
        <f>IF(OR(BO90="",BO91=""),"",
IF(BO89="Round",
ROUND(PI()*((BO93/2)^2-((BO93-2*BO92)/2)^2),0),
ROUND(BO93^2-(BO93-2*BO92)^2,0)))</f>
        <v/>
      </c>
      <c r="BP94" s="25" t="s">
        <v>144</v>
      </c>
      <c r="BQ94" s="11" t="str">
        <f>IF(NOT(BO88="YES"),"N/A",
IF(BO94="","BLANK",IF(BO94&lt;BN94,"REJECT","EQ")))</f>
        <v>N/A</v>
      </c>
      <c r="BR94" s="11"/>
      <c r="BS94" s="13"/>
      <c r="BT94" s="13"/>
      <c r="BU94" s="13"/>
      <c r="BV94" s="13"/>
      <c r="BW94" s="13"/>
      <c r="BX94" s="13"/>
      <c r="BY94" s="13"/>
      <c r="BZ94" s="13"/>
      <c r="CA94" s="13"/>
      <c r="CC94" s="125" t="s">
        <v>337</v>
      </c>
      <c r="CD94" s="124"/>
      <c r="CE94" s="124"/>
      <c r="CF94" s="124"/>
      <c r="CG94" s="124"/>
      <c r="CH94" s="126"/>
      <c r="CI94" s="126"/>
      <c r="CJ94" s="127"/>
      <c r="CK94" s="128"/>
      <c r="CN94" s="35" t="s">
        <v>201</v>
      </c>
    </row>
    <row r="95" spans="1:102" ht="15" customHeight="1" thickBot="1" x14ac:dyDescent="0.25">
      <c r="A95" s="88"/>
      <c r="B95" s="89"/>
      <c r="C95" s="89"/>
      <c r="D95" s="89"/>
      <c r="E95" s="89"/>
      <c r="F95" s="89"/>
      <c r="G95" s="89"/>
      <c r="H95" s="89"/>
      <c r="I95" s="90"/>
      <c r="K95" s="25"/>
      <c r="L95" s="15"/>
      <c r="M95" s="15"/>
      <c r="N95" s="15"/>
      <c r="O95" s="15" t="s">
        <v>147</v>
      </c>
      <c r="P95" s="11">
        <v>6695</v>
      </c>
      <c r="Q95" s="11" t="str">
        <f>IF(OR(Q90="",Q91=""),"",
IF(Q89="Round",
ROUND((PI()/4)*((Q93/2)^4-((Q93-2*Q92)/2)^4),0),
ROUND((Q93^4-(Q93-2*Q92)^4)/12,0)))</f>
        <v/>
      </c>
      <c r="R95" s="25" t="s">
        <v>145</v>
      </c>
      <c r="S95" s="11" t="str">
        <f>IF(S88="N/A","N/A",
IF(Q95="","BLANK",IF(Q95&lt;P95,"REJECT","EQ")))</f>
        <v>N/A</v>
      </c>
      <c r="V95" s="15"/>
      <c r="W95" s="15"/>
      <c r="X95" s="15"/>
      <c r="Y95" s="15" t="s">
        <v>146</v>
      </c>
      <c r="Z95" s="11">
        <v>91</v>
      </c>
      <c r="AA95" s="11">
        <f>IF(OR(AA91="",AA92=""),"",
IF(AA90="Round",
ROUND(PI()*((AA94/2)^2-((AA94-2*AA93)/2)^2),0),
ROUND(AA94^2-(AA94-2*AA93)^2,0)))</f>
        <v>91</v>
      </c>
      <c r="AB95" s="25" t="s">
        <v>144</v>
      </c>
      <c r="AC95" s="11" t="str">
        <f t="shared" si="7"/>
        <v>EQ</v>
      </c>
      <c r="AE95" s="44"/>
      <c r="AF95" s="44"/>
      <c r="AG95" s="44"/>
      <c r="AH95" s="44"/>
      <c r="AI95" s="44"/>
      <c r="AJ95" s="44"/>
      <c r="AK95" s="44"/>
      <c r="AL95" s="44"/>
      <c r="AM95" s="44"/>
      <c r="AO95" s="12" t="s">
        <v>262</v>
      </c>
      <c r="AQ95" s="15"/>
      <c r="AR95" s="15"/>
      <c r="AS95" s="15"/>
      <c r="AT95" s="15" t="s">
        <v>74</v>
      </c>
      <c r="AU95" s="16">
        <v>51.7</v>
      </c>
      <c r="AV95" s="25" t="s">
        <v>21</v>
      </c>
      <c r="AW95" s="11" t="str">
        <f>IF(AU82="Straight","N/A",IF(AU95="","BLANK",IF(AND(ABS(AU95)&gt;=30,ABS(AU95)&lt;90),"EQ",IF(ABS(AU95)&lt;=105,"CHECK","REJECT"))))</f>
        <v>N/A</v>
      </c>
      <c r="AY95" s="12" t="s">
        <v>366</v>
      </c>
      <c r="AZ95" s="25" t="str">
        <f>IF($A$25="mm",
"Example: 25.4mm x 1.2mm round",
"Example: 1.0in x 0.047in round")</f>
        <v>Example: 1.0in x 0.047in round</v>
      </c>
      <c r="BA95" s="15"/>
      <c r="BB95" s="15"/>
      <c r="BC95" s="15"/>
      <c r="BD95" s="11" t="s">
        <v>155</v>
      </c>
      <c r="BE95" s="80" t="s">
        <v>3</v>
      </c>
      <c r="BG95" s="11" t="str">
        <f>IF(BE95="","BLANK","EQ")</f>
        <v>EQ</v>
      </c>
      <c r="BJ95" s="15"/>
      <c r="BK95" s="15"/>
      <c r="BL95" s="15"/>
      <c r="BM95" s="15" t="s">
        <v>147</v>
      </c>
      <c r="BN95" s="11">
        <v>8509</v>
      </c>
      <c r="BO95" s="11" t="str">
        <f>IF(OR(BO90="",BO91=""),"",
IF(BO89="Round",
ROUND((PI()/4)*((BO93/2)^4-((BO93-2*BO92)/2)^4),0),
ROUND((BO93^4-(BO93-2*BO92)^4)/12,0)))</f>
        <v/>
      </c>
      <c r="BP95" s="25" t="s">
        <v>145</v>
      </c>
      <c r="BQ95" s="11" t="str">
        <f>IF(NOT(BO88="YES"),"N/A",
IF(BO95="","BLANK",IF(BO95&lt;BN95,"REJECT","EQ")))</f>
        <v>N/A</v>
      </c>
      <c r="BR95" s="11"/>
      <c r="BS95" s="12" t="s">
        <v>499</v>
      </c>
      <c r="BT95" s="25" t="s">
        <v>500</v>
      </c>
      <c r="BU95" s="13"/>
      <c r="BV95" s="13"/>
      <c r="BW95" s="13"/>
      <c r="BX95" s="13"/>
      <c r="BY95" s="13"/>
      <c r="BZ95" s="13"/>
      <c r="CA95" s="13"/>
      <c r="CC95" s="125"/>
      <c r="CD95" s="15"/>
      <c r="CE95" s="15"/>
      <c r="CF95" s="15"/>
      <c r="CG95" s="15"/>
      <c r="CH95" s="126"/>
      <c r="CI95" s="126"/>
      <c r="CJ95" s="127"/>
      <c r="CK95" s="128"/>
      <c r="CN95" s="25" t="s">
        <v>200</v>
      </c>
    </row>
    <row r="96" spans="1:102" ht="15" customHeight="1" x14ac:dyDescent="0.2">
      <c r="A96" s="88"/>
      <c r="B96" s="89"/>
      <c r="C96" s="89"/>
      <c r="D96" s="89"/>
      <c r="E96" s="89"/>
      <c r="F96" s="89"/>
      <c r="G96" s="89"/>
      <c r="H96" s="89"/>
      <c r="I96" s="90"/>
      <c r="V96" s="15"/>
      <c r="W96" s="15"/>
      <c r="X96" s="15"/>
      <c r="Y96" s="15" t="s">
        <v>147</v>
      </c>
      <c r="Z96" s="11">
        <v>6695</v>
      </c>
      <c r="AA96" s="11">
        <f>IF(OR(AA91="",AA92=""),"",
IF(AA90="Round",
ROUND((PI()/4)*((AA94/2)^4-((AA94-2*AA93)/2)^4),0),
ROUND((AA94^4-(AA94-2*AA93)^4)/12,0)))</f>
        <v>6695</v>
      </c>
      <c r="AB96" s="25" t="s">
        <v>145</v>
      </c>
      <c r="AC96" s="11" t="str">
        <f t="shared" si="7"/>
        <v>EQ</v>
      </c>
      <c r="AE96" s="295" t="str">
        <f>IF(COUNTIF(AM97:AM104,"BLANK"),"BLANK",IF(OR(SUMPRODUCT(--ISERROR(AM97:AM104))&gt;0,COUNTIF(AM97:AM104,"REJECT")),"REJECT",IF(COUNTIF(AM97:AM104,"CHECK"),"CHECK","EQ")))</f>
        <v>EQ</v>
      </c>
      <c r="AF96" s="295"/>
      <c r="AG96" s="295"/>
      <c r="AH96" s="295"/>
      <c r="AI96" s="295"/>
      <c r="AJ96" s="295"/>
      <c r="AK96" s="295"/>
      <c r="AL96" s="295"/>
      <c r="AM96" s="295"/>
      <c r="AY96" s="12" t="s">
        <v>358</v>
      </c>
      <c r="BA96" s="15"/>
      <c r="BB96" s="15"/>
      <c r="BC96" s="15" t="s">
        <v>18</v>
      </c>
      <c r="BD96" s="75">
        <f>IF($A$25="mm",1.2,0.047)</f>
        <v>4.7E-2</v>
      </c>
      <c r="BE96" s="16">
        <v>4.9000000000000002E-2</v>
      </c>
      <c r="BF96" s="25" t="str">
        <f>IF($A$25="mm","mm","in")</f>
        <v>in</v>
      </c>
      <c r="BG96" s="11" t="str">
        <f>IF(BE96="","BLANK",IF(BE96&lt;BD96,"REJECT","EQ"))</f>
        <v>EQ</v>
      </c>
      <c r="BI96" s="54"/>
      <c r="BR96" s="11"/>
      <c r="BS96" s="25" t="s">
        <v>493</v>
      </c>
      <c r="BT96" s="13"/>
      <c r="BU96" s="13"/>
      <c r="BV96" s="13"/>
      <c r="BW96" s="13"/>
      <c r="BX96" s="13"/>
      <c r="BY96" s="13"/>
      <c r="BZ96" s="13"/>
      <c r="CA96" s="13"/>
      <c r="CC96" s="125" t="s">
        <v>338</v>
      </c>
      <c r="CD96" s="15"/>
      <c r="CE96" s="15"/>
      <c r="CF96" s="15"/>
      <c r="CG96" s="15"/>
      <c r="CH96" s="126"/>
      <c r="CI96" s="126"/>
      <c r="CJ96" s="127"/>
      <c r="CK96" s="128"/>
      <c r="CN96" s="25" t="s">
        <v>198</v>
      </c>
    </row>
    <row r="97" spans="1:92" ht="15" customHeight="1" thickBot="1" x14ac:dyDescent="0.25">
      <c r="A97" s="88"/>
      <c r="B97" s="89"/>
      <c r="C97" s="89"/>
      <c r="D97" s="89"/>
      <c r="E97" s="89"/>
      <c r="F97" s="89"/>
      <c r="G97" s="89"/>
      <c r="H97" s="89"/>
      <c r="I97" s="90"/>
      <c r="U97" s="12"/>
      <c r="V97" s="35"/>
      <c r="AE97" s="12" t="s">
        <v>352</v>
      </c>
      <c r="AF97" s="35" t="s">
        <v>353</v>
      </c>
      <c r="AG97" s="35" t="s">
        <v>354</v>
      </c>
      <c r="AH97" s="11"/>
      <c r="AI97" s="11"/>
      <c r="AJ97" s="12" t="s">
        <v>142</v>
      </c>
      <c r="AK97" s="296" t="s">
        <v>143</v>
      </c>
      <c r="AL97" s="296"/>
      <c r="AM97" s="11" t="s">
        <v>56</v>
      </c>
      <c r="AO97" s="12" t="s">
        <v>265</v>
      </c>
      <c r="AP97" s="25" t="s">
        <v>264</v>
      </c>
      <c r="BA97" s="15"/>
      <c r="BB97" s="15"/>
      <c r="BC97" s="15" t="str">
        <f>IF(BE95="Round","Outer Diameter (OD):","Square side:")</f>
        <v>Outer Diameter (OD):</v>
      </c>
      <c r="BD97" s="75">
        <f>IF($A$25="mm",25,0.984)</f>
        <v>0.98399999999999999</v>
      </c>
      <c r="BE97" s="16">
        <v>1</v>
      </c>
      <c r="BF97" s="25" t="str">
        <f>IF($A$25="mm","mm","in")</f>
        <v>in</v>
      </c>
      <c r="BG97" s="11" t="str">
        <f t="shared" ref="BG97:BG101" si="8">IF(BE97="","BLANK",IF(BE97&lt;BD97,"REJECT","EQ"))</f>
        <v>EQ</v>
      </c>
      <c r="BI97" s="12" t="s">
        <v>329</v>
      </c>
      <c r="BJ97" s="25" t="s">
        <v>466</v>
      </c>
      <c r="BR97" s="11"/>
      <c r="CC97" s="125" t="s">
        <v>339</v>
      </c>
    </row>
    <row r="98" spans="1:92" ht="15" customHeight="1" thickBot="1" x14ac:dyDescent="0.25">
      <c r="A98" s="88"/>
      <c r="B98" s="89"/>
      <c r="C98" s="89"/>
      <c r="D98" s="89"/>
      <c r="E98" s="89"/>
      <c r="F98" s="89"/>
      <c r="G98" s="89"/>
      <c r="H98" s="89"/>
      <c r="I98" s="90"/>
      <c r="U98" s="295" t="str">
        <f>IF(COUNTIF(AC99,"BLANK"),"BLANK",IF(OR(SUMPRODUCT(--ISERROR(AC99))&gt;0,COUNTIF(AC99,"REJECT")),"REJECT",IF(COUNTIF(AC99,"CHECK"),"CHECK","EQ")))</f>
        <v>EQ</v>
      </c>
      <c r="V98" s="295"/>
      <c r="W98" s="295"/>
      <c r="X98" s="295"/>
      <c r="Y98" s="295"/>
      <c r="Z98" s="295"/>
      <c r="AA98" s="295"/>
      <c r="AB98" s="295"/>
      <c r="AC98" s="295"/>
      <c r="AE98" s="12" t="s">
        <v>353</v>
      </c>
      <c r="AF98" s="25" t="str">
        <f>IF($A$25="mm",
"Example: 25.4mm x 1.6mm round",
"Example: 1.0in x 0.065in round")</f>
        <v>Example: 1.0in x 0.065in round</v>
      </c>
      <c r="AG98" s="15"/>
      <c r="AH98" s="15"/>
      <c r="AI98" s="15"/>
      <c r="AJ98" s="11" t="s">
        <v>154</v>
      </c>
      <c r="AK98" s="80" t="s">
        <v>3</v>
      </c>
      <c r="AM98" s="11" t="str">
        <f>IF(AK98="","BLANK","EQ")</f>
        <v>EQ</v>
      </c>
      <c r="BA98" s="15"/>
      <c r="BB98" s="15"/>
      <c r="BC98" s="15" t="s">
        <v>18</v>
      </c>
      <c r="BD98" s="28">
        <v>1.2</v>
      </c>
      <c r="BE98" s="11">
        <f>IF(BE96="","",IF($A$25="mm",BE96,ROUND(BE96*25.4,1)))</f>
        <v>1.2</v>
      </c>
      <c r="BF98" s="25" t="s">
        <v>141</v>
      </c>
      <c r="BG98" s="11" t="str">
        <f t="shared" si="8"/>
        <v>EQ</v>
      </c>
      <c r="BI98" s="12" t="s">
        <v>331</v>
      </c>
      <c r="BJ98" s="25" t="s">
        <v>209</v>
      </c>
      <c r="BR98" s="11"/>
      <c r="BS98" s="295" t="str" cm="1">
        <f t="array" ref="BS98">IF(COUNTIF(BS99:CA106,"BLANK"),"BLANK",IF(OR(SUMPRODUCT(--ISERROR(BS99:CA106))&gt;0,COUNTIF(BS99:CA106,"REJECT")),"REJECT",IF(COUNTIF(BS99:CA106,"CHECK"),"CHECK","EQ")))</f>
        <v>EQ</v>
      </c>
      <c r="BT98" s="295"/>
      <c r="BU98" s="295"/>
      <c r="BV98" s="295"/>
      <c r="BW98" s="295"/>
      <c r="BX98" s="295"/>
      <c r="BY98" s="295"/>
      <c r="BZ98" s="295"/>
      <c r="CA98" s="295"/>
      <c r="CC98" s="12"/>
      <c r="CD98" s="15"/>
      <c r="CE98" s="15"/>
      <c r="CF98" s="15"/>
      <c r="CG98" s="15"/>
      <c r="CH98" s="126"/>
      <c r="CI98" s="126"/>
      <c r="CJ98" s="127"/>
      <c r="CK98" s="128"/>
    </row>
    <row r="99" spans="1:92" ht="15" customHeight="1" thickBot="1" x14ac:dyDescent="0.25">
      <c r="A99" s="88"/>
      <c r="B99" s="89"/>
      <c r="C99" s="89"/>
      <c r="D99" s="89"/>
      <c r="E99" s="89"/>
      <c r="F99" s="89"/>
      <c r="G99" s="89"/>
      <c r="H99" s="89"/>
      <c r="I99" s="90"/>
      <c r="U99" s="12" t="s">
        <v>239</v>
      </c>
      <c r="W99" s="15"/>
      <c r="X99" s="15"/>
      <c r="Y99" s="15"/>
      <c r="Z99" s="15" t="str">
        <f>IF($A$25="mm","Top of FB to Upper FBHS tube, 50mm vertical limit:","Top of FB to Upper FBHS tube, 2in vertical limit:")</f>
        <v>Top of FB to Upper FBHS tube, 2in vertical limit:</v>
      </c>
      <c r="AA99" s="16">
        <v>0</v>
      </c>
      <c r="AB99" s="25" t="str">
        <f>IF($A$25="mm","mm","in")</f>
        <v>in</v>
      </c>
      <c r="AC99" s="11" t="str">
        <f>IF(AA99="","BLANK",IF($A$25="mm",IF(AA99&lt;=50,"EQ","REJECT"),IF(AA99&lt;=2,"EQ","REJECT")))</f>
        <v>EQ</v>
      </c>
      <c r="AE99" s="12" t="s">
        <v>360</v>
      </c>
      <c r="AG99" s="15"/>
      <c r="AH99" s="15"/>
      <c r="AI99" s="15" t="s">
        <v>18</v>
      </c>
      <c r="AJ99" s="75">
        <f>IF($A$25="mm",1.2,0.047)</f>
        <v>4.7E-2</v>
      </c>
      <c r="AK99" s="16">
        <v>6.5000000000000002E-2</v>
      </c>
      <c r="AL99" s="25" t="str">
        <f>IF($A$25="mm","mm","in")</f>
        <v>in</v>
      </c>
      <c r="AM99" s="11" t="str">
        <f>IF(AK99="","BLANK",IF(AK99&lt;AJ99,"REJECT","EQ"))</f>
        <v>EQ</v>
      </c>
      <c r="AQ99" s="12"/>
      <c r="AR99" s="12"/>
      <c r="AS99" s="12" t="str">
        <f>AS92</f>
        <v>Shoulder Harness Bar does not require braces.</v>
      </c>
      <c r="AT99" s="12"/>
      <c r="AU99" s="12"/>
      <c r="AV99" s="12"/>
      <c r="BA99" s="15"/>
      <c r="BB99" s="15"/>
      <c r="BC99" s="15" t="str">
        <f>IF(BE95="Round","Outer Diameter (OD):","Square side:")</f>
        <v>Outer Diameter (OD):</v>
      </c>
      <c r="BD99" s="28">
        <v>25</v>
      </c>
      <c r="BE99" s="11">
        <f>IF(BE97="","",IF($A$25="mm",BE97,ROUND(BE97*25.4,1)))</f>
        <v>25.4</v>
      </c>
      <c r="BF99" s="25" t="s">
        <v>141</v>
      </c>
      <c r="BG99" s="11" t="str">
        <f t="shared" si="8"/>
        <v>EQ</v>
      </c>
      <c r="BI99" s="25" t="s">
        <v>371</v>
      </c>
      <c r="BR99" s="11"/>
      <c r="BS99" s="12" t="s">
        <v>499</v>
      </c>
      <c r="BT99" s="35" t="s">
        <v>502</v>
      </c>
      <c r="BU99" s="11"/>
      <c r="BV99" s="11"/>
      <c r="BW99" s="11"/>
      <c r="BX99" s="12" t="s">
        <v>142</v>
      </c>
      <c r="BY99" s="296" t="s">
        <v>143</v>
      </c>
      <c r="BZ99" s="296"/>
      <c r="CA99" s="11" t="s">
        <v>56</v>
      </c>
      <c r="CC99" s="295" t="str">
        <f>IF(COUNTIF(CK100:CK113,"BLANK"),"BLANK",IF(OR(SUMPRODUCT(--ISERROR(CK100:CK113))&gt;0,COUNTIF(CK100:CK113,"REJECT")),"REJECT",IF(COUNTIF(CK100:CK113,"CHECK"),"CHECK","EQ")))</f>
        <v>EQ</v>
      </c>
      <c r="CD99" s="295"/>
      <c r="CE99" s="295"/>
      <c r="CF99" s="295"/>
      <c r="CG99" s="295"/>
      <c r="CH99" s="295"/>
      <c r="CI99" s="295"/>
      <c r="CJ99" s="295"/>
      <c r="CK99" s="295"/>
    </row>
    <row r="100" spans="1:92" ht="15" customHeight="1" thickBot="1" x14ac:dyDescent="0.25">
      <c r="A100" s="88"/>
      <c r="B100" s="89"/>
      <c r="C100" s="89"/>
      <c r="D100" s="89"/>
      <c r="E100" s="89"/>
      <c r="F100" s="89"/>
      <c r="G100" s="89"/>
      <c r="H100" s="89"/>
      <c r="I100" s="90"/>
      <c r="U100" s="44"/>
      <c r="V100" s="44"/>
      <c r="W100" s="44"/>
      <c r="X100" s="44"/>
      <c r="Y100" s="44"/>
      <c r="Z100" s="44"/>
      <c r="AA100" s="44"/>
      <c r="AB100" s="44"/>
      <c r="AC100" s="44"/>
      <c r="AG100" s="15"/>
      <c r="AH100" s="15"/>
      <c r="AI100" s="15" t="str">
        <f>IF(AK98="Round","Outer Diameter (OD):","Square side:")</f>
        <v>Outer Diameter (OD):</v>
      </c>
      <c r="AJ100" s="75">
        <f>IF($A$25="mm",25,0.984)</f>
        <v>0.98399999999999999</v>
      </c>
      <c r="AK100" s="16">
        <v>1</v>
      </c>
      <c r="AL100" s="25" t="str">
        <f>IF($A$25="mm","mm","in")</f>
        <v>in</v>
      </c>
      <c r="AM100" s="11" t="str">
        <f t="shared" ref="AM100:AM104" si="9">IF(AK100="","BLANK",IF(AK100&lt;AJ100,"REJECT","EQ"))</f>
        <v>EQ</v>
      </c>
      <c r="AO100" s="295" t="str">
        <f>IF(COUNTIF(AW101:AW108,"BLANK"),"BLANK",IF(OR(SUMPRODUCT(--ISERROR(AW101:AW108))&gt;0,COUNTIF(AW101:AW108,"REJECT")),"REJECT",IF(COUNTIF(AW101:AW108,"CHECK"),"CHECK","EQ")))</f>
        <v>EQ</v>
      </c>
      <c r="AP100" s="295"/>
      <c r="AQ100" s="295"/>
      <c r="AR100" s="295"/>
      <c r="AS100" s="295"/>
      <c r="AT100" s="295"/>
      <c r="AU100" s="295"/>
      <c r="AV100" s="295"/>
      <c r="AW100" s="295"/>
      <c r="AZ100" s="15"/>
      <c r="BA100" s="15"/>
      <c r="BB100" s="15"/>
      <c r="BC100" s="15" t="s">
        <v>146</v>
      </c>
      <c r="BD100" s="11">
        <v>91</v>
      </c>
      <c r="BE100" s="11">
        <f>IF(OR(BE96="",BE97=""),"",
IF(BE95="Round",
ROUND(PI()*((BE99/2)^2-((BE99-2*BE98)/2)^2),0),
ROUND(BE99^2-(BE99-2*BE98)^2,0)))</f>
        <v>91</v>
      </c>
      <c r="BF100" s="25" t="s">
        <v>144</v>
      </c>
      <c r="BG100" s="11" t="str">
        <f t="shared" si="8"/>
        <v>EQ</v>
      </c>
      <c r="BI100" s="12" t="s">
        <v>515</v>
      </c>
      <c r="BJ100" s="25" t="s">
        <v>401</v>
      </c>
      <c r="BR100" s="11"/>
      <c r="BS100" s="12" t="s">
        <v>369</v>
      </c>
      <c r="BT100" s="25" t="str">
        <f>IF($A$25="mm",
"Example: 25.4mm x 1.2mm round",
"Example: 1.0in x 0.047in round")</f>
        <v>Example: 1.0in x 0.047in round</v>
      </c>
      <c r="BU100" s="15"/>
      <c r="BV100" s="15"/>
      <c r="BW100" s="15"/>
      <c r="BX100" s="11" t="s">
        <v>155</v>
      </c>
      <c r="BY100" s="80"/>
      <c r="CA100" s="11" t="str">
        <f>IF($G$8="IC - Internal Combustion","N/A",
IF(BY100="","BLANK","EQ"))</f>
        <v>N/A</v>
      </c>
      <c r="CC100" s="12" t="str">
        <f>CC68</f>
        <v>F.11.3.1.a</v>
      </c>
      <c r="CE100" s="32"/>
      <c r="CF100" s="32"/>
      <c r="CG100" s="32" t="s">
        <v>482</v>
      </c>
      <c r="CH100" s="12">
        <f>IF(CI69="Billet Plate",3,IF(CI69="Diff Carrier Diagonal",1,0))</f>
        <v>0</v>
      </c>
      <c r="CK100" s="11" t="str">
        <f>IF($G$8="IC - Internal Combustion","N/A",
IF(CI69="","BLANK","EQ"))</f>
        <v>N/A</v>
      </c>
    </row>
    <row r="101" spans="1:92" ht="15" customHeight="1" thickBot="1" x14ac:dyDescent="0.25">
      <c r="A101" s="88"/>
      <c r="B101" s="89"/>
      <c r="C101" s="89"/>
      <c r="D101" s="89"/>
      <c r="E101" s="89"/>
      <c r="F101" s="89"/>
      <c r="G101" s="89"/>
      <c r="H101" s="89"/>
      <c r="I101" s="90"/>
      <c r="U101" s="295" t="str">
        <f>IF(COUNTIF(AC102:AC104,"BLANK"),"BLANK",IF(OR(SUMPRODUCT(--ISERROR(AC102:AC104))&gt;0,COUNTIF(AC102:AC104,"REJECT")),"REJECT",IF(COUNTIF(AC102:AC104,"CHECK"),"CHECK","EQ")))</f>
        <v>EQ</v>
      </c>
      <c r="V101" s="295"/>
      <c r="W101" s="295"/>
      <c r="X101" s="295"/>
      <c r="Y101" s="295"/>
      <c r="Z101" s="295"/>
      <c r="AA101" s="295"/>
      <c r="AB101" s="295"/>
      <c r="AC101" s="295"/>
      <c r="AG101" s="15"/>
      <c r="AH101" s="15"/>
      <c r="AI101" s="15" t="s">
        <v>18</v>
      </c>
      <c r="AJ101" s="28">
        <v>1.2</v>
      </c>
      <c r="AK101" s="11">
        <f>IF(AK99="","",IF($A$25="mm",AK99,ROUND(AK99*25.4,1)))</f>
        <v>1.7</v>
      </c>
      <c r="AL101" s="25" t="s">
        <v>141</v>
      </c>
      <c r="AM101" s="11" t="str">
        <f t="shared" si="9"/>
        <v>EQ</v>
      </c>
      <c r="AO101" s="12" t="s">
        <v>262</v>
      </c>
      <c r="AP101" s="35" t="s">
        <v>158</v>
      </c>
      <c r="AQ101" s="11"/>
      <c r="AR101" s="11"/>
      <c r="AS101" s="11"/>
      <c r="AT101" s="12" t="s">
        <v>142</v>
      </c>
      <c r="AU101" s="296" t="s">
        <v>143</v>
      </c>
      <c r="AV101" s="296"/>
      <c r="AW101" s="11" t="str">
        <f>IF(AU82="Straight","N/A","EQ")</f>
        <v>N/A</v>
      </c>
      <c r="AZ101" s="15"/>
      <c r="BA101" s="15"/>
      <c r="BB101" s="15"/>
      <c r="BC101" s="15" t="s">
        <v>147</v>
      </c>
      <c r="BD101" s="11">
        <v>6695</v>
      </c>
      <c r="BE101" s="11">
        <f>IF(OR(BE96="",BE97=""),"",
IF(BE95="Round",
ROUND((PI()/4)*((BE99/2)^4-((BE99-2*BE98)/2)^4),0),
ROUND((BE99^4-(BE99-2*BE98)^4)/12,0)))</f>
        <v>6695</v>
      </c>
      <c r="BF101" s="25" t="s">
        <v>145</v>
      </c>
      <c r="BG101" s="11" t="str">
        <f t="shared" si="8"/>
        <v>EQ</v>
      </c>
      <c r="BR101" s="11"/>
      <c r="BS101" s="12" t="s">
        <v>358</v>
      </c>
      <c r="BU101" s="15"/>
      <c r="BV101" s="15"/>
      <c r="BW101" s="15" t="s">
        <v>18</v>
      </c>
      <c r="BX101" s="75">
        <f>IF($A$25="mm",1.2,0.047)</f>
        <v>4.7E-2</v>
      </c>
      <c r="BY101" s="16"/>
      <c r="BZ101" s="25" t="str">
        <f>IF($A$25="mm","mm","in")</f>
        <v>in</v>
      </c>
      <c r="CA101" s="11" t="str">
        <f t="shared" ref="CA101:CA106" si="10">IF($G$8="IC - Internal Combustion","N/A",
IF(BY101="","BLANK",IF(BY101&lt;BX101,"REJECT","EQ")))</f>
        <v>N/A</v>
      </c>
      <c r="CC101" s="12" t="s">
        <v>383</v>
      </c>
      <c r="CD101" s="15"/>
      <c r="CE101" s="15"/>
      <c r="CF101" s="15"/>
      <c r="CG101" s="15" t="str">
        <f>IF(CI69="Tube","","Material:")</f>
        <v>Material:</v>
      </c>
      <c r="CH101" s="11" t="str">
        <f>IF(CI69="Tube","",
"Steel")</f>
        <v>Steel</v>
      </c>
      <c r="CI101" s="314"/>
      <c r="CJ101" s="315"/>
      <c r="CK101" s="11" t="str">
        <f>IF($G$8="IC - Internal Combustion","N/A",
IF(CH100=0,"N/A",
IF(CI101="","BLANK","EQ")))</f>
        <v>N/A</v>
      </c>
      <c r="CN101" s="12"/>
    </row>
    <row r="102" spans="1:92" ht="15" customHeight="1" thickBot="1" x14ac:dyDescent="0.25">
      <c r="A102" s="88"/>
      <c r="B102" s="89"/>
      <c r="C102" s="89"/>
      <c r="D102" s="89"/>
      <c r="E102" s="89"/>
      <c r="F102" s="89"/>
      <c r="G102" s="89"/>
      <c r="H102" s="89"/>
      <c r="I102" s="90"/>
      <c r="U102" s="12" t="s">
        <v>447</v>
      </c>
      <c r="W102" s="15"/>
      <c r="X102" s="15"/>
      <c r="Y102" s="15"/>
      <c r="Z102" s="15" t="s">
        <v>24</v>
      </c>
      <c r="AA102" s="80" t="s">
        <v>122</v>
      </c>
      <c r="AC102" s="11" t="str">
        <f>IF(AA102="","BLANK","EQ")</f>
        <v>EQ</v>
      </c>
      <c r="AG102" s="15"/>
      <c r="AH102" s="15"/>
      <c r="AI102" s="15" t="str">
        <f>IF(AK98="Round","Outer Diameter (OD):","Square side:")</f>
        <v>Outer Diameter (OD):</v>
      </c>
      <c r="AJ102" s="28">
        <v>25</v>
      </c>
      <c r="AK102" s="11">
        <f>IF(AK100="","",IF($A$25="mm",AK100,ROUND(AK100*25.4,1)))</f>
        <v>25.4</v>
      </c>
      <c r="AL102" s="25" t="s">
        <v>141</v>
      </c>
      <c r="AM102" s="11" t="str">
        <f t="shared" si="9"/>
        <v>EQ</v>
      </c>
      <c r="AO102" s="12" t="s">
        <v>364</v>
      </c>
      <c r="AP102" s="25" t="str">
        <f>IF($A$25="mm",
"Example: 25.4mm x 1.2mm round",
"Example: 1.0in x 0.047in round")</f>
        <v>Example: 1.0in x 0.047in round</v>
      </c>
      <c r="AQ102" s="15"/>
      <c r="AR102" s="15"/>
      <c r="AS102" s="15"/>
      <c r="AT102" s="11" t="s">
        <v>155</v>
      </c>
      <c r="AU102" s="80"/>
      <c r="AW102" s="11" t="str">
        <f>IF(AU82="Straight","N/A",
IF(AU102="","BLANK","EQ"))</f>
        <v>N/A</v>
      </c>
      <c r="BI102" s="12" t="s">
        <v>330</v>
      </c>
      <c r="BJ102" s="25" t="s">
        <v>381</v>
      </c>
      <c r="BK102" s="44"/>
      <c r="BL102" s="44"/>
      <c r="BM102" s="44"/>
      <c r="BN102" s="44"/>
      <c r="BO102" s="44"/>
      <c r="BP102" s="44"/>
      <c r="BQ102" s="44"/>
      <c r="BR102" s="11"/>
      <c r="BU102" s="15"/>
      <c r="BV102" s="15"/>
      <c r="BW102" s="15" t="str">
        <f>IF(BY100="Round","Outer Diameter (OD):","Square side:")</f>
        <v>Square side:</v>
      </c>
      <c r="BX102" s="75">
        <f>IF($A$25="mm",25,0.984)</f>
        <v>0.98399999999999999</v>
      </c>
      <c r="BY102" s="16"/>
      <c r="BZ102" s="25" t="str">
        <f>IF($A$25="mm","mm","in")</f>
        <v>in</v>
      </c>
      <c r="CA102" s="11" t="str">
        <f t="shared" si="10"/>
        <v>N/A</v>
      </c>
      <c r="CC102" s="12" t="s">
        <v>218</v>
      </c>
      <c r="CD102" s="15"/>
      <c r="CE102" s="15"/>
      <c r="CF102" s="15"/>
      <c r="CG102" s="15" t="str">
        <f>IF(CI69="Tube","","Young's Modulus (E):")</f>
        <v>Young's Modulus (E):</v>
      </c>
      <c r="CH102" s="26">
        <f>IF(CI69="Tube","",
IF($A$25="mm",200*10^9,29000*10^3))</f>
        <v>29000000</v>
      </c>
      <c r="CI102" s="82"/>
      <c r="CJ102" s="25" t="str">
        <f>IF($A$25="mm","Pa","psi")</f>
        <v>psi</v>
      </c>
      <c r="CK102" s="11" t="str">
        <f>IF($G$8="IC - Internal Combustion","N/A",
IF(CH100=0,"N/A",
IF(CI102="","BLANK","EQ")))</f>
        <v>N/A</v>
      </c>
      <c r="CN102" s="12"/>
    </row>
    <row r="103" spans="1:92" ht="15" customHeight="1" thickBot="1" x14ac:dyDescent="0.25">
      <c r="A103" s="88"/>
      <c r="B103" s="89"/>
      <c r="C103" s="89"/>
      <c r="D103" s="89"/>
      <c r="E103" s="89"/>
      <c r="F103" s="89"/>
      <c r="G103" s="89"/>
      <c r="H103" s="89"/>
      <c r="I103" s="90"/>
      <c r="V103" s="15"/>
      <c r="W103" s="15"/>
      <c r="X103" s="15"/>
      <c r="Y103" s="15"/>
      <c r="Z103" s="15" t="str">
        <f>IF(AA102="C","Top of Lower FBHS tube relative to top of Upper SIS tube:","Top of Upper FBHS tube relative to top of Upper SIS tube:")</f>
        <v>Top of Upper FBHS tube relative to top of Upper SIS tube:</v>
      </c>
      <c r="AA103" s="80" t="s">
        <v>1217</v>
      </c>
      <c r="AC103" s="11" t="str">
        <f>IF(AA103="","BLANK","EQ")</f>
        <v>EQ</v>
      </c>
      <c r="AF103" s="15"/>
      <c r="AG103" s="15"/>
      <c r="AH103" s="15"/>
      <c r="AI103" s="15" t="s">
        <v>146</v>
      </c>
      <c r="AJ103" s="11">
        <v>114</v>
      </c>
      <c r="AK103" s="11">
        <f>IF(OR(AK99="",AK100=""),"",
IF(AK98="Round",
ROUND(PI()*((AK102/2)^2-((AK102-2*AK101)/2)^2),0),
ROUND(AK102^2-(AK102-2*AK101)^2,0)))</f>
        <v>127</v>
      </c>
      <c r="AL103" s="25" t="s">
        <v>144</v>
      </c>
      <c r="AM103" s="11" t="str">
        <f t="shared" si="9"/>
        <v>EQ</v>
      </c>
      <c r="AO103" s="12" t="s">
        <v>358</v>
      </c>
      <c r="AQ103" s="15"/>
      <c r="AR103" s="15"/>
      <c r="AS103" s="15" t="s">
        <v>18</v>
      </c>
      <c r="AT103" s="75">
        <f>IF($A$25="mm",1.2,0.047)</f>
        <v>4.7E-2</v>
      </c>
      <c r="AU103" s="16"/>
      <c r="AV103" s="25" t="str">
        <f>IF($A$25="mm","mm","in")</f>
        <v>in</v>
      </c>
      <c r="AW103" s="11" t="str">
        <f>IF(AU82="Straight","N/A",
IF(AU103="","BLANK",IF(AU103&lt;AT103,"REJECT","EQ")))</f>
        <v>N/A</v>
      </c>
      <c r="AY103" s="13"/>
      <c r="AZ103" s="13"/>
      <c r="BA103" s="13"/>
      <c r="BB103" s="13"/>
      <c r="BC103" s="13"/>
      <c r="BD103" s="13"/>
      <c r="BE103" s="13"/>
      <c r="BF103" s="13"/>
      <c r="BG103" s="13"/>
      <c r="BI103" s="25" t="s">
        <v>382</v>
      </c>
      <c r="BK103" s="44"/>
      <c r="BL103" s="44"/>
      <c r="BM103" s="44"/>
      <c r="BN103" s="44"/>
      <c r="BO103" s="44"/>
      <c r="BP103" s="44"/>
      <c r="BQ103" s="44"/>
      <c r="BR103" s="11"/>
      <c r="BU103" s="15"/>
      <c r="BV103" s="15"/>
      <c r="BW103" s="15" t="s">
        <v>18</v>
      </c>
      <c r="BX103" s="28">
        <v>1.2</v>
      </c>
      <c r="BY103" s="11" t="str">
        <f>IF(BY101="","",IF($A$25="mm",BY101,ROUND(BY101*25.4,1)))</f>
        <v/>
      </c>
      <c r="BZ103" s="25" t="s">
        <v>141</v>
      </c>
      <c r="CA103" s="11" t="str">
        <f t="shared" si="10"/>
        <v>N/A</v>
      </c>
      <c r="CC103" s="15"/>
      <c r="CD103" s="15"/>
      <c r="CE103" s="15"/>
      <c r="CF103" s="15"/>
      <c r="CG103" s="15" t="str">
        <f>IF(CI69="Tube","","Yield Strength (Sy):")</f>
        <v>Yield Strength (Sy):</v>
      </c>
      <c r="CH103" s="26">
        <f>IF(CI69="Tube","",
IF($A$25="mm",305*10^6,44.2*10^3))</f>
        <v>44200</v>
      </c>
      <c r="CI103" s="82"/>
      <c r="CJ103" s="25" t="str">
        <f>IF($A$25="mm","Pa","psi")</f>
        <v>psi</v>
      </c>
      <c r="CK103" s="11" t="str">
        <f>IF($G$8="IC - Internal Combustion","N/A",
IF(CH100=0,"N/A",
IF(CI103="","BLANK","EQ")))</f>
        <v>N/A</v>
      </c>
    </row>
    <row r="104" spans="1:92" ht="15" customHeight="1" x14ac:dyDescent="0.2">
      <c r="A104" s="88"/>
      <c r="B104" s="89"/>
      <c r="C104" s="89"/>
      <c r="D104" s="89"/>
      <c r="E104" s="89"/>
      <c r="F104" s="89"/>
      <c r="G104" s="89"/>
      <c r="H104" s="89"/>
      <c r="I104" s="90"/>
      <c r="V104" s="15"/>
      <c r="W104" s="15"/>
      <c r="X104" s="15"/>
      <c r="Y104" s="15"/>
      <c r="Z104" s="15" t="str">
        <f>IF($A$25="mm",
IF(AA102="C",IF(AA103="Above","Vertical limit 100mm above:","Vertical limit 50mm below:"),
IF(AA103="Above","Without Rear FHB, vertical limit 100mm above:","Vertical limit 50mm below:")),
IF(AA102="C",IF(AA103="Above","Vertical limit 4in above:","Vertical limit 2in below:"),
IF(AA103="Above","Without Rear FHB, vertical limit 4in above:","Vertical limit 2in below:")))</f>
        <v>Without Rear FHB, vertical limit 4in above:</v>
      </c>
      <c r="AA104" s="16">
        <v>1.51</v>
      </c>
      <c r="AB104" s="25" t="str">
        <f>IF($A$25="mm","mm","in")</f>
        <v>in</v>
      </c>
      <c r="AC104" s="11" t="str">
        <f>IF(AA104="","BLANK",IF(AND(AA103="Below",OR(AND($A$25="mm",ABS(AA104)&gt;50),AND($A$25="Inch",ABS(AA104)&gt;2))),"REJECT",IF(AND(AA103="Above",OR(AND($A$25="mm",ABS(AA104)&gt;100),AND($A$25="Inch",ABS(AA104)&gt;4))),IF(AA102="C","REJECT","EQ"),"EQ")))</f>
        <v>EQ</v>
      </c>
      <c r="AF104" s="15"/>
      <c r="AG104" s="15"/>
      <c r="AH104" s="15"/>
      <c r="AI104" s="15" t="s">
        <v>147</v>
      </c>
      <c r="AJ104" s="11">
        <v>8509</v>
      </c>
      <c r="AK104" s="11">
        <f>IF(OR(AK99="",AK100=""),"",
IF(AK98="Round",
ROUND((PI()/4)*((AK102/2)^4-((AK102-2*AK101)/2)^4),0),
ROUND((AK102^4-(AK102-2*AK101)^4)/12,0)))</f>
        <v>8933</v>
      </c>
      <c r="AL104" s="25" t="s">
        <v>145</v>
      </c>
      <c r="AM104" s="11" t="str">
        <f t="shared" si="9"/>
        <v>EQ</v>
      </c>
      <c r="AQ104" s="15"/>
      <c r="AR104" s="15"/>
      <c r="AS104" s="15" t="str">
        <f>IF(AU102="Round","Outer Diameter (OD):","Square side:")</f>
        <v>Square side:</v>
      </c>
      <c r="AT104" s="75">
        <f>IF($A$25="mm",25,0.984)</f>
        <v>0.98399999999999999</v>
      </c>
      <c r="AU104" s="16"/>
      <c r="AV104" s="25" t="str">
        <f>IF($A$25="mm","mm","in")</f>
        <v>in</v>
      </c>
      <c r="AW104" s="11" t="str">
        <f>IF(AU82="Straight","N/A",
IF(AU104="","BLANK",IF(AU104&lt;AT104,"REJECT","EQ")))</f>
        <v>N/A</v>
      </c>
      <c r="AY104" s="42"/>
      <c r="AZ104" s="42"/>
      <c r="BA104" s="42"/>
      <c r="BB104" s="42"/>
      <c r="BC104" s="42"/>
      <c r="BD104" s="42"/>
      <c r="BE104" s="42"/>
      <c r="BF104" s="42"/>
      <c r="BG104" s="42"/>
      <c r="BI104" s="12" t="s">
        <v>379</v>
      </c>
      <c r="BJ104" s="25" t="s">
        <v>380</v>
      </c>
      <c r="BK104" s="44"/>
      <c r="BL104" s="44"/>
      <c r="BM104" s="44"/>
      <c r="BN104" s="44"/>
      <c r="BO104" s="44"/>
      <c r="BP104" s="44"/>
      <c r="BQ104" s="44"/>
      <c r="BR104" s="11"/>
      <c r="BU104" s="15"/>
      <c r="BV104" s="15"/>
      <c r="BW104" s="15" t="str">
        <f>IF(BY100="Round","Outer Diameter (OD):","Square side:")</f>
        <v>Square side:</v>
      </c>
      <c r="BX104" s="28">
        <v>25</v>
      </c>
      <c r="BY104" s="11" t="str">
        <f>IF(BY102="","",IF($A$25="mm",BY102,ROUND(BY102*25.4,1)))</f>
        <v/>
      </c>
      <c r="BZ104" s="25" t="s">
        <v>141</v>
      </c>
      <c r="CA104" s="11" t="str">
        <f t="shared" si="10"/>
        <v>N/A</v>
      </c>
      <c r="CC104" s="124"/>
      <c r="CD104" s="15"/>
      <c r="CE104" s="15"/>
      <c r="CF104" s="15"/>
      <c r="CG104" s="15" t="str">
        <f>IF(CI69="Tube","","Ultimate Strength (Su):")</f>
        <v>Ultimate Strength (Su):</v>
      </c>
      <c r="CH104" s="26">
        <f>IF(CI69="Tube","",
IF($A$25="mm",365*10^6,52.9*10^3))</f>
        <v>52900</v>
      </c>
      <c r="CI104" s="82"/>
      <c r="CJ104" s="25" t="str">
        <f>IF($A$25="mm","Pa","psi")</f>
        <v>psi</v>
      </c>
      <c r="CK104" s="11" t="str">
        <f>IF($G$8="IC - Internal Combustion","N/A",
IF(CH100=0,"N/A",
IF(CI104="","BLANK","EQ")))</f>
        <v>N/A</v>
      </c>
      <c r="CN104" s="12"/>
    </row>
    <row r="105" spans="1:92" ht="15" customHeight="1" x14ac:dyDescent="0.2">
      <c r="A105" s="88"/>
      <c r="B105" s="89"/>
      <c r="C105" s="89"/>
      <c r="D105" s="89"/>
      <c r="E105" s="89"/>
      <c r="F105" s="89"/>
      <c r="G105" s="89"/>
      <c r="H105" s="89"/>
      <c r="I105" s="90"/>
      <c r="W105" s="12"/>
      <c r="X105" s="12"/>
      <c r="Y105" s="12" t="str">
        <f>IF(AND(AC104="REJECT",AA103="Below"),"FBHS connecting too far below Upper SIS.",
IF(AND(AC104="REJECT",AA102="C"),"FBHS connecting too far above Upper SIS.",
IF(AA102="C","Rearward Front Hoop Brace Required by FBHS.",
IF(AND(AA103="Above",OR(AND($A$25="mm",ABS(AA104)&gt;100),AND($A$25="Inch",ABS(AA104)&gt;4))),"Rearward Front Hoop Brace Required by FBHS.","Rearward Front Hoop Brace is not required."))))</f>
        <v>Rearward Front Hoop Brace is not required.</v>
      </c>
      <c r="Z105" s="12"/>
      <c r="AA105" s="12"/>
      <c r="AB105" s="12"/>
      <c r="AC105" s="11"/>
      <c r="AF105" s="15"/>
      <c r="AG105" s="15"/>
      <c r="AH105" s="15"/>
      <c r="AI105" s="15"/>
      <c r="AJ105" s="11"/>
      <c r="AK105" s="11"/>
      <c r="AM105" s="11"/>
      <c r="AQ105" s="15"/>
      <c r="AR105" s="15"/>
      <c r="AS105" s="15" t="s">
        <v>18</v>
      </c>
      <c r="AT105" s="28">
        <v>1.2</v>
      </c>
      <c r="AU105" s="11" t="str">
        <f>IF(AU103="","",IF($A$25="mm",AU103,ROUND(AU103*25.4,1)))</f>
        <v/>
      </c>
      <c r="AV105" s="25" t="s">
        <v>141</v>
      </c>
      <c r="AW105" s="11" t="str">
        <f>IF(AU82="Straight","N/A",
IF(AU105="","BLANK",IF(AU105&lt;AT105,"REJECT","EQ")))</f>
        <v>N/A</v>
      </c>
      <c r="AY105" s="42"/>
      <c r="AZ105" s="42"/>
      <c r="BA105" s="42"/>
      <c r="BB105" s="42"/>
      <c r="BC105" s="42"/>
      <c r="BD105" s="42"/>
      <c r="BE105" s="42"/>
      <c r="BF105" s="42"/>
      <c r="BG105" s="42"/>
      <c r="BI105" s="12" t="s">
        <v>210</v>
      </c>
      <c r="BJ105" s="25" t="s">
        <v>211</v>
      </c>
      <c r="BK105" s="44"/>
      <c r="BL105" s="44"/>
      <c r="BM105" s="44"/>
      <c r="BN105" s="44"/>
      <c r="BO105" s="44"/>
      <c r="BP105" s="44"/>
      <c r="BQ105" s="44"/>
      <c r="BR105" s="11"/>
      <c r="BT105" s="15"/>
      <c r="BU105" s="15"/>
      <c r="BV105" s="15"/>
      <c r="BW105" s="15" t="s">
        <v>146</v>
      </c>
      <c r="BX105" s="11">
        <v>91</v>
      </c>
      <c r="BY105" s="11" t="str">
        <f>IF(OR(BY101="",BY102=""),"",
IF(BY100="Round",
ROUND(PI()*((BY104/2)^2-((BY104-2*BY103)/2)^2),0),
ROUND(BY104^2-(BY104-2*BY103)^2,0)))</f>
        <v/>
      </c>
      <c r="BZ105" s="25" t="s">
        <v>144</v>
      </c>
      <c r="CA105" s="11" t="str">
        <f t="shared" si="10"/>
        <v>N/A</v>
      </c>
      <c r="CC105" s="37" t="s">
        <v>457</v>
      </c>
      <c r="CD105" s="15"/>
      <c r="CE105" s="15"/>
      <c r="CF105" s="15"/>
      <c r="CG105" s="15" t="str">
        <f>IF(OR($CI$103="",$CI$104="",CH100=0),"",
IF(($CI$103/$CH$103)&gt;($CI104/$CH$104),"Ultimate Is Critical Strength (S):","Yield Is Critical Strength (S):"))</f>
        <v/>
      </c>
      <c r="CH105" s="26">
        <f>IF(OR($CI$103="",$CI$104=""),0,
IF(($CI$103/$CH$103)&gt;($CI104/$CH$104),CH104,CH103))</f>
        <v>0</v>
      </c>
      <c r="CI105" s="26">
        <f>IF(OR($CI$103="",$CI$104=""),0,
IF(($CI$103/$CH$103)&gt;($CI104/$CH$104),CI104,CI103))</f>
        <v>0</v>
      </c>
      <c r="CJ105" s="25" t="str">
        <f>IF($A$25="mm","Pa","psi")</f>
        <v>psi</v>
      </c>
      <c r="CK105" s="11" t="str">
        <f>IF($G$8="IC - Internal Combustion","N/A",
IF(CH100=0,"N/A",
IF(CI105="","BLANK","EQ")))</f>
        <v>N/A</v>
      </c>
      <c r="CN105" s="12"/>
    </row>
    <row r="106" spans="1:92" ht="15" customHeight="1" x14ac:dyDescent="0.2">
      <c r="A106" s="88"/>
      <c r="B106" s="89"/>
      <c r="C106" s="89"/>
      <c r="D106" s="89"/>
      <c r="E106" s="89"/>
      <c r="F106" s="89"/>
      <c r="G106" s="89"/>
      <c r="H106" s="89"/>
      <c r="I106" s="90"/>
      <c r="U106" s="12"/>
      <c r="V106" s="35"/>
      <c r="AF106" s="15"/>
      <c r="AG106" s="15"/>
      <c r="AH106" s="15"/>
      <c r="AI106" s="12" t="s">
        <v>465</v>
      </c>
      <c r="AJ106" s="11"/>
      <c r="AK106" s="11"/>
      <c r="AM106" s="11"/>
      <c r="AQ106" s="15"/>
      <c r="AR106" s="15"/>
      <c r="AS106" s="15" t="str">
        <f>IF(AU102="Round","Outer Diameter (OD):","Square side:")</f>
        <v>Square side:</v>
      </c>
      <c r="AT106" s="28">
        <v>25</v>
      </c>
      <c r="AU106" s="11" t="str">
        <f>IF(AU104="","",IF($A$25="mm",AU104,ROUND(AU104*25.4,1)))</f>
        <v/>
      </c>
      <c r="AV106" s="25" t="s">
        <v>141</v>
      </c>
      <c r="AW106" s="11" t="str">
        <f>IF(AU82="Straight","N/A",
IF(AU106="","BLANK",IF(AU106&lt;AT106,"REJECT","EQ")))</f>
        <v>N/A</v>
      </c>
      <c r="AY106" s="42"/>
      <c r="AZ106" s="42"/>
      <c r="BA106" s="42"/>
      <c r="BB106" s="42"/>
      <c r="BC106" s="42"/>
      <c r="BD106" s="42"/>
      <c r="BE106" s="42"/>
      <c r="BF106" s="42"/>
      <c r="BG106" s="42"/>
      <c r="BI106" s="12" t="s">
        <v>325</v>
      </c>
      <c r="BJ106" s="25" t="s">
        <v>370</v>
      </c>
      <c r="BK106" s="44"/>
      <c r="BL106" s="44"/>
      <c r="BM106" s="44"/>
      <c r="BN106" s="44"/>
      <c r="BO106" s="44"/>
      <c r="BP106" s="44"/>
      <c r="BQ106" s="44"/>
      <c r="BR106" s="11"/>
      <c r="BT106" s="15"/>
      <c r="BU106" s="15"/>
      <c r="BV106" s="15"/>
      <c r="BW106" s="15" t="s">
        <v>147</v>
      </c>
      <c r="BX106" s="11">
        <v>6695</v>
      </c>
      <c r="BY106" s="11" t="str">
        <f>IF(OR(BY101="",BY102=""),"",
IF(BY100="Round",
ROUND((PI()/4)*((BY104/2)^4-((BY104-2*BY103)/2)^4),0),
ROUND((BY104^4-(BY104-2*BY103)^4)/12,0)))</f>
        <v/>
      </c>
      <c r="BZ106" s="25" t="s">
        <v>145</v>
      </c>
      <c r="CA106" s="11" t="str">
        <f t="shared" si="10"/>
        <v>N/A</v>
      </c>
      <c r="CC106" s="124"/>
      <c r="CD106" s="15"/>
      <c r="CE106" s="15"/>
      <c r="CF106" s="15"/>
      <c r="CG106" s="15" t="str">
        <f>IF(CI69="Diff Carrier Diagonal","Differential carrier minimum cross sectional area (A):",IF(CI69="Billet Plate","Plate minimum cross sectional area (A):",""))</f>
        <v/>
      </c>
      <c r="CH106" s="26">
        <f>IF(CI69="Tube","",
CH100*CH75*IF($A$25="mm",1,1/(25.4^2)))</f>
        <v>0</v>
      </c>
      <c r="CI106" s="82"/>
      <c r="CJ106" s="25" t="str">
        <f>IF($A$25="mm","mm^2","in^2")</f>
        <v>in^2</v>
      </c>
      <c r="CK106" s="11" t="str">
        <f>IF($G$8="IC - Internal Combustion","N/A",
IF(CH100=0,"N/A",
IF(CI106="","BLANK","EQ")))</f>
        <v>N/A</v>
      </c>
    </row>
    <row r="107" spans="1:92" ht="15" customHeight="1" x14ac:dyDescent="0.2">
      <c r="A107" s="88"/>
      <c r="B107" s="89"/>
      <c r="C107" s="89"/>
      <c r="D107" s="89"/>
      <c r="E107" s="89"/>
      <c r="F107" s="89"/>
      <c r="G107" s="89"/>
      <c r="H107" s="89"/>
      <c r="I107" s="90"/>
      <c r="U107" s="295" t="str">
        <f>IF(COUNTIF(AC108,"BLANK"),"BLANK",IF(OR(SUMPRODUCT(--ISERROR(AC108))&gt;0,COUNTIF(AC108,"REJECT")),"REJECT",IF(COUNTIF(AC108,"CHECK"),"CHECK","EQ")))</f>
        <v>EQ</v>
      </c>
      <c r="V107" s="295"/>
      <c r="W107" s="295"/>
      <c r="X107" s="295"/>
      <c r="Y107" s="295"/>
      <c r="Z107" s="295"/>
      <c r="AA107" s="295"/>
      <c r="AB107" s="295"/>
      <c r="AC107" s="295"/>
      <c r="AI107" s="12" t="s">
        <v>426</v>
      </c>
      <c r="AP107" s="15"/>
      <c r="AQ107" s="15"/>
      <c r="AR107" s="15"/>
      <c r="AS107" s="15" t="s">
        <v>146</v>
      </c>
      <c r="AT107" s="11">
        <v>91</v>
      </c>
      <c r="AU107" s="11" t="str">
        <f>IF(OR(AU103="",AU104=""),"",
IF(AU102="Round",
ROUND(PI()*((AU106/2)^2-((AU106-2*AU105)/2)^2),0),
ROUND(AU106^2-(AU106-2*AU105)^2,0)))</f>
        <v/>
      </c>
      <c r="AV107" s="25" t="s">
        <v>144</v>
      </c>
      <c r="AW107" s="11" t="str">
        <f>IF(AU82="Straight","N/A",
IF(AU107="","BLANK",IF(AU107&lt;AT107,"REJECT","EQ")))</f>
        <v>N/A</v>
      </c>
      <c r="AY107" s="42"/>
      <c r="AZ107" s="42"/>
      <c r="BA107" s="42"/>
      <c r="BB107" s="42"/>
      <c r="BC107" s="42"/>
      <c r="BD107" s="42"/>
      <c r="BE107" s="42"/>
      <c r="BF107" s="42"/>
      <c r="BG107" s="42"/>
      <c r="BJ107" s="32" t="s">
        <v>516</v>
      </c>
      <c r="BK107" s="20" t="str">
        <f>HYPERLINK("https://www.fsaeonline.com/cdsweb/rqa/ViewFAQ.aspx?faqnum=279","https://www.fsaeonline.com/cdsweb/rqa/ViewFAQ.aspx?faqnum=279")</f>
        <v>https://www.fsaeonline.com/cdsweb/rqa/ViewFAQ.aspx?faqnum=279</v>
      </c>
      <c r="BR107" s="11"/>
      <c r="BT107" s="13"/>
      <c r="BU107" s="13"/>
      <c r="BV107" s="13"/>
      <c r="BW107" s="13"/>
      <c r="BX107" s="13"/>
      <c r="BY107" s="13"/>
      <c r="BZ107" s="13"/>
      <c r="CA107" s="13"/>
      <c r="CC107" s="124"/>
      <c r="CD107" s="15"/>
      <c r="CE107" s="15"/>
      <c r="CF107" s="15"/>
      <c r="CG107" s="15" t="str">
        <f>IF(CI69="Diff Carrier Diagonal","Differential carrier minimum second moment of inertia (I):",IF(CI69="Billet Plate","Plate minimum second moment of inertia (I):",""))</f>
        <v/>
      </c>
      <c r="CH107" s="26">
        <f>IF(CI69="Tube","",
CH100*CH76*IF($A$25="mm",1,1/(25.4^4)))</f>
        <v>0</v>
      </c>
      <c r="CI107" s="82"/>
      <c r="CJ107" s="25" t="str">
        <f>IF($A$25="mm","mm^4","in^4")</f>
        <v>in^4</v>
      </c>
      <c r="CK107" s="11" t="str">
        <f>IF($G$8="IC - Internal Combustion","N/A",
IF(CH100=0,"N/A",
IF(CI107="","BLANK","EQ")))</f>
        <v>N/A</v>
      </c>
    </row>
    <row r="108" spans="1:92" ht="15" customHeight="1" thickBot="1" x14ac:dyDescent="0.25">
      <c r="A108" s="88"/>
      <c r="B108" s="89"/>
      <c r="C108" s="89"/>
      <c r="D108" s="89"/>
      <c r="E108" s="89"/>
      <c r="F108" s="89"/>
      <c r="G108" s="89"/>
      <c r="H108" s="89"/>
      <c r="I108" s="90"/>
      <c r="U108" s="12" t="s">
        <v>151</v>
      </c>
      <c r="W108" s="15"/>
      <c r="X108" s="15"/>
      <c r="Y108" s="15"/>
      <c r="Z108" s="15" t="str">
        <f>IF($A$25="mm","Top of FH to top of FHB tube, 50mm vertical limit:","Top of FH to top of FHB tube, 2in vertical limit:")</f>
        <v>Top of FH to top of FHB tube, 2in vertical limit:</v>
      </c>
      <c r="AA108" s="16">
        <v>0.12</v>
      </c>
      <c r="AB108" s="25" t="str">
        <f>IF($A$25="mm","mm","in")</f>
        <v>in</v>
      </c>
      <c r="AC108" s="11" t="str">
        <f>IF(AA108="","BLANK",IF($A$25="mm",IF(AA108&lt;=50,"EQ","REJECT"),IF(AA108&lt;=2,"EQ","REJECT")))</f>
        <v>EQ</v>
      </c>
      <c r="AE108" s="295" t="str" cm="1">
        <f t="array" ref="AE108">IF(COUNTIF(AM109:AM117,"BLANK"),"BLANK",IF(OR(SUMPRODUCT(--ISERROR(AM109:AM117))&gt;0,COUNTIF(AM109:AM117,"REJECT")),"REJECT",IF(COUNTIF(AM109:AM117,"CHECK"),"CHECK","EQ")))</f>
        <v>EQ</v>
      </c>
      <c r="AF108" s="295"/>
      <c r="AG108" s="295"/>
      <c r="AH108" s="295"/>
      <c r="AI108" s="295"/>
      <c r="AJ108" s="295"/>
      <c r="AK108" s="295"/>
      <c r="AL108" s="295"/>
      <c r="AM108" s="295"/>
      <c r="AP108" s="15"/>
      <c r="AQ108" s="15"/>
      <c r="AR108" s="15"/>
      <c r="AS108" s="15" t="s">
        <v>147</v>
      </c>
      <c r="AT108" s="11">
        <v>6695</v>
      </c>
      <c r="AU108" s="11" t="str">
        <f>IF(OR(AU103="",AU104=""),"",
IF(AU102="Round",
ROUND((PI()/4)*((AU106/2)^4-((AU106-2*AU105)/2)^4),0),
ROUND((AU106^4-(AU106-2*AU105)^4)/12,0)))</f>
        <v/>
      </c>
      <c r="AV108" s="25" t="s">
        <v>145</v>
      </c>
      <c r="AW108" s="11" t="str">
        <f>IF(AU82="Straight","N/A",
IF(AU108="","BLANK",IF(AU108&lt;AT108,"REJECT","EQ")))</f>
        <v>N/A</v>
      </c>
      <c r="AY108" s="42"/>
      <c r="AZ108" s="42"/>
      <c r="BA108" s="42"/>
      <c r="BB108" s="42"/>
      <c r="BC108" s="42"/>
      <c r="BD108" s="42"/>
      <c r="BE108" s="42"/>
      <c r="BF108" s="42"/>
      <c r="BG108" s="42"/>
      <c r="BR108" s="12"/>
      <c r="BS108" s="35" t="s">
        <v>279</v>
      </c>
      <c r="BT108" s="25" t="s">
        <v>494</v>
      </c>
      <c r="BU108" s="13"/>
      <c r="BV108" s="13"/>
      <c r="BW108" s="13"/>
      <c r="BX108" s="13"/>
      <c r="BY108" s="13"/>
      <c r="BZ108" s="13"/>
      <c r="CA108" s="13"/>
      <c r="CC108" s="124"/>
      <c r="CD108" s="15"/>
      <c r="CE108" s="15"/>
      <c r="CF108" s="15"/>
      <c r="CG108" s="15" t="str">
        <f>IF(CI69="Tube","","Mount Longitudinal Edge to Moment of Inertia Centroid (R):")</f>
        <v>Mount Longitudinal Edge to Moment of Inertia Centroid (R):</v>
      </c>
      <c r="CH108" s="86">
        <f>IF(CI69="Tube","",
IF($A$25="mm",12.5,0.493))</f>
        <v>0.49299999999999999</v>
      </c>
      <c r="CI108" s="16"/>
      <c r="CJ108" s="25" t="str">
        <f>IF($A$25="mm","mm","in")</f>
        <v>in</v>
      </c>
      <c r="CK108" s="11" t="str">
        <f>IF($G$8="IC - Internal Combustion","N/A",
IF(CH100=0,"N/A",
IF(CI108="","BLANK","EQ")))</f>
        <v>N/A</v>
      </c>
    </row>
    <row r="109" spans="1:92" ht="15" customHeight="1" thickBot="1" x14ac:dyDescent="0.25">
      <c r="A109" s="88"/>
      <c r="B109" s="89"/>
      <c r="C109" s="89"/>
      <c r="D109" s="89"/>
      <c r="E109" s="89"/>
      <c r="F109" s="89"/>
      <c r="G109" s="89"/>
      <c r="H109" s="89"/>
      <c r="I109" s="90"/>
      <c r="U109" s="12"/>
      <c r="V109" s="35"/>
      <c r="AD109" s="12"/>
      <c r="AF109" s="15" t="str">
        <f>IF(AM109="N/A","","Lap Belt Attachment:")</f>
        <v>Lap Belt Attachment:</v>
      </c>
      <c r="AG109" s="298" t="s">
        <v>1220</v>
      </c>
      <c r="AH109" s="300"/>
      <c r="AI109" s="298" t="s">
        <v>1221</v>
      </c>
      <c r="AJ109" s="299"/>
      <c r="AK109" s="299"/>
      <c r="AL109" s="300"/>
      <c r="AM109" s="11" t="str">
        <f>IF(AJ88="Composite","N/A",
IF(OR(AG109="",AI109=""),"BLANK","EQ"))</f>
        <v>EQ</v>
      </c>
      <c r="AY109" s="42"/>
      <c r="AZ109" s="42"/>
      <c r="BA109" s="42"/>
      <c r="BB109" s="42"/>
      <c r="BC109" s="42"/>
      <c r="BD109" s="42"/>
      <c r="BE109" s="42"/>
      <c r="BF109" s="42"/>
      <c r="BG109" s="42"/>
      <c r="BI109" s="295" t="str" cm="1">
        <f t="array" ref="BI109">IF(COUNTIF(BQ110:BQ130,"BLANK"),"BLANK",IF(OR(SUMPRODUCT(--ISERROR(BQ110:BQ130))&gt;0,COUNTIF(BQ110:BQ130,"REJECT")),"REJECT",IF(COUNTIF(BQ110:BQ130,"CHECK"),"CHECK","EQ")))</f>
        <v>EQ</v>
      </c>
      <c r="BJ109" s="295"/>
      <c r="BK109" s="295"/>
      <c r="BL109" s="295"/>
      <c r="BM109" s="295"/>
      <c r="BN109" s="295"/>
      <c r="BO109" s="295"/>
      <c r="BP109" s="295"/>
      <c r="BQ109" s="295"/>
      <c r="BR109" s="12"/>
      <c r="BS109" s="25" t="s">
        <v>412</v>
      </c>
      <c r="BT109" s="13"/>
      <c r="CC109" s="37" t="str">
        <f>IF(CI69="Tube","","Buckling Modulus")</f>
        <v>Buckling Modulus</v>
      </c>
      <c r="CD109" s="47"/>
      <c r="CF109" s="124"/>
      <c r="CG109" s="124" t="str">
        <f>IF(CI69="Tube",""," E_1*I_1 &lt;= E_2*I_2:")</f>
        <v xml:space="preserve"> E_1*I_1 &lt;= E_2*I_2:</v>
      </c>
      <c r="CH109" s="126">
        <f>IF($CI69="Tube","",
CH102*CH107*IF($A$25="mm",1/(10^12),1))</f>
        <v>0</v>
      </c>
      <c r="CI109" s="126" t="str">
        <f>IF($CI69="Tube","",
IF(OR(CI102="",CI107=""),"",CI102*CI107*IF($A$25="mm",1/(10^12),1)))</f>
        <v/>
      </c>
      <c r="CJ109" s="127" t="str">
        <f>IF(OR(CH109="",CI109=""),"",CI109/CH109)</f>
        <v/>
      </c>
      <c r="CK109" s="128" t="str">
        <f>IF($G$8="IC - Internal Combustion","N/A",
IF(CH100=0,"N/A",
IF(CJ109="","BLANK",
IF(CJ109="","EQ",IF(CJ109&gt;=1,"EQ",IF(CJ109&gt;=0.95,"CHECK","REJECT"))))))</f>
        <v>N/A</v>
      </c>
    </row>
    <row r="110" spans="1:92" ht="15" customHeight="1" thickBot="1" x14ac:dyDescent="0.25">
      <c r="A110" s="88"/>
      <c r="B110" s="89"/>
      <c r="C110" s="89"/>
      <c r="D110" s="89"/>
      <c r="E110" s="89"/>
      <c r="F110" s="89"/>
      <c r="G110" s="89"/>
      <c r="H110" s="89"/>
      <c r="I110" s="90"/>
      <c r="U110" s="295" t="str">
        <f>IF(COUNTIF(AC111:AC118,"BLANK"),"BLANK",IF(OR(SUMPRODUCT(--ISERROR(AC111:AC118))&gt;0,COUNTIF(AC111:AC118,"REJECT")),"REJECT",IF(COUNTIF(AC111:AC118,"CHECK"),"CHECK","EQ")))</f>
        <v>EQ</v>
      </c>
      <c r="V110" s="295"/>
      <c r="W110" s="295"/>
      <c r="X110" s="295"/>
      <c r="Y110" s="295"/>
      <c r="Z110" s="295"/>
      <c r="AA110" s="295"/>
      <c r="AB110" s="295"/>
      <c r="AC110" s="295"/>
      <c r="AE110" s="12" t="s">
        <v>464</v>
      </c>
      <c r="AF110" s="15"/>
      <c r="AG110" s="11"/>
      <c r="AH110" s="11"/>
      <c r="AI110" s="11"/>
      <c r="AJ110" s="15" t="str">
        <f>IF(AM110="N/A","","Harness Test Load:")</f>
        <v>Harness Test Load:</v>
      </c>
      <c r="AK110" s="11">
        <f>IF(AG109="Lap Only",1,2)*IF($A$25="mm",15000,3371)</f>
        <v>6742</v>
      </c>
      <c r="AL110" s="25" t="str">
        <f>IF($A$25="mm","N","lbs")</f>
        <v>lbs</v>
      </c>
      <c r="AM110" s="11" t="str">
        <f>IF(AM109="N/A","N/A","EQ")</f>
        <v>EQ</v>
      </c>
      <c r="AO110" s="295" t="str">
        <f>IF(COUNTIF(AW111:AW112,"BLANK"),"BLANK",IF(OR(SUMPRODUCT(--ISERROR(AW111:AW112))&gt;0,COUNTIF(AW111:AW112,"REJECT")),"REJECT",IF(COUNTIF(AW111:AW112,"CHECK"),"CHECK","EQ")))</f>
        <v>EQ</v>
      </c>
      <c r="AP110" s="295"/>
      <c r="AQ110" s="295"/>
      <c r="AR110" s="295"/>
      <c r="AS110" s="295"/>
      <c r="AT110" s="295"/>
      <c r="AU110" s="295"/>
      <c r="AV110" s="295"/>
      <c r="AW110" s="295"/>
      <c r="AY110" s="42"/>
      <c r="AZ110" s="42"/>
      <c r="BA110" s="42"/>
      <c r="BB110" s="42"/>
      <c r="BC110" s="42"/>
      <c r="BD110" s="42"/>
      <c r="BE110" s="42"/>
      <c r="BF110" s="42"/>
      <c r="BG110" s="42"/>
      <c r="BI110" s="12" t="s">
        <v>329</v>
      </c>
      <c r="BK110" s="15"/>
      <c r="BL110" s="15"/>
      <c r="BM110" s="15" t="s">
        <v>38</v>
      </c>
      <c r="BN110" s="298" t="s">
        <v>1232</v>
      </c>
      <c r="BO110" s="299"/>
      <c r="BP110" s="300"/>
      <c r="BQ110" s="11" t="str">
        <f>IF(BN110="","BLANK","EQ")</f>
        <v>EQ</v>
      </c>
      <c r="BR110" s="13"/>
      <c r="CC110" s="37" t="str">
        <f>IF(CI69="Tube","","Critical Strength")</f>
        <v>Critical Strength</v>
      </c>
      <c r="CE110" s="124"/>
      <c r="CF110" s="124"/>
      <c r="CG110" s="124" t="str">
        <f>IF(CI69="Tube","","S_1*A_1 &lt;= S_2*A_2:")</f>
        <v>S_1*A_1 &lt;= S_2*A_2:</v>
      </c>
      <c r="CH110" s="126" t="str">
        <f>IF($CI69="Tube","",
IF(OR(CI103="",CI104=""),"",
CH106*CH105*IF($A$25="mm",1/(10^6),1)))</f>
        <v/>
      </c>
      <c r="CI110" s="126" t="str">
        <f>IF($CI69="Tube","",
IF(OR(CI106="",CI105=""),"",
CI106*CI105*IF($A$25="mm",1/(10^6),1)))</f>
        <v/>
      </c>
      <c r="CJ110" s="127" t="str">
        <f t="shared" ref="CJ110" si="11">IF(OR(CH110="",CI110=""),"",CI110/CH110)</f>
        <v/>
      </c>
      <c r="CK110" s="128" t="str">
        <f>IF($G$8="IC - Internal Combustion","N/A",
IF(CH100=0,"N/A",
IF(CJ110="","BLANK",
IF(CJ110="","EQ",IF(CJ110&gt;=1,"EQ",IF(CJ110&gt;=0.95,"CHECK","REJECT"))))))</f>
        <v>N/A</v>
      </c>
    </row>
    <row r="111" spans="1:92" ht="15" customHeight="1" thickBot="1" x14ac:dyDescent="0.25">
      <c r="A111" s="88"/>
      <c r="B111" s="89"/>
      <c r="C111" s="89"/>
      <c r="D111" s="89"/>
      <c r="E111" s="89"/>
      <c r="F111" s="89"/>
      <c r="G111" s="89"/>
      <c r="H111" s="89"/>
      <c r="I111" s="90"/>
      <c r="U111" s="12" t="s">
        <v>152</v>
      </c>
      <c r="V111" s="35" t="s">
        <v>153</v>
      </c>
      <c r="W111" s="11"/>
      <c r="X111" s="11"/>
      <c r="Y111" s="11"/>
      <c r="Z111" s="12" t="s">
        <v>142</v>
      </c>
      <c r="AA111" s="296" t="s">
        <v>143</v>
      </c>
      <c r="AB111" s="296"/>
      <c r="AC111" s="11" t="s">
        <v>56</v>
      </c>
      <c r="AE111" s="12" t="s">
        <v>427</v>
      </c>
      <c r="AF111" s="22"/>
      <c r="AG111" s="15"/>
      <c r="AH111" s="15"/>
      <c r="AI111" s="15"/>
      <c r="AJ111" s="15" t="str">
        <f>IF(OR(AM110="N/A",AI109="Clip Through A Pad Eye"),"","Lap belt fastener MINOR diameter:")</f>
        <v>Lap belt fastener MINOR diameter:</v>
      </c>
      <c r="AK111" s="16">
        <v>0.375</v>
      </c>
      <c r="AL111" s="25" t="str">
        <f>IF($A$25="mm","mm","in")</f>
        <v>in</v>
      </c>
      <c r="AM111" s="11" t="str">
        <f>IF(AM110="N/A","N/A",
IF(AI109="Clip Through A Pad Eye","N/A",
IF(AK111="","BLANK",IF($A$25="mm",IF(AK111&gt;=8.376,"EQ","CHECK"),IF(AK111&gt;=0.307,"EQ","CHECK")))))</f>
        <v>EQ</v>
      </c>
      <c r="AO111" s="12" t="s">
        <v>319</v>
      </c>
      <c r="AQ111" s="15"/>
      <c r="AR111" s="15"/>
      <c r="AS111" s="15"/>
      <c r="AT111" s="15" t="s">
        <v>436</v>
      </c>
      <c r="AU111" s="80" t="s">
        <v>1223</v>
      </c>
      <c r="AW111" s="11" t="str">
        <f>IF(AU111="","BLANK",IF(AND(AU111="Vertical",NOT(AU112=0)),"REJECT","EQ"))</f>
        <v>EQ</v>
      </c>
      <c r="AY111" s="42"/>
      <c r="AZ111" s="42"/>
      <c r="BA111" s="42"/>
      <c r="BB111" s="42"/>
      <c r="BC111" s="42"/>
      <c r="BD111" s="42"/>
      <c r="BE111" s="42"/>
      <c r="BF111" s="42"/>
      <c r="BG111" s="42"/>
      <c r="BI111" s="12"/>
      <c r="BK111" s="15"/>
      <c r="BL111" s="15"/>
      <c r="BM111" s="15"/>
      <c r="BN111" s="15" t="s">
        <v>485</v>
      </c>
      <c r="BO111" s="79"/>
      <c r="BP111" s="12" t="str">
        <f>IF(BO111&gt;1,"MOMENT","")</f>
        <v/>
      </c>
      <c r="BQ111" s="11" t="str">
        <f>IF(NOT(OR(BN110="Mounted on MHB with Brace.",BN110="Wing mounted to MHB nodes.")),"N/A",
IF(BO111="","BLANK","EQ"))</f>
        <v>N/A</v>
      </c>
      <c r="BS111" s="295" t="str" cm="1">
        <f t="array" ref="BS111">IF(COUNTIF(BS112:CA113,"BLANK"),"BLANK",IF(OR(SUMPRODUCT(--ISERROR(BS112:CA113))&gt;0,COUNTIF(BS112:CA113,"REJECT")),"REJECT",IF(COUNTIF(BS112:CA113,"CHECK"),"CHECK","EQ")))</f>
        <v>EQ</v>
      </c>
      <c r="BT111" s="295"/>
      <c r="BU111" s="295"/>
      <c r="BV111" s="295"/>
      <c r="BW111" s="295"/>
      <c r="BX111" s="295"/>
      <c r="BY111" s="295"/>
      <c r="BZ111" s="295"/>
      <c r="CA111" s="295"/>
      <c r="CC111" s="37" t="str">
        <f>IF(CI69="Tube","","Bending")</f>
        <v>Bending</v>
      </c>
      <c r="CE111" s="124"/>
      <c r="CF111" s="124"/>
      <c r="CG111" s="124" t="str">
        <f>IF(CI69="Tube","","4*S_1*I_1/r &lt;= 4*S_2*I_2/r:")</f>
        <v>4*S_1*I_1/r &lt;= 4*S_2*I_2/r:</v>
      </c>
      <c r="CH111" s="126" t="str">
        <f>IF($CI69="Tube","",
IF(OR(CI103="",CI104=""),"",
4*CH105*CH107*IF($A$25="mm",1/(10^12),1)/(CH108*IF($A$25="mm",1/(10^3),1))))</f>
        <v/>
      </c>
      <c r="CI111" s="126" t="str">
        <f>IF($CI69="Tube","",
IF(OR(CI103="",CI104="",CI108="",CI107=""),"",
4*CI105*CI107*IF($A$25="mm",1/(10^12),1)/(CI108*IF($A$25="mm",1/(10^3),1))))</f>
        <v/>
      </c>
      <c r="CJ111" s="127" t="str">
        <f>IF(OR(CH111="",CI111=""),"",CI111/CH111)</f>
        <v/>
      </c>
      <c r="CK111" s="128" t="str">
        <f>IF($G$8="IC - Internal Combustion","N/A",
IF(CH100=0,"N/A",
IF(CJ111="","BLANK",
IF(CJ111="","EQ",IF(CJ111&gt;=1,"EQ",IF(CJ111&gt;=0.95,"CHECK","REJECT"))))))</f>
        <v>N/A</v>
      </c>
      <c r="CN111" s="12"/>
    </row>
    <row r="112" spans="1:92" ht="15" customHeight="1" thickBot="1" x14ac:dyDescent="0.25">
      <c r="A112" s="88"/>
      <c r="B112" s="89"/>
      <c r="C112" s="89"/>
      <c r="D112" s="89"/>
      <c r="E112" s="89"/>
      <c r="F112" s="89"/>
      <c r="G112" s="89"/>
      <c r="H112" s="89"/>
      <c r="I112" s="90"/>
      <c r="U112" s="12" t="s">
        <v>359</v>
      </c>
      <c r="V112" s="25" t="str">
        <f>IF($A$25="mm",
"Example: 25.4mm x 1.6mm round",
"Example: 1.0in x 0.065in round")</f>
        <v>Example: 1.0in x 0.065in round</v>
      </c>
      <c r="W112" s="15"/>
      <c r="X112" s="15"/>
      <c r="Y112" s="15"/>
      <c r="Z112" s="11" t="s">
        <v>154</v>
      </c>
      <c r="AA112" s="80" t="s">
        <v>3</v>
      </c>
      <c r="AC112" s="11" t="str">
        <f>IF(AA112="","BLANK","EQ")</f>
        <v>EQ</v>
      </c>
      <c r="AE112" s="12"/>
      <c r="AJ112" s="15" t="str">
        <f>IF(OR(AM110="N/A",AI109="Clip Through A Pad Eye"),"","Lap belt fastener rated UTS:")</f>
        <v>Lap belt fastener rated UTS:</v>
      </c>
      <c r="AK112" s="82">
        <v>150000</v>
      </c>
      <c r="AL112" s="35" t="str">
        <f>IF($A$25="mm","Pa","psi")</f>
        <v>psi</v>
      </c>
      <c r="AM112" s="11" t="str">
        <f>IF(AM110="N/A","N/A",
IF(AI109="Clip Through A Pad Eye","N/A",
IF(AK112="","BLANK",IF($A$25="mm",IF(AK112&gt;=8,"EQ","CHECK"),IF(AK112&gt;=0.3125,"EQ","CHECK")))))</f>
        <v>EQ</v>
      </c>
      <c r="AQ112" s="15"/>
      <c r="AR112" s="15"/>
      <c r="AS112" s="15"/>
      <c r="AT112" s="15" t="s">
        <v>292</v>
      </c>
      <c r="AU112" s="79">
        <v>0</v>
      </c>
      <c r="AV112" s="25" t="s">
        <v>21</v>
      </c>
      <c r="AW112" s="11" t="str">
        <f>IF(AU112="","BLANK",IF(ABS(AU112)&lt;=10,"EQ","REJECT"))</f>
        <v>EQ</v>
      </c>
      <c r="AY112" s="42"/>
      <c r="AZ112" s="42"/>
      <c r="BA112" s="42"/>
      <c r="BB112" s="42"/>
      <c r="BC112" s="42"/>
      <c r="BD112" s="42"/>
      <c r="BE112" s="42"/>
      <c r="BF112" s="42"/>
      <c r="BG112" s="42"/>
      <c r="BI112" s="12" t="s">
        <v>330</v>
      </c>
      <c r="BJ112" s="35" t="s">
        <v>212</v>
      </c>
      <c r="BK112" s="11"/>
      <c r="BL112" s="11"/>
      <c r="BM112" s="11"/>
      <c r="BN112" s="12" t="s">
        <v>142</v>
      </c>
      <c r="BO112" s="296" t="s">
        <v>143</v>
      </c>
      <c r="BP112" s="296"/>
      <c r="BQ112" s="11" t="str">
        <f>IF(NOT(BN110="Mounted on MHB with Brace."),"N/A","EQ")</f>
        <v>N/A</v>
      </c>
      <c r="BS112" s="11"/>
      <c r="BT112" s="11"/>
      <c r="BU112" s="11"/>
      <c r="BV112" s="11"/>
      <c r="BW112" s="15" t="s">
        <v>326</v>
      </c>
      <c r="BX112" s="298"/>
      <c r="BY112" s="299"/>
      <c r="BZ112" s="300"/>
      <c r="CA112" s="11" t="str">
        <f>IF($G$8="IC - Internal Combustion","N/A",IF(BX112="","BLANK","EQ"))</f>
        <v>N/A</v>
      </c>
      <c r="CC112" s="12" t="str">
        <f>IF(CI69="Tube","","Deflection")</f>
        <v>Deflection</v>
      </c>
      <c r="CE112" s="15"/>
      <c r="CF112" s="15"/>
      <c r="CG112" s="15" t="str">
        <f>IF(CI69="Tube","","Bending_1/(48*EI):")</f>
        <v>Bending_1/(48*EI):</v>
      </c>
      <c r="CH112" s="126" t="str">
        <f>IF($CI69="Tube","",
IF(OR(CI103="",CI104=""),"",
CH111/(48*CH102*CH107*IF($A$25="mm",1/(10^12),1))))</f>
        <v/>
      </c>
      <c r="CI112" s="126" t="str">
        <f>IF($CI69="Tube","",
IF(OR(CI103="",CI104="",CI108="",CI107="",CI102=""),"",
CH111/(48*CI102*CI107*IF($A$25="mm",1/(10^12),1))))</f>
        <v/>
      </c>
      <c r="CJ112" s="127" t="str">
        <f>IF(OR(CH112="",CI112=""),"",CI112/CH112)</f>
        <v/>
      </c>
      <c r="CK112" s="128" t="str">
        <f>IF($G$8="IC - Internal Combustion","N/A",
IF(CH100=0,"N/A",
IF(CJ112="","BLANK",
IF(CJ112="","EQ",IF(CJ112&lt;=1,"EQ",IF(CJ112&lt;=1.05,"CHECK","REJECT"))))))</f>
        <v>N/A</v>
      </c>
      <c r="CN112" s="12"/>
    </row>
    <row r="113" spans="1:92" ht="15" customHeight="1" thickBot="1" x14ac:dyDescent="0.25">
      <c r="A113" s="88"/>
      <c r="B113" s="89"/>
      <c r="C113" s="89"/>
      <c r="D113" s="89"/>
      <c r="E113" s="89"/>
      <c r="F113" s="89"/>
      <c r="G113" s="89"/>
      <c r="H113" s="89"/>
      <c r="I113" s="90"/>
      <c r="U113" s="12" t="s">
        <v>360</v>
      </c>
      <c r="W113" s="15"/>
      <c r="X113" s="15"/>
      <c r="Y113" s="15" t="s">
        <v>18</v>
      </c>
      <c r="Z113" s="75">
        <f>IF($A$25="mm",1.2,0.047)</f>
        <v>4.7E-2</v>
      </c>
      <c r="AA113" s="16">
        <v>6.5000000000000002E-2</v>
      </c>
      <c r="AB113" s="25" t="str">
        <f>IF($A$25="mm","mm","in")</f>
        <v>in</v>
      </c>
      <c r="AC113" s="11" t="str">
        <f>IF(AA113="","BLANK",IF(AA113&lt;Z113,"REJECT","EQ"))</f>
        <v>EQ</v>
      </c>
      <c r="AE113" s="12"/>
      <c r="AJ113" s="15" t="str">
        <f>IF(OR(AM110="N/A",AI109="Clip Through A Pad Eye"),"","Fastener shear stregnth 0.577*UTS*A"&amp;IF($A$25="mm"," (N)"," (lbs)")&amp;":")</f>
        <v>Fastener shear stregnth 0.577*UTS*A (lbs):</v>
      </c>
      <c r="AK113" s="27">
        <f>0.577*AK112*PI()*(AK111*IF($A$25="mm",1/1000,1)/2)^2</f>
        <v>9559.1546777881613</v>
      </c>
      <c r="AL113" s="84">
        <f>AK113/AK110</f>
        <v>1.4178514799448474</v>
      </c>
      <c r="AM113" s="11" t="str">
        <f>IF(AM110="N/A","N/A",
IF(AI109="Clip Through A Pad Eye","N/A",
IF(AK113="","BLANK",IF(AL113&lt;1,"REJECT","EQ"))))</f>
        <v>EQ</v>
      </c>
      <c r="AO113" s="12" t="s">
        <v>166</v>
      </c>
      <c r="AQ113" s="12"/>
      <c r="AR113" s="12"/>
      <c r="AS113" s="12" t="str">
        <f>IF(AU112=0,"Main Hoop Braces may run forward or rearward.",IF(AU111="Forward","Main Hoop requires braces that run forward.","Main Hoop requires braces that run rearward."))</f>
        <v>Main Hoop Braces may run forward or rearward.</v>
      </c>
      <c r="AT113" s="12"/>
      <c r="AU113" s="12"/>
      <c r="AV113" s="12"/>
      <c r="AW113" s="11"/>
      <c r="AY113" s="42"/>
      <c r="AZ113" s="42"/>
      <c r="BA113" s="42"/>
      <c r="BB113" s="42"/>
      <c r="BC113" s="42"/>
      <c r="BD113" s="42"/>
      <c r="BE113" s="42"/>
      <c r="BF113" s="42"/>
      <c r="BG113" s="42"/>
      <c r="BI113" s="12" t="s">
        <v>367</v>
      </c>
      <c r="BJ113" s="25" t="str">
        <f>IF($A$25="mm",
"Example: 25.4mm x 1.2mm round",
"Example: 1.0in x 0.047in round")</f>
        <v>Example: 1.0in x 0.047in round</v>
      </c>
      <c r="BK113" s="15"/>
      <c r="BL113" s="15"/>
      <c r="BM113" s="15"/>
      <c r="BN113" s="11" t="s">
        <v>155</v>
      </c>
      <c r="BO113" s="80"/>
      <c r="BQ113" s="11" t="str">
        <f>IF(NOT(BN110="Mounted on MHB with Brace."),"N/A",
IF(BO113="","BLANK","EQ"))</f>
        <v>N/A</v>
      </c>
      <c r="BS113" s="15"/>
      <c r="BT113" s="15"/>
      <c r="BU113" s="15"/>
      <c r="BV113" s="15"/>
      <c r="BW113" s="15"/>
      <c r="BX113" s="15" t="s">
        <v>435</v>
      </c>
      <c r="BY113" s="298"/>
      <c r="BZ113" s="300"/>
      <c r="CA113" s="11" t="str">
        <f>IF($G$8="IC - Internal Combustion","N/A",IF(BY113="","BLANK","EQ"))</f>
        <v>N/A</v>
      </c>
      <c r="CC113" s="12" t="str">
        <f>IF(CI69="Tube","","Energy")</f>
        <v>Energy</v>
      </c>
      <c r="CE113" s="15"/>
      <c r="CF113" s="15"/>
      <c r="CG113" s="15" t="str">
        <f>IF(CI69="Tube","","0.5*Bending^2/(48*EI):")</f>
        <v>0.5*Bending^2/(48*EI):</v>
      </c>
      <c r="CH113" s="126" t="str">
        <f>IF($CI69="Tube","",
IF(OR(CI103="",CI104=""),"",
0.5*CH111^2/(48*CH102*CH107*IF($A$25="mm",1/(10^12),1))))</f>
        <v/>
      </c>
      <c r="CI113" s="126" t="str">
        <f>IF($CI69="Tube","",
IF(OR(CI103="",CI104="",CI108="",CI107="",CI102=""),"",
0.5*CI111^2/(48*CI102*CI107*IF($A$25="mm",1/(10^12),1))))</f>
        <v/>
      </c>
      <c r="CJ113" s="127" t="str">
        <f t="shared" ref="CJ113" si="12">IF(OR(CH113="",CI113=""),"",CI113/CH113)</f>
        <v/>
      </c>
      <c r="CK113" s="128" t="str">
        <f>IF($G$8="IC - Internal Combustion","N/A",
IF(CH100=0,"N/A",
IF(CJ113="","BLANK",
IF(CJ113="","EQ",IF(CJ113&gt;=1,"EQ",IF(CJ113&gt;=0.95,"CHECK","REJECT"))))))</f>
        <v>N/A</v>
      </c>
    </row>
    <row r="114" spans="1:92" ht="15" customHeight="1" thickBot="1" x14ac:dyDescent="0.25">
      <c r="A114" s="88"/>
      <c r="B114" s="89"/>
      <c r="C114" s="89"/>
      <c r="D114" s="89"/>
      <c r="E114" s="89"/>
      <c r="F114" s="89"/>
      <c r="G114" s="89"/>
      <c r="H114" s="89"/>
      <c r="I114" s="90"/>
      <c r="W114" s="15"/>
      <c r="X114" s="15"/>
      <c r="Y114" s="15" t="str">
        <f>IF(AA112="Round","Outer Diameter (OD):","Square side:")</f>
        <v>Outer Diameter (OD):</v>
      </c>
      <c r="Z114" s="75">
        <f>IF($A$25="mm",25,0.984)</f>
        <v>0.98399999999999999</v>
      </c>
      <c r="AA114" s="16">
        <v>1</v>
      </c>
      <c r="AB114" s="25" t="str">
        <f>IF($A$25="mm","mm","in")</f>
        <v>in</v>
      </c>
      <c r="AC114" s="11" t="str">
        <f t="shared" ref="AC114:AC118" si="13">IF(AA114="","BLANK",IF(AA114&lt;Z114,"REJECT","EQ"))</f>
        <v>EQ</v>
      </c>
      <c r="AJ114" s="15" t="str">
        <f>IF(OR(AM110="N/A"),"",IF(AI109="Eyebolt Or Bolt Through Tube","Eyebolt or bolt to chassis (If welded, use Pad Eye):","Pad Eye/Tab to chassis:"))</f>
        <v>Pad Eye/Tab to chassis:</v>
      </c>
      <c r="AK114" s="298" t="s">
        <v>1222</v>
      </c>
      <c r="AL114" s="300"/>
      <c r="AM114" s="11" t="str">
        <f>IF(OR(AM109="N/A",AI109="Wrapped"),"N/A",
IF(AK114="","BLANK",
IF(AND(AK114="Welded",AI109="Eyebolt Or Bolt Through Tube"),"REJECT","EQ")))</f>
        <v>EQ</v>
      </c>
      <c r="AY114" s="42"/>
      <c r="AZ114" s="42"/>
      <c r="BA114" s="42"/>
      <c r="BB114" s="42"/>
      <c r="BC114" s="42"/>
      <c r="BD114" s="42"/>
      <c r="BE114" s="42"/>
      <c r="BF114" s="42"/>
      <c r="BG114" s="42"/>
      <c r="BI114" s="12" t="s">
        <v>358</v>
      </c>
      <c r="BK114" s="15"/>
      <c r="BL114" s="15"/>
      <c r="BM114" s="15" t="s">
        <v>18</v>
      </c>
      <c r="BN114" s="75">
        <f>IF($A$25="mm",1.2,0.047)</f>
        <v>4.7E-2</v>
      </c>
      <c r="BO114" s="16"/>
      <c r="BP114" s="25" t="str">
        <f>IF($A$25="mm","mm","in")</f>
        <v>in</v>
      </c>
      <c r="BQ114" s="11" t="str">
        <f>IF(NOT(BN110="Mounted on MHB with Brace."),"N/A",
IF(BO114="","BLANK",IF(BO114&lt;BN114,"REJECT","EQ")))</f>
        <v>N/A</v>
      </c>
      <c r="BS114" s="11"/>
      <c r="BT114" s="11"/>
      <c r="BU114" s="11"/>
      <c r="BV114" s="11"/>
      <c r="BW114" s="11"/>
      <c r="BX114" s="11"/>
      <c r="BY114" s="11"/>
      <c r="BZ114" s="11"/>
      <c r="CA114" s="11"/>
      <c r="CC114" s="12"/>
      <c r="CD114" s="15"/>
      <c r="CE114" s="15"/>
      <c r="CF114" s="15"/>
      <c r="CG114" s="15"/>
      <c r="CH114" s="26"/>
      <c r="CI114" s="26"/>
      <c r="CK114" s="11"/>
      <c r="CN114" s="74"/>
    </row>
    <row r="115" spans="1:92" ht="15" customHeight="1" thickBot="1" x14ac:dyDescent="0.25">
      <c r="A115" s="88"/>
      <c r="B115" s="89"/>
      <c r="C115" s="89"/>
      <c r="D115" s="89"/>
      <c r="E115" s="89"/>
      <c r="F115" s="89"/>
      <c r="G115" s="89"/>
      <c r="H115" s="89"/>
      <c r="I115" s="90"/>
      <c r="W115" s="15"/>
      <c r="X115" s="15"/>
      <c r="Y115" s="15" t="s">
        <v>18</v>
      </c>
      <c r="Z115" s="28">
        <v>1.2</v>
      </c>
      <c r="AA115" s="11">
        <f>IF(AA113="","",IF($A$25="mm",AA113,ROUND(AA113*25.4,1)))</f>
        <v>1.7</v>
      </c>
      <c r="AB115" s="25" t="s">
        <v>141</v>
      </c>
      <c r="AC115" s="11" t="str">
        <f t="shared" si="13"/>
        <v>EQ</v>
      </c>
      <c r="AE115" s="12" t="str">
        <f>IF(AI109="Bolt Through A Tab","T.2.4.3.b",
IF(AK114="Threaded Insert","T.2.4.6.a",""))</f>
        <v>T.2.4.3.b</v>
      </c>
      <c r="AF115" s="22"/>
      <c r="AG115" s="15"/>
      <c r="AH115" s="15"/>
      <c r="AI115" s="15"/>
      <c r="AJ115" s="15" t="str">
        <f>IF(AM110="N/A","",
IF(AI109="Bolt Through A Tab","Tab thickness &gt;= 1.6mm (0.063in) steel:",
IF(AI109="Clip Through A Pad Eye","--Pad Eye-- Outer Diameter minus Inner Diameter:",
IF(AK114="Threaded Insert","Fastener Thread Pitch (Spacing Per Thread):","Nut rated UTS:"))))</f>
        <v>Tab thickness &gt;= 1.6mm (0.063in) steel:</v>
      </c>
      <c r="AK115" s="16">
        <v>0.25</v>
      </c>
      <c r="AL115" s="35" t="str">
        <f>IF(AK114="Through Bolted",IF($A$25="mm","MPa","psi"),
IF($A$25="mm","mm","in"))</f>
        <v>in</v>
      </c>
      <c r="AM115" s="11" t="str">
        <f>IF(OR(AI109="Wrapped",AM109="N/A"),"N/A",
IF(AK115="","BLANK",
IF(AI109="Eyebolt Or Bolt Through Tube","EQ",
IF($A$25="mm",IF(AK115&gt;=1.6,"EQ","REJECT"),IF(AK115&gt;=0.063,"EQ","REJECT")))))</f>
        <v>EQ</v>
      </c>
      <c r="AO115" s="295" t="str">
        <f>IF(COUNTIF(AW116:AW117,"BLANK"),"BLANK",IF(OR(SUMPRODUCT(--ISERROR(AW116:AW117))&gt;0,COUNTIF(AW116:AW117,"REJECT")),"REJECT",IF(COUNTIF(AW116:AW117,"CHECK"),"CHECK","EQ")))</f>
        <v>EQ</v>
      </c>
      <c r="AP115" s="295"/>
      <c r="AQ115" s="295"/>
      <c r="AR115" s="295"/>
      <c r="AS115" s="295"/>
      <c r="AT115" s="295"/>
      <c r="AU115" s="295"/>
      <c r="AV115" s="295"/>
      <c r="AW115" s="295"/>
      <c r="AY115" s="10"/>
      <c r="AZ115" s="10"/>
      <c r="BA115" s="10"/>
      <c r="BB115" s="10"/>
      <c r="BC115" s="10"/>
      <c r="BD115" s="10"/>
      <c r="BE115" s="10"/>
      <c r="BF115" s="10"/>
      <c r="BG115" s="10"/>
      <c r="BK115" s="15"/>
      <c r="BL115" s="15"/>
      <c r="BM115" s="15" t="str">
        <f>IF(BO113="Round","Outer Diameter (OD):","Square side:")</f>
        <v>Square side:</v>
      </c>
      <c r="BN115" s="75">
        <f>IF($A$25="mm",25,0.984)</f>
        <v>0.98399999999999999</v>
      </c>
      <c r="BO115" s="16"/>
      <c r="BP115" s="25" t="str">
        <f>IF($A$25="mm","mm","in")</f>
        <v>in</v>
      </c>
      <c r="BQ115" s="11" t="str">
        <f>IF(NOT(BN110="Mounted on MHB with Brace."),"N/A",
IF(BO115="","BLANK",IF(BO115&lt;BN115,"REJECT","EQ")))</f>
        <v>N/A</v>
      </c>
      <c r="BT115" s="11"/>
      <c r="BU115" s="11"/>
      <c r="BV115" s="11"/>
      <c r="BW115" s="11"/>
      <c r="BX115" s="11"/>
      <c r="BY115" s="11"/>
      <c r="BZ115" s="11"/>
      <c r="CA115" s="11"/>
      <c r="CD115" s="15"/>
      <c r="CE115" s="15"/>
      <c r="CF115" s="15"/>
      <c r="CG115" s="12" t="s">
        <v>484</v>
      </c>
      <c r="CH115" s="11"/>
      <c r="CI115" s="11"/>
      <c r="CK115" s="11"/>
      <c r="CN115" s="74"/>
    </row>
    <row r="116" spans="1:92" ht="15" customHeight="1" thickBot="1" x14ac:dyDescent="0.25">
      <c r="A116" s="88"/>
      <c r="B116" s="89"/>
      <c r="C116" s="89"/>
      <c r="D116" s="89"/>
      <c r="E116" s="89"/>
      <c r="F116" s="89"/>
      <c r="G116" s="89"/>
      <c r="H116" s="89"/>
      <c r="I116" s="90"/>
      <c r="W116" s="15"/>
      <c r="X116" s="15"/>
      <c r="Y116" s="15" t="str">
        <f>IF(AA112="Round","Outer Diameter (OD):","Square side:")</f>
        <v>Outer Diameter (OD):</v>
      </c>
      <c r="Z116" s="28">
        <v>25</v>
      </c>
      <c r="AA116" s="11">
        <f>IF(AA114="","",IF($A$25="mm",AA114,ROUND(AA114*25.4,1)))</f>
        <v>25.4</v>
      </c>
      <c r="AB116" s="25" t="s">
        <v>141</v>
      </c>
      <c r="AC116" s="11" t="str">
        <f t="shared" si="13"/>
        <v>EQ</v>
      </c>
      <c r="AE116" s="12" t="str">
        <f>IF(AND(AI109="Eyebolt Or Bolt Through Tube",AK114="Threaded Insert"),AK116/AK115,"")</f>
        <v/>
      </c>
      <c r="AF116" s="22"/>
      <c r="AG116" s="15"/>
      <c r="AH116" s="15"/>
      <c r="AI116" s="15"/>
      <c r="AJ116" s="15" t="str">
        <f>IF(AM110="N/A","",
IF(AI109="Bolt Through A Tab","Min Tearout: Fastener spacing, edge, or corner dist:",
IF(AI109="Clip Through A Pad Eye","Base (Larger than OD or height):",
"--Pullout-- Fastener threads engaged, depth:")))</f>
        <v>Min Tearout: Fastener spacing, edge, or corner dist:</v>
      </c>
      <c r="AK116" s="79">
        <v>0.54</v>
      </c>
      <c r="AL116" s="25" t="str">
        <f>IF($A$25="mm","mm","in")</f>
        <v>in</v>
      </c>
      <c r="AM116" s="11" t="str">
        <f>IF(OR(AI109="Wrapped",AM109="N/A"),"N/A",
IF(AK116="","BLANK",
IF(AK114="Threaded Insert",IF(AE116&lt;10,"REJECT","EQ"),
"EQ")))</f>
        <v>EQ</v>
      </c>
      <c r="AO116" s="12" t="s">
        <v>320</v>
      </c>
      <c r="AQ116" s="15"/>
      <c r="AR116" s="15"/>
      <c r="AS116" s="15"/>
      <c r="AT116" s="15" t="s">
        <v>437</v>
      </c>
      <c r="AU116" s="80" t="s">
        <v>1223</v>
      </c>
      <c r="AW116" s="11" t="str">
        <f>IF(AU116="","BLANK",IF(AND(AU116="Vertical",NOT(AU117=0)),"REJECT","EQ"))</f>
        <v>EQ</v>
      </c>
      <c r="AY116" s="294" t="s">
        <v>351</v>
      </c>
      <c r="AZ116" s="294"/>
      <c r="BA116" s="294"/>
      <c r="BB116" s="294"/>
      <c r="BC116" s="294"/>
      <c r="BD116" s="294"/>
      <c r="BE116" s="294"/>
      <c r="BF116" s="294"/>
      <c r="BG116" s="294"/>
      <c r="BK116" s="15"/>
      <c r="BL116" s="15"/>
      <c r="BM116" s="15" t="s">
        <v>18</v>
      </c>
      <c r="BN116" s="28">
        <v>1.2</v>
      </c>
      <c r="BO116" s="11" t="str">
        <f>IF(BO114="","",IF($A$25="mm",BO114,ROUND(BO114*25.4,1)))</f>
        <v/>
      </c>
      <c r="BP116" s="25" t="s">
        <v>141</v>
      </c>
      <c r="BQ116" s="11" t="str">
        <f>IF(NOT(BN110="Mounted on MHB with Brace."),"N/A",
IF(BO116="","BLANK",IF(BO116&lt;BN116,"REJECT","EQ")))</f>
        <v>N/A</v>
      </c>
      <c r="BT116" s="11"/>
      <c r="BU116" s="11"/>
      <c r="BV116" s="11"/>
      <c r="BW116" s="11"/>
      <c r="BX116" s="11"/>
      <c r="BY116" s="11"/>
      <c r="BZ116" s="11"/>
      <c r="CA116" s="11"/>
      <c r="CG116" s="12" t="s">
        <v>483</v>
      </c>
    </row>
    <row r="117" spans="1:92" ht="15" customHeight="1" thickBot="1" x14ac:dyDescent="0.25">
      <c r="A117" s="88"/>
      <c r="B117" s="89"/>
      <c r="C117" s="89"/>
      <c r="D117" s="89"/>
      <c r="E117" s="89"/>
      <c r="F117" s="89"/>
      <c r="G117" s="89"/>
      <c r="H117" s="89"/>
      <c r="I117" s="90"/>
      <c r="V117" s="15"/>
      <c r="W117" s="15"/>
      <c r="X117" s="15"/>
      <c r="Y117" s="15" t="s">
        <v>146</v>
      </c>
      <c r="Z117" s="11">
        <v>114</v>
      </c>
      <c r="AA117" s="11">
        <f>IF(OR(AA113="",AA114=""),"",
IF(AA112="Round",
ROUND(PI()*((AA116/2)^2-((AA116-2*AA115)/2)^2),0),
ROUND(AA116^2-(AA116-2*AA115)^2,0)))</f>
        <v>127</v>
      </c>
      <c r="AB117" s="25" t="s">
        <v>144</v>
      </c>
      <c r="AC117" s="11" t="str">
        <f t="shared" si="13"/>
        <v>EQ</v>
      </c>
      <c r="AE117" s="12"/>
      <c r="AF117" s="22"/>
      <c r="AG117" s="15"/>
      <c r="AH117" s="15"/>
      <c r="AI117" s="15"/>
      <c r="AJ117" s="116" t="str">
        <f>IF(AM110="N/A","",
IF(AI109="Bolt Through A Tab","Tab shear strength 0.577*F.3.4.2.b_UTS*A"&amp;IF($A$25="mm"," (N)"," (lbs)")&amp;":",
IF(AI109="Clip Through A Pad Eye","Pad Eye shear strength 0.577*F.3.4.2.b_UTS*A"&amp;IF($A$25="mm"," (N)"," (lbs)")&amp;":",
IF(AK114="Threaded Insert","Thread pullout 0.577*pi*minor_dia*depth*F.3.4.2.b_UTS:","Thread pullout 0.577*pi*minor_dia*depth*Nut_UTS:"))))</f>
        <v>Tab shear strength 0.577*F.3.4.2.b_UTS*A (lbs):</v>
      </c>
      <c r="AK117" s="27">
        <f>IF(AI109="Eyebolt Or Bolt Through Tube",0.577*PI()*AK111*AK116*IF(AK114="Through Bolted",AK115,IF($A$25="mm",300000000*(1/10^6),43500)),
0.577*IF($A$25="mm",300000000*(1/10^6),43500)*IF(AI109="Clip Through A Pad Eye",PI()*(AK115/2)^2,2*AK115*AK116))</f>
        <v>6776.8649999999998</v>
      </c>
      <c r="AL117" s="84">
        <f>AK117/AK110</f>
        <v>1.0051713141501037</v>
      </c>
      <c r="AM117" s="11" t="str">
        <f>IF(AM109="N/A","N/A",
IF(AK117="","BLANK",IF(AL117&lt;1,"REJECT","EQ")))</f>
        <v>EQ</v>
      </c>
      <c r="AO117" s="35"/>
      <c r="AQ117" s="15"/>
      <c r="AR117" s="15"/>
      <c r="AS117" s="15"/>
      <c r="AT117" s="15" t="str">
        <f>IF(NOT(AU116="Rearward"),"Main Hoop side angle from vertical below Upper SIS:","Main Hoop side angle from vertical below Upper SIS, &lt;=10:")</f>
        <v>Main Hoop side angle from vertical below Upper SIS:</v>
      </c>
      <c r="AU117" s="79">
        <v>0</v>
      </c>
      <c r="AV117" s="25" t="s">
        <v>21</v>
      </c>
      <c r="AW117" s="11" t="str">
        <f>IF(AU117="","BLANK",IF(OR(AND(AU116="FORWARD",AU117&lt;90),ABS(AU117&lt;=10)),"EQ","REJECT"))</f>
        <v>EQ</v>
      </c>
      <c r="AY117" s="294"/>
      <c r="AZ117" s="294"/>
      <c r="BA117" s="294"/>
      <c r="BB117" s="294"/>
      <c r="BC117" s="294"/>
      <c r="BD117" s="294"/>
      <c r="BE117" s="294"/>
      <c r="BF117" s="294"/>
      <c r="BG117" s="294"/>
      <c r="BK117" s="15"/>
      <c r="BL117" s="15"/>
      <c r="BM117" s="15" t="str">
        <f>IF(BO113="Round","Outer Diameter (OD):","Square side:")</f>
        <v>Square side:</v>
      </c>
      <c r="BN117" s="28">
        <v>25</v>
      </c>
      <c r="BO117" s="11" t="str">
        <f>IF(BO115="","",IF($A$25="mm",BO115,ROUND(BO115*25.4,1)))</f>
        <v/>
      </c>
      <c r="BP117" s="25" t="s">
        <v>141</v>
      </c>
      <c r="BQ117" s="11" t="str">
        <f>IF(NOT(BN110="Mounted on MHB with Brace."),"N/A",
IF(BO117="","BLANK",IF(BO117&lt;BN117,"REJECT","EQ")))</f>
        <v>N/A</v>
      </c>
      <c r="BT117" s="12"/>
      <c r="BU117" s="12"/>
      <c r="BV117" s="12"/>
      <c r="BW117" s="12"/>
      <c r="BX117" s="12"/>
      <c r="BY117" s="12"/>
      <c r="BZ117" s="12"/>
      <c r="CA117" s="12"/>
      <c r="CC117" s="295" t="str" cm="1">
        <f t="array" ref="CC117">IF(COUNTIF(CK118:CK128,"BLANK"),"BLANK",IF(OR(SUMPRODUCT(--ISERROR(CK118:CK128))&gt;0,COUNTIF(CK118:CK128,"REJECT")),"REJECT",IF(COUNTIF(CK118:CK128,"CHECK"),"CHECK","EQ")))</f>
        <v>EQ</v>
      </c>
      <c r="CD117" s="295"/>
      <c r="CE117" s="295"/>
      <c r="CF117" s="295"/>
      <c r="CG117" s="295"/>
      <c r="CH117" s="295"/>
      <c r="CI117" s="295"/>
      <c r="CJ117" s="295"/>
      <c r="CK117" s="295"/>
    </row>
    <row r="118" spans="1:92" ht="16" thickBot="1" x14ac:dyDescent="0.25">
      <c r="A118" s="91"/>
      <c r="B118" s="92"/>
      <c r="C118" s="92"/>
      <c r="D118" s="92"/>
      <c r="E118" s="93"/>
      <c r="F118" s="89"/>
      <c r="G118" s="89"/>
      <c r="H118" s="92"/>
      <c r="I118" s="94"/>
      <c r="V118" s="15"/>
      <c r="W118" s="15"/>
      <c r="X118" s="15"/>
      <c r="Y118" s="15" t="s">
        <v>147</v>
      </c>
      <c r="Z118" s="11">
        <v>8509</v>
      </c>
      <c r="AA118" s="11">
        <f>IF(OR(AA113="",AA114=""),"",
IF(AA112="Round",
ROUND((PI()/4)*((AA116/2)^4-((AA116-2*AA115)/2)^4),0),
ROUND((AA116^4-(AA116-2*AA115)^4)/12,0)))</f>
        <v>8933</v>
      </c>
      <c r="AB118" s="25" t="s">
        <v>145</v>
      </c>
      <c r="AC118" s="11" t="str">
        <f t="shared" si="13"/>
        <v>EQ</v>
      </c>
      <c r="AI118" s="12" t="str">
        <f>IF(AM109="N/A","",
IF(AI109="Wrapped","Shaft collars or welded steel loops are required for lateral location and abrasion protection.",
IF(AI109="Eyebolt Or Bolt Through Tube","Welded Inserts required. External Positive Locking Required.",
IF(AK114="Welded","Bracket/tab to tube welding must be on both sides of the bracket/tab.","At least 2x 6mm critical fasteners, Welded Inserts, and external Positive Locking required."))))</f>
        <v>Bracket/tab to tube welding must be on both sides of the bracket/tab.</v>
      </c>
      <c r="AK118" s="35"/>
      <c r="AO118" s="12"/>
      <c r="AP118" s="12"/>
      <c r="AQ118" s="12"/>
      <c r="AR118" s="12"/>
      <c r="AS118" s="12"/>
      <c r="AT118" s="12"/>
      <c r="AU118" s="12"/>
      <c r="AV118" s="12"/>
      <c r="AW118" s="11"/>
      <c r="AY118" s="42"/>
      <c r="AZ118" s="42"/>
      <c r="BA118" s="42"/>
      <c r="BB118" s="42"/>
      <c r="BC118" s="42"/>
      <c r="BD118" s="42"/>
      <c r="BE118" s="42"/>
      <c r="BF118" s="42"/>
      <c r="BG118" s="42"/>
      <c r="BJ118" s="15"/>
      <c r="BK118" s="15"/>
      <c r="BL118" s="15"/>
      <c r="BM118" s="15" t="s">
        <v>146</v>
      </c>
      <c r="BN118" s="11">
        <v>91</v>
      </c>
      <c r="BO118" s="11" t="str">
        <f>IF(OR(BO114="",BO115=""),"",
IF(BO113="Round",
ROUND(PI()*((BO117/2)^2-((BO117-2*BO116)/2)^2),0),
ROUND(BO117^2-(BO117-2*BO116)^2,0)))</f>
        <v/>
      </c>
      <c r="BP118" s="25" t="s">
        <v>144</v>
      </c>
      <c r="BQ118" s="11" t="str">
        <f>IF(NOT(BN110="Mounted on MHB with Brace."),"N/A",
IF(BO118="","BLANK",IF(BO118&lt;BN118,"REJECT","EQ")))</f>
        <v>N/A</v>
      </c>
      <c r="BT118" s="12"/>
      <c r="BU118" s="12"/>
      <c r="BV118" s="12"/>
      <c r="BW118" s="12"/>
      <c r="BX118" s="12"/>
      <c r="BY118" s="12"/>
      <c r="BZ118" s="12"/>
      <c r="CA118" s="12"/>
      <c r="CC118" s="12" t="s">
        <v>468</v>
      </c>
      <c r="CD118" s="35"/>
      <c r="CF118" s="11"/>
      <c r="CG118" s="11"/>
      <c r="CH118" s="15" t="str">
        <f>IF(CK118="N/A","","Number of plate to chassis fasteners:")</f>
        <v/>
      </c>
      <c r="CI118" s="80"/>
      <c r="CJ118" s="11"/>
      <c r="CK118" s="11" t="str">
        <f>IF(NOT(CI69="Billet Plate"),"N/A",
IF(CI118="","BLANK","EQ"))</f>
        <v>N/A</v>
      </c>
    </row>
    <row r="119" spans="1:92" ht="15" customHeight="1" x14ac:dyDescent="0.2">
      <c r="A119" s="91"/>
      <c r="B119" s="92"/>
      <c r="C119" s="92"/>
      <c r="D119" s="92"/>
      <c r="E119" s="93"/>
      <c r="F119" s="89"/>
      <c r="G119" s="89"/>
      <c r="H119" s="92"/>
      <c r="I119" s="94"/>
      <c r="AI119" s="12" t="str">
        <f>IF(AM109="N/A","",
IF(AI109="Clip Bracket","Do not clip around a bolt between two tabs.",""))</f>
        <v/>
      </c>
      <c r="AO119" s="295" t="str">
        <f>IF(COUNTIF(AW120,"BLANK"),"BLANK",IF(OR(SUMPRODUCT(--ISERROR(AW120))&gt;0,COUNTIF(AW120,"REJECT")),"REJECT",IF(COUNTIF(AW120,"CHECK"),"CHECK","EQ")))</f>
        <v>EQ</v>
      </c>
      <c r="AP119" s="295"/>
      <c r="AQ119" s="295"/>
      <c r="AR119" s="295"/>
      <c r="AS119" s="295"/>
      <c r="AT119" s="295"/>
      <c r="AU119" s="295"/>
      <c r="AV119" s="295"/>
      <c r="AW119" s="295"/>
      <c r="AY119" s="42"/>
      <c r="AZ119" s="42"/>
      <c r="BA119" s="42"/>
      <c r="BB119" s="42"/>
      <c r="BC119" s="42"/>
      <c r="BD119" s="42"/>
      <c r="BE119" s="42"/>
      <c r="BF119" s="42"/>
      <c r="BG119" s="42"/>
      <c r="BJ119" s="15"/>
      <c r="BK119" s="15"/>
      <c r="BL119" s="15"/>
      <c r="BM119" s="15" t="s">
        <v>147</v>
      </c>
      <c r="BN119" s="11">
        <v>6695</v>
      </c>
      <c r="BO119" s="11" t="str">
        <f>IF(OR(BO114="",BO115=""),"",
IF(BO113="Round",
ROUND((PI()/4)*((BO117/2)^4-((BO117-2*BO116)/2)^4),0),
ROUND((BO117^4-(BO117-2*BO116)^4)/12,0)))</f>
        <v/>
      </c>
      <c r="BP119" s="25" t="s">
        <v>145</v>
      </c>
      <c r="BQ119" s="11" t="str">
        <f>IF(NOT(BN110="Mounted on MHB with Brace."),"N/A",
IF(BO119="","BLANK",IF(BO119&lt;BN119,"REJECT","EQ")))</f>
        <v>N/A</v>
      </c>
      <c r="BT119" s="13"/>
      <c r="BU119" s="13"/>
      <c r="BV119" s="13"/>
      <c r="BW119" s="13"/>
      <c r="BX119" s="13"/>
      <c r="BY119" s="13"/>
      <c r="BZ119" s="13"/>
      <c r="CA119" s="13"/>
      <c r="CC119" s="12"/>
      <c r="CD119" s="15"/>
      <c r="CE119" s="11"/>
      <c r="CF119" s="11"/>
      <c r="CG119" s="11"/>
      <c r="CH119" s="15" t="str">
        <f>IF(CK118="N/A","","Fastener Test Load:")</f>
        <v/>
      </c>
      <c r="CI119" s="27">
        <f>IF(CI118="",2,(8/CI118))*IF($A$25="mm",15000,3371)</f>
        <v>6742</v>
      </c>
      <c r="CJ119" s="25" t="str">
        <f>IF($A$25="mm","N","lbs")</f>
        <v>lbs</v>
      </c>
      <c r="CK119" s="11" t="str">
        <f>IF(CK118="N/A","N/A","EQ")</f>
        <v>N/A</v>
      </c>
    </row>
    <row r="120" spans="1:92" ht="15" customHeight="1" thickBot="1" x14ac:dyDescent="0.25">
      <c r="A120" s="91"/>
      <c r="B120" s="92"/>
      <c r="C120" s="92"/>
      <c r="D120" s="92"/>
      <c r="E120" s="92"/>
      <c r="F120" s="92"/>
      <c r="G120" s="92"/>
      <c r="H120" s="92"/>
      <c r="I120" s="94"/>
      <c r="W120" s="12"/>
      <c r="X120" s="12"/>
      <c r="Y120" s="12" t="str">
        <f>IF(AND(AC120="",AB120=""),"Rearward Front Hoop Brace is not required.",IF(AB120="FH","Rearward Front Hoop Brace is required by:","Rear Front Bulkhead Support is required by:"))</f>
        <v>Rearward Front Hoop Brace is not required.</v>
      </c>
      <c r="Z120" s="12"/>
      <c r="AA120" s="12"/>
      <c r="AB120" s="12" t="str">
        <f>IF(L83="Rearward Front Hoop Brace is not required.","","FH")</f>
        <v/>
      </c>
      <c r="AC120" s="12" t="str">
        <f>IF(OR(AA102="C",Y105="Rearward Front Hoop Brace Required by FBHS."),"FBHS","")</f>
        <v/>
      </c>
      <c r="AE120" s="295" t="str" cm="1">
        <f t="array" ref="AE120">IF(COUNTIF(AM121:AM129,"BLANK"),"BLANK",IF(OR(SUMPRODUCT(--ISERROR(AM121:AM129))&gt;0,COUNTIF(AM121:AM129,"REJECT")),"REJECT",IF(COUNTIF(AM121:AM129,"CHECK"),"CHECK","EQ")))</f>
        <v>EQ</v>
      </c>
      <c r="AF120" s="295"/>
      <c r="AG120" s="295"/>
      <c r="AH120" s="295"/>
      <c r="AI120" s="295"/>
      <c r="AJ120" s="295"/>
      <c r="AK120" s="295"/>
      <c r="AL120" s="295"/>
      <c r="AM120" s="295"/>
      <c r="AO120" s="12" t="s">
        <v>167</v>
      </c>
      <c r="AQ120" s="15"/>
      <c r="AR120" s="15"/>
      <c r="AS120" s="15"/>
      <c r="AT120" s="15" t="s">
        <v>293</v>
      </c>
      <c r="AU120" s="16">
        <v>27</v>
      </c>
      <c r="AV120" s="25" t="str">
        <f>IF($A$25="mm","mm","in")</f>
        <v>in</v>
      </c>
      <c r="AW120" s="11" t="str">
        <f>IF(AU120="","BLANK",IF(OR(AND($A$25="mm",AU120&gt;=380),AND($A$25="Inch",AU120&gt;=15)),"EQ","REJECT"))</f>
        <v>EQ</v>
      </c>
      <c r="AX120" s="11"/>
      <c r="AY120" s="42"/>
      <c r="AZ120" s="42"/>
      <c r="BA120" s="42"/>
      <c r="BB120" s="42"/>
      <c r="BC120" s="42"/>
      <c r="BD120" s="42"/>
      <c r="BE120" s="42"/>
      <c r="BF120" s="42"/>
      <c r="BG120" s="42"/>
      <c r="BI120" s="12" t="s">
        <v>330</v>
      </c>
      <c r="BJ120" s="15"/>
      <c r="BK120" s="15"/>
      <c r="BL120" s="15"/>
      <c r="BM120" s="12" t="s">
        <v>219</v>
      </c>
      <c r="BN120" s="11"/>
      <c r="BO120" s="11"/>
      <c r="BQ120" s="11" t="str">
        <f>IF(NOT(OR(BN110="Mounted on MHB with Brace.",BN110="Multi-bolt moment on nodes.")),"N/A","EQ")</f>
        <v>N/A</v>
      </c>
      <c r="CC120" s="12" t="s">
        <v>469</v>
      </c>
      <c r="CD120" s="22"/>
      <c r="CE120" s="15"/>
      <c r="CF120" s="15"/>
      <c r="CG120" s="15"/>
      <c r="CH120" s="15" t="str">
        <f>IF(CK119="N/A","","Plate fastener diameter:")</f>
        <v/>
      </c>
      <c r="CI120" s="16"/>
      <c r="CJ120" s="25" t="str">
        <f>IF($A$25="mm","mm","in")</f>
        <v>in</v>
      </c>
      <c r="CK120" s="11" t="str">
        <f>IF(CK118="N/A","N/A",
IF(CG118="Clip Bracket","N/A",
IF(CI120="","BLANK",IF($A$25="mm",IF(CI120&gt;=10,"EQ","CHECK"),IF(CI120&gt;=0.375,"EQ","CHECK")))))</f>
        <v>N/A</v>
      </c>
    </row>
    <row r="121" spans="1:92" ht="16" thickBot="1" x14ac:dyDescent="0.25">
      <c r="A121" s="91"/>
      <c r="B121" s="92"/>
      <c r="C121" s="92"/>
      <c r="D121" s="92"/>
      <c r="E121" s="92"/>
      <c r="F121" s="92"/>
      <c r="G121" s="92"/>
      <c r="H121" s="92"/>
      <c r="I121" s="94"/>
      <c r="U121" s="295" t="str">
        <f>IF(COUNTIF(AC122:AC129,"BLANK"),"BLANK",IF(OR(SUMPRODUCT(--ISERROR(AC122:AC129))&gt;0,COUNTIF(AC122:AC129,"REJECT")),"REJECT",IF(COUNTIF(AC122:AC129,"CHECK"),"CHECK","EQ")))</f>
        <v>EQ</v>
      </c>
      <c r="V121" s="295"/>
      <c r="W121" s="295"/>
      <c r="X121" s="295"/>
      <c r="Y121" s="295"/>
      <c r="Z121" s="295"/>
      <c r="AA121" s="295"/>
      <c r="AB121" s="295"/>
      <c r="AC121" s="295"/>
      <c r="AH121" s="15" t="str">
        <f>IF(AM121="N/A","","Anti-Submarining Belt Attachment:")</f>
        <v/>
      </c>
      <c r="AI121" s="298"/>
      <c r="AJ121" s="299"/>
      <c r="AK121" s="299"/>
      <c r="AL121" s="300"/>
      <c r="AM121" s="11" t="str">
        <f>IF(OR(AJ88="Composite",AG109="Single Lap/AntiSub"),"N/A",
IF(AI121="","BLANK","EQ"))</f>
        <v>N/A</v>
      </c>
      <c r="AY121" s="42"/>
      <c r="AZ121" s="42"/>
      <c r="BA121" s="42"/>
      <c r="BB121" s="42"/>
      <c r="BC121" s="42"/>
      <c r="BD121" s="42"/>
      <c r="BE121" s="42"/>
      <c r="BF121" s="42"/>
      <c r="BG121" s="42"/>
      <c r="BI121" s="12" t="s">
        <v>218</v>
      </c>
      <c r="BJ121" s="15"/>
      <c r="BK121" s="15"/>
      <c r="BL121" s="15"/>
      <c r="BM121" s="15"/>
      <c r="BN121" s="15" t="str">
        <f>IF(BO108="Tube","","Yield Strength (Sy):")</f>
        <v>Yield Strength (Sy):</v>
      </c>
      <c r="BO121" s="26">
        <f>IF($A$25="mm",305*10^6,44.2*10^3)</f>
        <v>44200</v>
      </c>
      <c r="BP121" s="25" t="str">
        <f>IF($A$25="mm","Pa","psi")</f>
        <v>psi</v>
      </c>
      <c r="BQ121" s="11" t="str">
        <f>IF(NOT(OR(BN110="Mounted on MHB with Brace.",AND(BN110="Wing mounted to MHB nodes.",BO111&gt;1))),"N/A","EQ")</f>
        <v>N/A</v>
      </c>
      <c r="CC121" s="12"/>
      <c r="CH121" s="15" t="str">
        <f>IF(CK119="N/A","","Plate fastener rated UTS:")</f>
        <v/>
      </c>
      <c r="CI121" s="82"/>
      <c r="CJ121" s="25" t="str">
        <f>IF($A$25="mm","Pa","psi")</f>
        <v>psi</v>
      </c>
      <c r="CK121" s="11" t="str">
        <f>IF(CK118="N/A","N/A",
IF(CG118="Clip Bracket","N/A",
IF(CI121="","BLANK",IF($A$25="mm",IF(CI121&gt;=8,"EQ","CHECK"),IF(CI121&gt;=0.3125,"EQ","CHECK")))))</f>
        <v>N/A</v>
      </c>
    </row>
    <row r="122" spans="1:92" ht="16" thickBot="1" x14ac:dyDescent="0.25">
      <c r="A122" s="91"/>
      <c r="B122" s="92"/>
      <c r="C122" s="92"/>
      <c r="D122" s="92"/>
      <c r="E122" s="92"/>
      <c r="F122" s="92"/>
      <c r="G122" s="92"/>
      <c r="H122" s="92"/>
      <c r="I122" s="94"/>
      <c r="U122" s="12" t="str">
        <f>IF(AB120="FH","F.6.3.5","F.6.2.3.b")</f>
        <v>F.6.2.3.b</v>
      </c>
      <c r="V122" s="35" t="str">
        <f>IF(AB120="FH","Rearward Front Hoop Braces (FHB)","Rear Front Bulkhead Support (FBHS)")</f>
        <v>Rear Front Bulkhead Support (FBHS)</v>
      </c>
      <c r="W122" s="35"/>
      <c r="X122" s="35"/>
      <c r="Y122" s="35"/>
      <c r="Z122" s="12" t="s">
        <v>142</v>
      </c>
      <c r="AA122" s="296" t="s">
        <v>143</v>
      </c>
      <c r="AB122" s="296"/>
      <c r="AC122" s="11" t="str">
        <f>IF(AND(AB120="",AC120=""),"N/A","EQ")</f>
        <v>N/A</v>
      </c>
      <c r="AE122" s="12" t="s">
        <v>464</v>
      </c>
      <c r="AF122" s="15"/>
      <c r="AG122" s="11"/>
      <c r="AH122" s="11"/>
      <c r="AI122" s="11"/>
      <c r="AJ122" s="15" t="str">
        <f>IF(AM122="N/A","","Harness Test Load:")</f>
        <v/>
      </c>
      <c r="AK122" s="11">
        <f>IF(AG109="Lap Only",1,2)*IF($A$25="mm",15000,3371)</f>
        <v>6742</v>
      </c>
      <c r="AL122" s="25" t="str">
        <f>IF($A$25="mm","N","lbs")</f>
        <v>lbs</v>
      </c>
      <c r="AM122" s="11" t="str">
        <f>IF(OR(AI121="Wrapped",AM121="N/A"),"N/A","EQ")</f>
        <v>N/A</v>
      </c>
      <c r="AO122" s="12" t="s">
        <v>174</v>
      </c>
      <c r="AP122" s="25" t="s">
        <v>400</v>
      </c>
      <c r="AS122" s="11"/>
      <c r="AT122" s="11"/>
      <c r="AU122" s="11"/>
      <c r="AV122" s="11"/>
      <c r="AW122" s="11"/>
      <c r="AY122" s="42"/>
      <c r="AZ122" s="42"/>
      <c r="BA122" s="42"/>
      <c r="BB122" s="42"/>
      <c r="BC122" s="42"/>
      <c r="BD122" s="42"/>
      <c r="BE122" s="42"/>
      <c r="BF122" s="42"/>
      <c r="BG122" s="42"/>
      <c r="BI122" s="12"/>
      <c r="BJ122" s="15"/>
      <c r="BK122" s="15"/>
      <c r="BL122" s="15"/>
      <c r="BM122" s="15"/>
      <c r="BN122" s="15" t="s">
        <v>221</v>
      </c>
      <c r="BO122" s="11">
        <f>BE87</f>
        <v>1</v>
      </c>
      <c r="BP122" s="25" t="str">
        <f>IF($A$25="mm","mm","in")</f>
        <v>in</v>
      </c>
      <c r="BQ122" s="11" t="str">
        <f>IF(NOT(OR(BN110="Mounted on MHB with Brace.",AND(BN110="Wing mounted to MHB nodes.",BO111&gt;1))),"N/A",
IF(BO122=0,"BLANK","EQ"))</f>
        <v>N/A</v>
      </c>
      <c r="CC122" s="12"/>
      <c r="CH122" s="15" t="str">
        <f>IF(CK119="N/A","","Plate fastener shear stregnth 0.577*UTS*A"&amp;IF($A$25="mm"," (N)"," (lbs)")&amp;":")</f>
        <v/>
      </c>
      <c r="CI122" s="27">
        <f>0.577*CI121*PI()*(CI120*IF($A$25="mm",1/1000,1)/2)^2</f>
        <v>0</v>
      </c>
      <c r="CJ122" s="84">
        <f>CI122/CI119</f>
        <v>0</v>
      </c>
      <c r="CK122" s="11" t="str">
        <f>IF(CK118="N/A","N/A",
IF(CG118="Clip Bracket","N/A",
IF(CI122="","BLANK",IF(CJ122&lt;1,"REJECT","EQ"))))</f>
        <v>N/A</v>
      </c>
    </row>
    <row r="123" spans="1:92" ht="16" thickBot="1" x14ac:dyDescent="0.25">
      <c r="A123" s="95"/>
      <c r="B123" s="96"/>
      <c r="C123" s="96"/>
      <c r="D123" s="96"/>
      <c r="E123" s="96"/>
      <c r="F123" s="96"/>
      <c r="G123" s="96"/>
      <c r="H123" s="96"/>
      <c r="I123" s="97"/>
      <c r="U123" s="12" t="str">
        <f>IF(AB120="FH","F.3.2.1.d","F.3.2.1.b")</f>
        <v>F.3.2.1.b</v>
      </c>
      <c r="V123" s="25" t="str">
        <f>IF(AB120="FH",
IF($A$25="mm",
"Example: 25.4mm x 1.6mm round",
"Example: 1.0in x 0.065in round"),
IF($A$25="mm",
"Example: 25.4mm x 1.2mm round",
"Example: 1.0in x 0.047in round"))</f>
        <v>Example: 1.0in x 0.047in round</v>
      </c>
      <c r="W123" s="15"/>
      <c r="X123" s="15"/>
      <c r="Y123" s="15"/>
      <c r="Z123" s="11" t="str">
        <f>IF(AB120="FH","Size B","Size C")</f>
        <v>Size C</v>
      </c>
      <c r="AA123" s="80" t="s">
        <v>3</v>
      </c>
      <c r="AC123" s="11" t="str">
        <f>IF(AND(AB120="",AC120=""),"N/A",
IF(AA123="","BLANK","EQ"))</f>
        <v>N/A</v>
      </c>
      <c r="AE123" s="12" t="s">
        <v>427</v>
      </c>
      <c r="AF123" s="22"/>
      <c r="AG123" s="15"/>
      <c r="AH123" s="15"/>
      <c r="AI123" s="15"/>
      <c r="AJ123" s="15" t="str">
        <f>IF(OR(AM122="N/A",AI121="Clip Through A Pad Eye"),"","Anti-sub belt fastener MINOR diameter:")</f>
        <v/>
      </c>
      <c r="AK123" s="16"/>
      <c r="AL123" s="25" t="str">
        <f>IF($A$25="mm","mm","in")</f>
        <v>in</v>
      </c>
      <c r="AM123" s="11" t="str">
        <f>IF(AM122="N/A","N/A",
IF(AI121="Clip Through A Pad Eye","N/A",
IF(AK123="","BLANK",IF($A$25="mm",IF(AK123&gt;=8.376,"EQ","CHECK"),IF(AK123&gt;=0.307,"EQ","CHECK")))))</f>
        <v>N/A</v>
      </c>
      <c r="AO123" s="295" t="str">
        <f>IF(COUNTIF(AW124:AW126,"BLANK"),"BLANK",IF(OR(SUMPRODUCT(--ISERROR(AW124:AW126))&gt;0,COUNTIF(AW124:AW126,"REJECT")),"REJECT",IF(COUNTIF(AW124:AW126,"CHECK"),"CHECK","EQ")))</f>
        <v>EQ</v>
      </c>
      <c r="AP123" s="295"/>
      <c r="AQ123" s="295"/>
      <c r="AR123" s="295"/>
      <c r="AS123" s="295"/>
      <c r="AT123" s="295"/>
      <c r="AU123" s="295"/>
      <c r="AV123" s="295"/>
      <c r="AW123" s="295"/>
      <c r="AY123" s="42"/>
      <c r="AZ123" s="42"/>
      <c r="BA123" s="42"/>
      <c r="BB123" s="42"/>
      <c r="BC123" s="42"/>
      <c r="BD123" s="42"/>
      <c r="BE123" s="42"/>
      <c r="BF123" s="42"/>
      <c r="BG123" s="42"/>
      <c r="BI123" s="12"/>
      <c r="BJ123" s="15"/>
      <c r="BK123" s="15"/>
      <c r="BL123" s="15"/>
      <c r="BM123" s="15"/>
      <c r="BN123" s="15" t="s">
        <v>220</v>
      </c>
      <c r="BO123" s="27">
        <f>BE91</f>
        <v>8933</v>
      </c>
      <c r="BP123" s="25" t="s">
        <v>145</v>
      </c>
      <c r="BQ123" s="11" t="str">
        <f>IF(NOT(OR(BN110="Mounted on MHB with Brace.",AND(BN110="Wing mounted to MHB nodes.",BO111&gt;1))),"N/A",
IF(BO123="","BLANK","EQ"))</f>
        <v>N/A</v>
      </c>
      <c r="CC123" s="12"/>
      <c r="CD123" s="22"/>
      <c r="CE123" s="15"/>
      <c r="CF123" s="15"/>
      <c r="CG123" s="15"/>
      <c r="CH123" s="15" t="str">
        <f>IF(CK119="N/A","","Plate tearout thickness:")</f>
        <v/>
      </c>
      <c r="CI123" s="16"/>
      <c r="CJ123" s="25" t="str">
        <f>IF($A$25="mm","mm","in")</f>
        <v>in</v>
      </c>
      <c r="CK123" s="11" t="str">
        <f>IF(CK118="N/A","N/A",
IF(CG118="Eyebolt Or Bolt Through Tube","N/A",
IF(CI123="","BLANK",IF($A$25="mm",IF(CI123&gt;=1.6,"EQ","REJECT"),IF(CI123&gt;=0.063,"EQ","REJECT")))))</f>
        <v>N/A</v>
      </c>
    </row>
    <row r="124" spans="1:92" x14ac:dyDescent="0.2">
      <c r="A124" s="95"/>
      <c r="B124" s="96"/>
      <c r="C124" s="96"/>
      <c r="D124" s="96"/>
      <c r="E124" s="96"/>
      <c r="F124" s="96"/>
      <c r="G124" s="96"/>
      <c r="H124" s="96"/>
      <c r="I124" s="97"/>
      <c r="U124" s="12" t="str">
        <f>IF(AB120="FH","F.3.4.1.b","F.3.4.1.c")</f>
        <v>F.3.4.1.c</v>
      </c>
      <c r="W124" s="15"/>
      <c r="X124" s="15"/>
      <c r="Y124" s="15" t="s">
        <v>18</v>
      </c>
      <c r="Z124" s="75">
        <f>IF($A$25="mm",1.2,0.047)</f>
        <v>4.7E-2</v>
      </c>
      <c r="AA124" s="16">
        <v>4.9000000000000002E-2</v>
      </c>
      <c r="AB124" s="25" t="str">
        <f>IF($A$25="mm","mm","in")</f>
        <v>in</v>
      </c>
      <c r="AC124" s="11" t="str">
        <f>IF(AND(AB120="",AC120=""),"N/A",
IF(AA124="","BLANK",IF(AA124&lt;Z124,"REJECT","EQ")))</f>
        <v>N/A</v>
      </c>
      <c r="AE124" s="12"/>
      <c r="AJ124" s="15" t="str">
        <f>IF(OR(AM122="N/A",AI121="Clip Through A Pad Eye"),"","Anti-sub belt fastener rated UTS:")</f>
        <v/>
      </c>
      <c r="AK124" s="82"/>
      <c r="AL124" s="35" t="str">
        <f>IF($A$25="mm","Pa","psi")</f>
        <v>psi</v>
      </c>
      <c r="AM124" s="11" t="str">
        <f>IF(AM122="N/A","N/A",
IF(AI121="Clip Through A Pad Eye","N/A",
IF(AK124="","BLANK",IF($A$25="mm",IF(AK124&gt;=8,"EQ","CHECK"),IF(AK124&gt;=0.3125,"EQ","CHECK")))))</f>
        <v>N/A</v>
      </c>
      <c r="AO124" s="12" t="s">
        <v>174</v>
      </c>
      <c r="AQ124" s="15"/>
      <c r="AR124" s="15"/>
      <c r="AS124" s="15"/>
      <c r="AT124" s="15" t="s">
        <v>30</v>
      </c>
      <c r="AU124" s="81">
        <v>3.25</v>
      </c>
      <c r="AV124" s="25" t="str">
        <f>IF($A$25="mm","mm","in")</f>
        <v>in</v>
      </c>
      <c r="AW124" s="11" t="str">
        <f>IF(AU124="","BLANK",IF($A$25="mm",IF(AU124&gt;=75,"EQ","REJECT"),IF(AU124&gt;=3,"EQ","REJECT")))</f>
        <v>EQ</v>
      </c>
      <c r="AY124" s="42"/>
      <c r="AZ124" s="42"/>
      <c r="BA124" s="42"/>
      <c r="BB124" s="42"/>
      <c r="BC124" s="42"/>
      <c r="BD124" s="42"/>
      <c r="BE124" s="42"/>
      <c r="BF124" s="42"/>
      <c r="BG124" s="42"/>
      <c r="BJ124" s="15"/>
      <c r="BK124" s="15"/>
      <c r="BL124" s="15"/>
      <c r="BN124" s="15" t="s">
        <v>222</v>
      </c>
      <c r="BO124" s="16"/>
      <c r="BP124" s="25" t="str">
        <f>IF($A$25="mm","mm","in")</f>
        <v>in</v>
      </c>
      <c r="BQ124" s="11" t="str">
        <f>IF(NOT(OR(BN110="Mounted on MHB with Brace.",AND(BN110="Wing mounted to MHB nodes.",BO111&gt;1))),"N/A",
IF(BO124="","BLANK","EQ"))</f>
        <v>N/A</v>
      </c>
      <c r="CC124" s="12"/>
      <c r="CD124" s="22"/>
      <c r="CE124" s="15"/>
      <c r="CF124" s="15"/>
      <c r="CG124" s="15"/>
      <c r="CH124" s="15" t="str">
        <f>IF(CK119="N/A","","--Tearout--Minimum - Fastener spacing, edge, or corner (Plate):")</f>
        <v/>
      </c>
      <c r="CI124" s="79"/>
      <c r="CJ124" s="25" t="str">
        <f>IF($A$25="mm","mm","in")</f>
        <v>in</v>
      </c>
      <c r="CK124" s="11" t="str">
        <f>IF(CK118="N/A","N/A",
IF(CG118="Eyebolt Or Bolt Through Tube","N/A",
IF(CI124="","BLANK","EQ")))</f>
        <v>N/A</v>
      </c>
    </row>
    <row r="125" spans="1:92" ht="16" thickBot="1" x14ac:dyDescent="0.25">
      <c r="A125" s="95"/>
      <c r="B125" s="96"/>
      <c r="C125" s="96"/>
      <c r="D125" s="96"/>
      <c r="E125" s="96"/>
      <c r="F125" s="96"/>
      <c r="G125" s="96"/>
      <c r="H125" s="96"/>
      <c r="I125" s="97"/>
      <c r="W125" s="15"/>
      <c r="X125" s="15"/>
      <c r="Y125" s="15" t="str">
        <f>IF(AA123="Round","Outer Diameter (OD):","Square side:")</f>
        <v>Outer Diameter (OD):</v>
      </c>
      <c r="Z125" s="75">
        <f>IF($A$25="mm",25,0.984)</f>
        <v>0.98399999999999999</v>
      </c>
      <c r="AA125" s="16">
        <v>1</v>
      </c>
      <c r="AB125" s="25" t="str">
        <f>IF($A$25="mm","mm","in")</f>
        <v>in</v>
      </c>
      <c r="AC125" s="11" t="str">
        <f>IF(AND(AB120="",AC120=""),"N/A",
IF(AA125="","BLANK",IF(AA125&lt;Z125,"REJECT","EQ")))</f>
        <v>N/A</v>
      </c>
      <c r="AE125" s="12"/>
      <c r="AJ125" s="15" t="str">
        <f>IF(OR(AM122="N/A",AI121="Clip Through A Pad Eye"),"","Fastener shear stregnth 0.577*UTS*A"&amp;IF($A$25="mm"," (N)"," (lbs)")&amp;":")</f>
        <v/>
      </c>
      <c r="AK125" s="27">
        <f>0.577*AK124*PI()*(AK123*IF($A$25="mm",1/1000,1)/2)^2</f>
        <v>0</v>
      </c>
      <c r="AL125" s="84">
        <f>AK125/AK122</f>
        <v>0</v>
      </c>
      <c r="AM125" s="11" t="str">
        <f>IF(AM122="N/A","N/A",
IF(AI121="Clip Through A Pad Eye","N/A",
IF(AK125="","BLANK",IF(AL125&lt;1,"REJECT","EQ"))))</f>
        <v>N/A</v>
      </c>
      <c r="AO125" s="12"/>
      <c r="AQ125" s="15"/>
      <c r="AR125" s="15"/>
      <c r="AS125" s="15"/>
      <c r="AT125" s="15" t="s">
        <v>31</v>
      </c>
      <c r="AU125" s="16">
        <v>1</v>
      </c>
      <c r="AV125" s="25" t="str">
        <f>IF($A$25="mm","mm","in")</f>
        <v>in</v>
      </c>
      <c r="AW125" s="11" t="str">
        <f>IF(AU125="","BLANK",IF($A$25="mm",IF(AU125&gt;=25,"EQ","REJECT"),IF(AU125&gt;=0.984,"EQ","REJECT")))</f>
        <v>EQ</v>
      </c>
      <c r="AY125" s="42"/>
      <c r="AZ125" s="42"/>
      <c r="BA125" s="42"/>
      <c r="BB125" s="42"/>
      <c r="BC125" s="42"/>
      <c r="BD125" s="42"/>
      <c r="BE125" s="42"/>
      <c r="BF125" s="42"/>
      <c r="BG125" s="42"/>
      <c r="BJ125" s="15"/>
      <c r="BK125" s="15"/>
      <c r="BL125" s="15"/>
      <c r="BN125" s="15" t="s">
        <v>474</v>
      </c>
      <c r="BO125" s="16"/>
      <c r="BP125" s="25" t="str">
        <f>IF($A$25="mm","mm","in")</f>
        <v>in</v>
      </c>
      <c r="BQ125" s="11" t="str">
        <f>IF(NOT(OR(BN110="Mounted on MHB with Brace.",AND(BN110="Wing mounted to MHB nodes.",BO111&gt;1))),"N/A",
IF(OR(BO124="",BO125=""),"BLANK",IF(BO125&gt;BO124,"REJECT","EQ")))</f>
        <v>N/A</v>
      </c>
      <c r="CC125" s="12"/>
      <c r="CD125" s="22"/>
      <c r="CE125" s="15"/>
      <c r="CF125" s="15"/>
      <c r="CG125" s="15"/>
      <c r="CH125" s="116" t="str">
        <f>IF(CK119="N/A","","Plate bracket or tab shear strength 0.577*Plate_S*A"&amp;IF($A$25="mm"," (N)"," (lbs)")&amp;":")</f>
        <v/>
      </c>
      <c r="CI125" s="27">
        <f>CI102*0.577*2*CI123*CI124</f>
        <v>0</v>
      </c>
      <c r="CJ125" s="84">
        <f>CI125/CI119</f>
        <v>0</v>
      </c>
      <c r="CK125" s="11" t="str">
        <f>IF(CK118="N/A","N/A",
IF(CG118="Eyebolt Or Bolt Through Tube","N/A",
IF(CI125="","BLANK",IF(CJ125&lt;1,"REJECT","EQ"))))</f>
        <v>N/A</v>
      </c>
    </row>
    <row r="126" spans="1:92" ht="16" thickBot="1" x14ac:dyDescent="0.25">
      <c r="A126" s="95"/>
      <c r="B126" s="96"/>
      <c r="C126" s="96"/>
      <c r="D126" s="96"/>
      <c r="E126" s="96"/>
      <c r="F126" s="96"/>
      <c r="G126" s="96"/>
      <c r="H126" s="96"/>
      <c r="I126" s="97"/>
      <c r="W126" s="15"/>
      <c r="X126" s="15"/>
      <c r="Y126" s="15" t="s">
        <v>18</v>
      </c>
      <c r="Z126" s="28">
        <v>1.2</v>
      </c>
      <c r="AA126" s="11">
        <f>IF(AA124="","",IF($A$25="mm",AA124,ROUND(AA124*25.4,1)))</f>
        <v>1.2</v>
      </c>
      <c r="AB126" s="25" t="s">
        <v>141</v>
      </c>
      <c r="AC126" s="11" t="str">
        <f>IF(AND(AB120="",AC120=""),"N/A",
IF(AA126="","BLANK",IF(AA126&lt;Z126,"REJECT","EQ")))</f>
        <v>N/A</v>
      </c>
      <c r="AJ126" s="15" t="str">
        <f>IF(OR(AM122="N/A"),"",IF(AI121="Eyebolt Or Bolt Through Tube","Eyebolt or bolt to chassis (If welded, use Pad Eye):","Pad Eye/Tab to chassis:"))</f>
        <v/>
      </c>
      <c r="AK126" s="298"/>
      <c r="AL126" s="300"/>
      <c r="AM126" s="11" t="str">
        <f>IF(OR(AM121="N/A",AI121="Wrapped"),"N/A",
IF(AK126="","BLANK",
IF(AND(AK126="Welded",AI121="Eyebolt Or Bolt Through Tube"),"REJECT","EQ")))</f>
        <v>N/A</v>
      </c>
      <c r="AQ126" s="15"/>
      <c r="AR126" s="15"/>
      <c r="AS126" s="15"/>
      <c r="AT126" s="15" t="s">
        <v>294</v>
      </c>
      <c r="AU126" s="11">
        <f>IF(OR(AU124="",AU125=""),"",AU124/AU125)</f>
        <v>3.25</v>
      </c>
      <c r="AW126" s="11" t="str">
        <f>IF(OR(AU124="",AU125=""),"",IF(AU126&gt;=3,"EQ","REJECT"))</f>
        <v>EQ</v>
      </c>
      <c r="AY126" s="42"/>
      <c r="AZ126" s="42"/>
      <c r="BA126" s="42"/>
      <c r="BB126" s="42"/>
      <c r="BC126" s="42"/>
      <c r="BD126" s="42"/>
      <c r="BE126" s="42"/>
      <c r="BF126" s="42"/>
      <c r="BG126" s="42"/>
      <c r="BJ126" s="15"/>
      <c r="BK126" s="15"/>
      <c r="BL126" s="15"/>
      <c r="BN126" s="32" t="s">
        <v>443</v>
      </c>
      <c r="BO126" s="27" t="str">
        <f>IF(OR(BO123="",BO124="",BO125=""),"",IF(BO125=0,"N/A",
(BO121*BO124*IF($A$25="mm",1/1000,1)*BO123*IF($A$25="mm",1/(10^12),1/(25.4^4)))/
((IF($A$25="mm",1/1000,1)^3)*BO125*(BO124-BO125)*BO122/2)))</f>
        <v/>
      </c>
      <c r="BP126" s="25" t="str">
        <f>IF($A$25="mm","N","lbs")</f>
        <v>lbs</v>
      </c>
      <c r="BQ126" s="11" t="str">
        <f>IF(NOT(OR(BN110="Mounted on MHB with Brace.",AND(BN110="Wing mounted to MHB nodes.",BO111&gt;1))),"N/A",
IF(BO126="","BLANK","EQ"))</f>
        <v>N/A</v>
      </c>
      <c r="CC126" s="12"/>
      <c r="CD126" s="22"/>
      <c r="CE126" s="15"/>
      <c r="CF126" s="15"/>
      <c r="CG126" s="15"/>
      <c r="CH126" s="15" t="str">
        <f>IF(CK119="N/A","","Chassis tearout thickness:")</f>
        <v/>
      </c>
      <c r="CI126" s="16"/>
      <c r="CJ126" s="25" t="str">
        <f>IF($A$25="mm","mm","in")</f>
        <v>in</v>
      </c>
      <c r="CK126" s="11" t="str">
        <f>IF(CK121="N/A","N/A",
IF(CG121="Eyebolt Or Bolt Through Tube","N/A",
IF(CI126="","BLANK",IF($A$25="mm",IF(CI126&gt;=1.6,"EQ","REJECT"),IF(CI126&gt;=0.063,"EQ","REJECT")))))</f>
        <v>N/A</v>
      </c>
    </row>
    <row r="127" spans="1:92" ht="16" thickBot="1" x14ac:dyDescent="0.25">
      <c r="A127" s="95"/>
      <c r="B127" s="96"/>
      <c r="C127" s="96"/>
      <c r="D127" s="96"/>
      <c r="E127" s="96"/>
      <c r="F127" s="96"/>
      <c r="G127" s="96"/>
      <c r="H127" s="96"/>
      <c r="I127" s="97"/>
      <c r="W127" s="15"/>
      <c r="X127" s="15"/>
      <c r="Y127" s="15" t="str">
        <f>IF(AA123="Round","Outer Diameter (OD):","Square side:")</f>
        <v>Outer Diameter (OD):</v>
      </c>
      <c r="Z127" s="28">
        <v>25</v>
      </c>
      <c r="AA127" s="11">
        <f>IF(AA125="","",IF($A$25="mm",AA125,ROUND(AA125*25.4,1)))</f>
        <v>25.4</v>
      </c>
      <c r="AB127" s="25" t="s">
        <v>141</v>
      </c>
      <c r="AC127" s="11" t="str">
        <f>IF(AND(AB120="",AC120=""),"N/A",
IF(AA127="","BLANK",IF(AA127&lt;Z127,"REJECT","EQ")))</f>
        <v>N/A</v>
      </c>
      <c r="AE127" s="12" t="str">
        <f>IF(AI121="Bolt Through A Tab","T.2.4.3.b",
IF(AK126="Threaded Insert","T.2.4.6.a",""))</f>
        <v/>
      </c>
      <c r="AF127" s="22"/>
      <c r="AG127" s="15"/>
      <c r="AH127" s="15"/>
      <c r="AI127" s="15"/>
      <c r="AJ127" s="15" t="str">
        <f>IF(AM122="N/A","",
IF(AI121="Bolt Through A Tab","Tab thickness &gt;= 1.6mm (0.063in) steel:",
IF(AI121="Clip Through A Pad Eye","--Pad Eye-- Outer Diameter minus Inner Diameter:",
IF(AK126="Threaded Insert","Fastener Thread Pitch (Spacing Per Thread):","Nut rated UTS:"))))</f>
        <v/>
      </c>
      <c r="AK127" s="16"/>
      <c r="AL127" s="35" t="str">
        <f>IF(AK126="Through Bolted",IF($A$25="mm","MPa","psi"),
IF($A$25="mm","mm","in"))</f>
        <v>in</v>
      </c>
      <c r="AM127" s="11" t="str">
        <f>IF(OR(AI121="Wrapped",AM121="N/A"),"N/A",
IF(AK127="","BLANK",
IF(AI121="Eyebolt Or Bolt Through Tube","EQ",
IF($A$25="mm",IF(AK127&gt;=1.6,"EQ","REJECT"),IF(AK127&gt;=0.063,"EQ","REJECT")))))</f>
        <v>N/A</v>
      </c>
      <c r="AY127" s="42"/>
      <c r="AZ127" s="42"/>
      <c r="BA127" s="42"/>
      <c r="BB127" s="42"/>
      <c r="BC127" s="42"/>
      <c r="BD127" s="42"/>
      <c r="BE127" s="42"/>
      <c r="BF127" s="42"/>
      <c r="BG127" s="42"/>
      <c r="BI127" s="11"/>
      <c r="BK127" s="32"/>
      <c r="BL127" s="32" t="s">
        <v>442</v>
      </c>
      <c r="BM127" s="304"/>
      <c r="BN127" s="305"/>
      <c r="BO127" s="305"/>
      <c r="BP127" s="306"/>
      <c r="BQ127" s="11" t="str">
        <f>IF(NOT(OR(BN110="Mounted on MHB with Brace.",AND(BN110="Wing mounted to MHB nodes.",BO111&gt;1))),"N/A",
IF(BM127="","BLANK","EQ"))</f>
        <v>N/A</v>
      </c>
      <c r="CC127" s="12"/>
      <c r="CD127" s="22"/>
      <c r="CE127" s="15"/>
      <c r="CF127" s="15"/>
      <c r="CG127" s="15"/>
      <c r="CH127" s="15" t="str">
        <f>IF(CK119="N/A","","--Tearout--Minimum - Fastener spacing, edge, or corner (Chassis):")</f>
        <v/>
      </c>
      <c r="CI127" s="79"/>
      <c r="CJ127" s="25" t="str">
        <f>IF($A$25="mm","mm","in")</f>
        <v>in</v>
      </c>
      <c r="CK127" s="11" t="str">
        <f>IF(CK121="N/A","N/A",
IF(CG121="Eyebolt Or Bolt Through Tube","N/A",
IF(CI127="","BLANK","EQ")))</f>
        <v>N/A</v>
      </c>
    </row>
    <row r="128" spans="1:92" ht="15" customHeight="1" x14ac:dyDescent="0.2">
      <c r="A128" s="95"/>
      <c r="B128" s="96"/>
      <c r="C128" s="96"/>
      <c r="D128" s="96"/>
      <c r="E128" s="96"/>
      <c r="F128" s="96"/>
      <c r="G128" s="96"/>
      <c r="H128" s="96"/>
      <c r="I128" s="97"/>
      <c r="V128" s="15"/>
      <c r="W128" s="15"/>
      <c r="X128" s="15"/>
      <c r="Y128" s="15" t="s">
        <v>146</v>
      </c>
      <c r="Z128" s="11">
        <f>IF(Z123="Size C",91,114)</f>
        <v>91</v>
      </c>
      <c r="AA128" s="11">
        <f>IF(OR(AA124="",AA125=""),"",
IF(AA123="Round",
ROUND(PI()*((AA127/2)^2-((AA127-2*AA126)/2)^2),0),
ROUND(AA127^2-(AA127-2*AA126)^2,0)))</f>
        <v>91</v>
      </c>
      <c r="AB128" s="25" t="s">
        <v>144</v>
      </c>
      <c r="AC128" s="11" t="str">
        <f>IF(AND(AB120="",AC120=""),"N/A",
IF(AA128="","BLANK",IF(AA128&lt;Z128,"REJECT","EQ")))</f>
        <v>N/A</v>
      </c>
      <c r="AE128" s="12" t="str">
        <f>IF(AND(AI121="Eyebolt Or Bolt Through Tube",AK126="Threaded Insert"),AK128/AK127,"")</f>
        <v/>
      </c>
      <c r="AF128" s="22"/>
      <c r="AG128" s="15"/>
      <c r="AH128" s="15"/>
      <c r="AI128" s="15"/>
      <c r="AJ128" s="15" t="str">
        <f>IF(AM122="N/A","",
IF(AI121="Bolt Through A Tab","Min Tearout: Fastener spacing, edge, or corner dist:",
IF(AI121="Clip Through A Pad Eye","Base (Larger than OD or height):",
"--Pullout-- Fastener threads engaged, depth:")))</f>
        <v/>
      </c>
      <c r="AK128" s="79"/>
      <c r="AL128" s="25" t="str">
        <f>IF($A$25="mm","mm","in")</f>
        <v>in</v>
      </c>
      <c r="AM128" s="11" t="str">
        <f>IF(OR(AI121="Wrapped",AM121="N/A"),"N/A",
IF(AK128="","BLANK",
IF(AK126="Threaded Insert",IF(AE128&lt;10,"REJECT","EQ"),
"EQ")))</f>
        <v>N/A</v>
      </c>
      <c r="AS128" s="12" t="s">
        <v>478</v>
      </c>
      <c r="AY128" s="42"/>
      <c r="AZ128" s="42"/>
      <c r="BA128" s="42"/>
      <c r="BB128" s="42"/>
      <c r="BC128" s="42"/>
      <c r="BD128" s="42"/>
      <c r="BE128" s="42"/>
      <c r="BF128" s="42"/>
      <c r="BG128" s="42"/>
      <c r="BI128" s="15" t="str">
        <f>IF(BM127="Fastener Shear Dialogue","Shear Diameter:","")</f>
        <v/>
      </c>
      <c r="BJ128" s="16"/>
      <c r="BK128" s="25" t="str">
        <f>IF(BM127="Fastner Shear Dialogue",IF($A$25="mm","mm","in"),"")</f>
        <v/>
      </c>
      <c r="BM128" s="12"/>
      <c r="BN128" s="15" t="str">
        <f>IF(BM127="Front Wing Physically Tested Without IA","Tested failure force:",
IF(BM127="Fastener Shear Dialogue","Fastener UTS (Screenshot):",
IF(BM127="Wing Support Hand Calc","Failure force for one mount:","")))</f>
        <v/>
      </c>
      <c r="BO128" s="79"/>
      <c r="BP128" s="25" t="str">
        <f>IF(BM127="Fastener Shear Dialogue",IF($A$25="mm","MPa","psi"),IF($A$25="mm","N","lbs"))</f>
        <v>lbs</v>
      </c>
      <c r="BQ128" s="11" t="str">
        <f>IF(NOT(OR(BN110="Mounted on MHB with Brace.",AND(BN110="Wing mounted to MHB nodes.",BO111&gt;1))),"N/A",
IF(BO128="","BLANK","EQ"))</f>
        <v>N/A</v>
      </c>
      <c r="CC128" s="12"/>
      <c r="CD128" s="22"/>
      <c r="CE128" s="15"/>
      <c r="CF128" s="15"/>
      <c r="CG128" s="15"/>
      <c r="CH128" s="116" t="str">
        <f>IF(CK119="N/A","","Chassis_material_shear*A"&amp;IF($A$25="mm"," (N)"," (lbs)")&amp;":")</f>
        <v/>
      </c>
      <c r="CI128" s="11">
        <f>0.577*CI105*2*CI126*CI127</f>
        <v>0</v>
      </c>
      <c r="CJ128" s="84">
        <f>CI128/CI119</f>
        <v>0</v>
      </c>
      <c r="CK128" s="11" t="str">
        <f>IF(CK121="N/A","N/A",
IF(CG121="Eyebolt Or Bolt Through Tube","N/A",
IF(CI128="","BLANK",IF(CJ128&lt;1,"REJECT","EQ"))))</f>
        <v>N/A</v>
      </c>
    </row>
    <row r="129" spans="1:93" ht="16" thickBot="1" x14ac:dyDescent="0.25">
      <c r="A129" s="88"/>
      <c r="B129" s="89"/>
      <c r="C129" s="89"/>
      <c r="D129" s="89"/>
      <c r="E129" s="89"/>
      <c r="F129" s="89"/>
      <c r="G129" s="89"/>
      <c r="H129" s="89"/>
      <c r="I129" s="90"/>
      <c r="V129" s="15"/>
      <c r="W129" s="15"/>
      <c r="X129" s="15"/>
      <c r="Y129" s="15" t="s">
        <v>147</v>
      </c>
      <c r="Z129" s="11">
        <f>IF(Z123="Size C",6695,8509)</f>
        <v>6695</v>
      </c>
      <c r="AA129" s="11">
        <f>IF(OR(AA124="",AA125=""),"",
IF(AA123="Round",
ROUND((PI()/4)*((AA127/2)^4-((AA127-2*AA126)/2)^4),0),
ROUND((AA127^4-(AA127-2*AA126)^4)/12,0)))</f>
        <v>6695</v>
      </c>
      <c r="AB129" s="25" t="s">
        <v>145</v>
      </c>
      <c r="AC129" s="11" t="str">
        <f>IF(AND(AB120="",AC120=""),"N/A",
IF(AA129="","BLANK",IF(AA129&lt;Z129,"REJECT","EQ")))</f>
        <v>N/A</v>
      </c>
      <c r="AE129" s="12"/>
      <c r="AF129" s="22"/>
      <c r="AG129" s="15"/>
      <c r="AH129" s="15"/>
      <c r="AI129" s="15"/>
      <c r="AJ129" s="116" t="str">
        <f>IF(AM122="N/A","",
IF(AI121="Bolt Through A Tab","Tab shear strength 0.577*F.3.4.2.b_UTS*A"&amp;IF($A$25="mm"," (N)"," (lbs)")&amp;":",
IF(AI121="Clip Through A Pad Eye","Pad Eye shear strength 0.577*F.3.4.2.b_UTS*A"&amp;IF($A$25="mm"," (N)"," (lbs)")&amp;":",
IF(AK126="Threaded Insert","Thread pullout 0.577*pi*minor_dia*depth*F.3.4.2.b_UTS:","Thread pullout 0.577*pi*minor_dia*depth*Nut_UTS:"))))</f>
        <v/>
      </c>
      <c r="AK129" s="27">
        <f>IF(AI121="Eyebolt Or Bolt Through Tube",0.577*PI()*AK123*AK128*IF(AK126="Through Bolted",AK127,IF($A$25="mm",300000000*(1/10^6),43500)),
0.577*IF($A$25="mm",300000000*(1/10^6),43500)*IF(AI121="Clip Through A Pad Eye",PI()*(AK127/2)^2,2*AK127*AK128))</f>
        <v>0</v>
      </c>
      <c r="AL129" s="84">
        <f>AK129/AK122</f>
        <v>0</v>
      </c>
      <c r="AM129" s="11" t="str">
        <f>IF(AM122="N/A","N/A",
IF(AK129="","BLANK",IF(AL129&lt;1,"REJECT","EQ")))</f>
        <v>N/A</v>
      </c>
      <c r="AO129" s="295" t="str" cm="1">
        <f t="array" ref="AO129">IF(COUNTIF(AW130:AW138,"BLANK"),"BLANK",IF(OR(SUMPRODUCT(--ISERROR(AW130:AW138))&gt;0,COUNTIF(AW130:AW138,"REJECT")),"REJECT",IF(COUNTIF(AW130:AW138,"CHECK"),"CHECK","EQ")))</f>
        <v>EQ</v>
      </c>
      <c r="AP129" s="295"/>
      <c r="AQ129" s="295"/>
      <c r="AR129" s="295"/>
      <c r="AS129" s="295"/>
      <c r="AT129" s="295"/>
      <c r="AU129" s="295"/>
      <c r="AV129" s="295"/>
      <c r="AW129" s="295"/>
      <c r="AY129" s="42"/>
      <c r="AZ129" s="42"/>
      <c r="BA129" s="42"/>
      <c r="BB129" s="42"/>
      <c r="BC129" s="42"/>
      <c r="BD129" s="42"/>
      <c r="BE129" s="42"/>
      <c r="BF129" s="42"/>
      <c r="BG129" s="42"/>
      <c r="BI129" s="11"/>
      <c r="BJ129" s="32"/>
      <c r="BK129" s="32"/>
      <c r="BL129" s="32"/>
      <c r="BM129" s="12"/>
      <c r="BN129" s="15" t="str">
        <f>IF(BM127="Front Wing Physically Tested Without IA","Which column has the front wing force data?",
IF(BM127="Fastener Shear Dialogue",IF(BN110="Wing mounted to MHB nodes.", "Fasteners on one side - 1:","Fasteners on one side :"),
IF(BM127="Wing Support Hand Calc","Number of wing to chassis mounts:","")))</f>
        <v/>
      </c>
      <c r="BO129" s="16"/>
      <c r="BP129" s="12"/>
      <c r="BQ129" s="11" t="str">
        <f>IF(NOT(OR(BN110="Mounted on MHB with Brace.",AND(BN110="Wing mounted to MHB nodes.",BO111&gt;1))),"N/A",
IF(BO128="","BLANK","EQ"))</f>
        <v>N/A</v>
      </c>
      <c r="CG129" s="12" t="s">
        <v>470</v>
      </c>
      <c r="CH129" s="15"/>
      <c r="CI129" s="11"/>
      <c r="CJ129" s="11"/>
      <c r="CK129" s="11"/>
    </row>
    <row r="130" spans="1:93" ht="16" thickBot="1" x14ac:dyDescent="0.25">
      <c r="A130" s="98"/>
      <c r="B130" s="99"/>
      <c r="C130" s="99"/>
      <c r="D130" s="99"/>
      <c r="E130" s="99"/>
      <c r="F130" s="99"/>
      <c r="G130" s="99"/>
      <c r="H130" s="99"/>
      <c r="I130" s="100"/>
      <c r="U130" s="12"/>
      <c r="V130" s="35"/>
      <c r="AI130" s="12" t="str">
        <f>IF(AM121="N/A","",
IF(AI121="Wrapped","Shaft collars or welded steel loops are required for lateral location and abrasion protection.",
IF(AI121="Eyebolt Or Bolt Through Tube","Welded Inserts required. External Positive Locking Required.",
IF(AK126="Welded","Bracket/tab to tube welding must be on both sides of the bracket/tab.","At least 2x 6mm critical fasteners, Welded Inserts, and external Positive Locking required."))))</f>
        <v/>
      </c>
      <c r="AK130" s="35"/>
      <c r="AR130" s="15" t="str">
        <f>IF(AW130="N/A","","Shoulder Harness Attachment:")</f>
        <v>Shoulder Harness Attachment:</v>
      </c>
      <c r="AS130" s="298" t="s">
        <v>1224</v>
      </c>
      <c r="AT130" s="299"/>
      <c r="AU130" s="299"/>
      <c r="AV130" s="300"/>
      <c r="AW130" s="11" t="str">
        <f>IF(AT97="Composite","N/A",
IF(AS130="","BLANK","EQ"))</f>
        <v>EQ</v>
      </c>
      <c r="BJ130" s="12"/>
      <c r="BK130" s="12"/>
      <c r="BL130" s="12"/>
      <c r="BN130" s="15" t="str">
        <f>IF(BM127="","",
IF(BM127="Fastener Shear Dialogue","Number_of_fasteners * 0.577 * UTS * pi * OD^2 / 4 &lt; MHB Max:","Wing support failure &lt; MHB Max:"))</f>
        <v/>
      </c>
      <c r="BO130" s="29">
        <f>IF(BM127="Fastener Shear Dialogue",BO129*0.577*BO128*PI()*(BJ128^2)/4,
BO128*BO129)</f>
        <v>0</v>
      </c>
      <c r="BP130" s="84" t="str">
        <f>IF(OR(BO126="",BM127=""),"",BO130/BO126)</f>
        <v/>
      </c>
      <c r="BQ130" s="11" t="str">
        <f>IF(NOT(OR(BN110="Mounted on MHB with Brace.",AND(BN110="Wing mounted to MHB nodes.",BO111&gt;1))),"N/A",
IF(OR(BO126="",BO129=0),"BLANK",IF(BP130&gt;1,"REJECT",IF(BP130&gt;0.95,"CHECK","EQ"))))</f>
        <v>N/A</v>
      </c>
    </row>
    <row r="131" spans="1:93" ht="15" customHeight="1" x14ac:dyDescent="0.2">
      <c r="U131" s="12" t="s">
        <v>281</v>
      </c>
      <c r="V131" s="25" t="s">
        <v>251</v>
      </c>
      <c r="W131" s="44"/>
      <c r="X131" s="44"/>
      <c r="Y131" s="44"/>
      <c r="Z131" s="44"/>
      <c r="AA131" s="44"/>
      <c r="AB131" s="44"/>
      <c r="AC131" s="44"/>
      <c r="AI131" s="12" t="str">
        <f>IF(AM121="N/A","",
IF(AI121="Wrapped", "Wrap must be on Size B tube straight across between lower SIS, above floor pan.",
IF(AI121="Clip Bracket","Do not clip around a bolt between two tabs.","")))</f>
        <v/>
      </c>
      <c r="AK131" s="35"/>
      <c r="AO131" s="12" t="s">
        <v>464</v>
      </c>
      <c r="AP131" s="15"/>
      <c r="AQ131" s="11"/>
      <c r="AR131" s="11"/>
      <c r="AS131" s="11"/>
      <c r="AT131" s="15" t="str">
        <f>IF(AW131="N/A","","Harness Test Load:")</f>
        <v/>
      </c>
      <c r="AU131" s="11">
        <f>IF($A$25="mm",15000,3371)</f>
        <v>3371</v>
      </c>
      <c r="AV131" s="25" t="str">
        <f>IF($A$25="mm","N","lbs")</f>
        <v>lbs</v>
      </c>
      <c r="AW131" s="11" t="str">
        <f>IF(OR(AS130="Wrapped",AW130="N/A"),"N/A","EQ")</f>
        <v>N/A</v>
      </c>
      <c r="AY131" s="12" t="s">
        <v>329</v>
      </c>
      <c r="AZ131" s="35" t="s">
        <v>397</v>
      </c>
      <c r="BK131" s="12"/>
      <c r="BL131" s="12"/>
      <c r="BM131" s="12" t="s">
        <v>463</v>
      </c>
      <c r="BN131" s="12"/>
      <c r="BO131" s="12"/>
      <c r="BP131" s="12"/>
      <c r="BQ131" s="12"/>
      <c r="CC131" s="10"/>
      <c r="CD131" s="10"/>
      <c r="CE131" s="10"/>
      <c r="CF131" s="10"/>
      <c r="CG131" s="10"/>
      <c r="CH131" s="10"/>
      <c r="CI131" s="10"/>
      <c r="CJ131" s="10"/>
      <c r="CK131" s="10"/>
    </row>
    <row r="132" spans="1:93" ht="15" customHeight="1" thickBot="1" x14ac:dyDescent="0.25">
      <c r="U132" s="12" t="s">
        <v>148</v>
      </c>
      <c r="V132" s="25" t="s">
        <v>252</v>
      </c>
      <c r="W132" s="44"/>
      <c r="X132" s="44"/>
      <c r="Y132" s="44"/>
      <c r="Z132" s="44"/>
      <c r="AA132" s="44"/>
      <c r="AB132" s="44"/>
      <c r="AC132" s="44"/>
      <c r="AE132" s="42"/>
      <c r="AF132" s="42"/>
      <c r="AG132" s="42"/>
      <c r="AH132" s="42"/>
      <c r="AI132" s="42"/>
      <c r="AJ132" s="42"/>
      <c r="AK132" s="42"/>
      <c r="AL132" s="42"/>
      <c r="AM132" s="42"/>
      <c r="AO132" s="12" t="s">
        <v>427</v>
      </c>
      <c r="AP132" s="22"/>
      <c r="AQ132" s="15"/>
      <c r="AR132" s="15"/>
      <c r="AS132" s="15"/>
      <c r="AT132" s="15" t="str">
        <f>IF(OR(AW131="N/A",AS130="Clip Through A Pad Eye"),"","Shoulder belt fastener MINOR diameter:")</f>
        <v/>
      </c>
      <c r="AU132" s="16"/>
      <c r="AV132" s="25" t="str">
        <f>IF($A$25="mm","mm","in")</f>
        <v>in</v>
      </c>
      <c r="AW132" s="11" t="str">
        <f>IF(AW131="N/A","N/A",
IF(AS130="Clip Through A Pad Eye","N/A",
IF(AU132="","BLANK",IF($A$25="mm",IF(AU132&gt;=8.376,"EQ","CHECK"),IF(AU132&gt;=0.307,"EQ","CHECK")))))</f>
        <v>N/A</v>
      </c>
      <c r="BI132" s="295" t="str" cm="1">
        <f t="array" ref="BI132">IF(COUNTIF(BQ133:BQ135,"BLANK"),"BLANK",IF(OR(SUMPRODUCT(--ISERROR(BQ133:BQ135))&gt;0,COUNTIF(BQ133:BQ135,"REJECT")),"REJECT",IF(COUNTIF(BQ133:BQ135,"CHECK"),"CHECK","EQ")))</f>
        <v>EQ</v>
      </c>
      <c r="BJ132" s="295"/>
      <c r="BK132" s="295"/>
      <c r="BL132" s="295"/>
      <c r="BM132" s="295"/>
      <c r="BN132" s="295"/>
      <c r="BO132" s="295"/>
      <c r="BP132" s="295"/>
      <c r="BQ132" s="295"/>
      <c r="CC132" s="10"/>
      <c r="CD132" s="10"/>
      <c r="CE132" s="10"/>
      <c r="CF132" s="10"/>
      <c r="CG132" s="10"/>
      <c r="CH132" s="10"/>
      <c r="CI132" s="10"/>
      <c r="CJ132" s="10"/>
      <c r="CK132" s="10"/>
    </row>
    <row r="133" spans="1:93" ht="15" customHeight="1" thickBot="1" x14ac:dyDescent="0.25">
      <c r="U133" s="44"/>
      <c r="V133" s="44"/>
      <c r="W133" s="44"/>
      <c r="X133" s="44"/>
      <c r="Y133" s="44"/>
      <c r="Z133" s="44"/>
      <c r="AA133" s="44"/>
      <c r="AB133" s="44"/>
      <c r="AC133" s="44"/>
      <c r="AE133" s="42"/>
      <c r="AF133" s="42"/>
      <c r="AG133" s="42"/>
      <c r="AH133" s="42"/>
      <c r="AI133" s="42"/>
      <c r="AJ133" s="42"/>
      <c r="AK133" s="42"/>
      <c r="AL133" s="42"/>
      <c r="AM133" s="42"/>
      <c r="AO133" s="12"/>
      <c r="AT133" s="15" t="str">
        <f>IF(OR(AW131="N/A",AS130="Clip Through A Pad Eye"),"","Shoulder belt fastener rated UTS:")</f>
        <v/>
      </c>
      <c r="AU133" s="82"/>
      <c r="AV133" s="35" t="str">
        <f>IF($A$25="mm","Pa","psi")</f>
        <v>psi</v>
      </c>
      <c r="AW133" s="11" t="str">
        <f>IF(AW131="N/A","N/A",
IF(AS130="Clip Through A Pad Eye","N/A",
IF(AU133="","BLANK",IF($A$25="mm",IF(AU133&gt;=8,"EQ","CHECK"),IF(AU133&gt;=0.3125,"EQ","CHECK")))))</f>
        <v>N/A</v>
      </c>
      <c r="AY133" s="303" t="s">
        <v>122</v>
      </c>
      <c r="AZ133" s="35" t="s">
        <v>398</v>
      </c>
      <c r="BJ133" s="12"/>
      <c r="BK133" s="12"/>
      <c r="BL133" s="12"/>
      <c r="BM133" s="12"/>
      <c r="BN133" s="15" t="s">
        <v>406</v>
      </c>
      <c r="BO133" s="115" t="s">
        <v>1231</v>
      </c>
      <c r="BP133" s="12"/>
      <c r="BQ133" s="11" t="str">
        <f>IF(BO133="","BLANK","EQ")</f>
        <v>EQ</v>
      </c>
      <c r="CC133" s="10"/>
      <c r="CD133" s="10"/>
      <c r="CE133" s="10"/>
      <c r="CF133" s="10"/>
      <c r="CG133" s="10"/>
      <c r="CH133" s="10"/>
      <c r="CI133" s="10"/>
      <c r="CJ133" s="10"/>
      <c r="CK133" s="10"/>
      <c r="CO133" s="22"/>
    </row>
    <row r="134" spans="1:93" ht="15" customHeight="1" thickBot="1" x14ac:dyDescent="0.25">
      <c r="V134" s="44"/>
      <c r="W134" s="44"/>
      <c r="X134" s="44"/>
      <c r="Y134" s="44"/>
      <c r="Z134" s="44"/>
      <c r="AA134" s="44"/>
      <c r="AB134" s="44"/>
      <c r="AC134" s="44"/>
      <c r="AE134" s="42"/>
      <c r="AF134" s="42"/>
      <c r="AG134" s="42"/>
      <c r="AH134" s="42"/>
      <c r="AI134" s="42"/>
      <c r="AJ134" s="42"/>
      <c r="AK134" s="42"/>
      <c r="AL134" s="42"/>
      <c r="AM134" s="42"/>
      <c r="AO134" s="12"/>
      <c r="AT134" s="15" t="str">
        <f>IF(OR(AW131="N/A",AS130="Clip Through A Pad Eye"),"","Fastener shear stregnth 0.577*UTS*A"&amp;IF($A$25="mm"," (N)"," (lbs)")&amp;":")</f>
        <v/>
      </c>
      <c r="AU134" s="27">
        <f>0.577*AU133*PI()*(AU132*IF($A$25="mm",1/1000,1)/2)^2</f>
        <v>0</v>
      </c>
      <c r="AV134" s="84">
        <f>AU134/AU131</f>
        <v>0</v>
      </c>
      <c r="AW134" s="11" t="str">
        <f>IF(AW131="N/A","N/A",
IF(AS130="Clip Through A Pad Eye","N/A",
IF(AU134="","BLANK",IF(AV134&lt;1,"REJECT","EQ"))))</f>
        <v>N/A</v>
      </c>
      <c r="AY134" s="303"/>
      <c r="AZ134" s="25" t="s">
        <v>384</v>
      </c>
      <c r="BJ134" s="12"/>
      <c r="BK134" s="12"/>
      <c r="BL134" s="12"/>
      <c r="BM134" s="12"/>
      <c r="BN134" s="15" t="s">
        <v>438</v>
      </c>
      <c r="BO134" s="80" t="s">
        <v>1233</v>
      </c>
      <c r="BP134" s="12"/>
      <c r="BQ134" s="11" t="str">
        <f t="shared" ref="BQ134:BQ135" si="14">IF(BO134="","BLANK","EQ")</f>
        <v>EQ</v>
      </c>
      <c r="CC134" s="10"/>
      <c r="CD134" s="10"/>
      <c r="CE134" s="10"/>
      <c r="CF134" s="10"/>
      <c r="CG134" s="10"/>
      <c r="CH134" s="10"/>
      <c r="CI134" s="10"/>
      <c r="CJ134" s="10"/>
      <c r="CK134" s="10"/>
      <c r="CO134" s="22"/>
    </row>
    <row r="135" spans="1:93" ht="15" customHeight="1" thickBot="1" x14ac:dyDescent="0.25">
      <c r="U135" s="44"/>
      <c r="V135" s="44"/>
      <c r="W135" s="44"/>
      <c r="X135" s="44"/>
      <c r="Y135" s="44"/>
      <c r="Z135" s="44"/>
      <c r="AA135" s="44"/>
      <c r="AB135" s="44"/>
      <c r="AC135" s="44"/>
      <c r="AE135" s="42"/>
      <c r="AF135" s="42"/>
      <c r="AG135" s="42"/>
      <c r="AH135" s="42"/>
      <c r="AI135" s="42"/>
      <c r="AJ135" s="42"/>
      <c r="AK135" s="42"/>
      <c r="AL135" s="42"/>
      <c r="AM135" s="42"/>
      <c r="AT135" s="15" t="str">
        <f>IF(OR(AW131="N/A"),"",IF(AS130="Eyebolt Or Bolt Through Tube","Eyebolt or bolt to chassis (If welded, use Pad Eye):","Pad Eye/Tab to chassis:"))</f>
        <v/>
      </c>
      <c r="AU135" s="298"/>
      <c r="AV135" s="300"/>
      <c r="AW135" s="11" t="str">
        <f>IF(OR(AW130="N/A",AS130="Wrapped"),"N/A",
IF(AU135="","BLANK",
IF(AND(AU135="Welded",AS130="Eyebolt Or Bolt Through Tube"),"REJECT","EQ")))</f>
        <v>N/A</v>
      </c>
      <c r="AZ135" s="25" t="s">
        <v>385</v>
      </c>
      <c r="BJ135" s="12"/>
      <c r="BK135" s="12"/>
      <c r="BL135" s="12"/>
      <c r="BM135" s="12"/>
      <c r="BN135" s="15" t="s">
        <v>216</v>
      </c>
      <c r="BO135" s="101" t="s">
        <v>1231</v>
      </c>
      <c r="BP135" s="12"/>
      <c r="BQ135" s="11" t="str">
        <f t="shared" si="14"/>
        <v>EQ</v>
      </c>
      <c r="CC135" s="10"/>
      <c r="CD135" s="10"/>
      <c r="CE135" s="10"/>
      <c r="CF135" s="10"/>
      <c r="CG135" s="10"/>
      <c r="CH135" s="10"/>
      <c r="CI135" s="10"/>
      <c r="CJ135" s="10"/>
      <c r="CK135" s="10"/>
      <c r="CO135" s="22"/>
    </row>
    <row r="136" spans="1:93" ht="15" customHeight="1" x14ac:dyDescent="0.2">
      <c r="U136" s="44"/>
      <c r="V136" s="44"/>
      <c r="W136" s="44"/>
      <c r="X136" s="44"/>
      <c r="Y136" s="44"/>
      <c r="Z136" s="44"/>
      <c r="AA136" s="44"/>
      <c r="AB136" s="44"/>
      <c r="AC136" s="44"/>
      <c r="AE136" s="42"/>
      <c r="AF136" s="42"/>
      <c r="AG136" s="42"/>
      <c r="AH136" s="42"/>
      <c r="AI136" s="42"/>
      <c r="AJ136" s="42"/>
      <c r="AK136" s="42"/>
      <c r="AL136" s="42"/>
      <c r="AM136" s="42"/>
      <c r="AO136" s="12" t="str">
        <f>IF(AS130="Bolt Through A Tab","T.2.4.3.b",
IF(AU135="Threaded Insert","T.2.4.6.a",""))</f>
        <v/>
      </c>
      <c r="AP136" s="22"/>
      <c r="AQ136" s="15"/>
      <c r="AR136" s="15"/>
      <c r="AS136" s="15"/>
      <c r="AT136" s="15" t="str">
        <f>IF(AW131="N/A","",
IF(AS130="Bolt Through A Tab","Tab thickness &gt;= 1.6mm (0.063in) steel:",
IF(AS130="Clip Through A Pad Eye","--Pad Eye-- Outer Diameter minus Inner Diameter:",
IF(AU135="Threaded Insert","Fastener Thread Pitch (Spacing Per Thread):","Nut rated UTS:"))))</f>
        <v/>
      </c>
      <c r="AU136" s="16"/>
      <c r="AV136" s="35" t="str">
        <f>IF(AU135="Through Bolted",IF($A$25="mm","MPa","psi"),
IF($A$25="mm","mm","in"))</f>
        <v>in</v>
      </c>
      <c r="AW136" s="11" t="str">
        <f>IF(OR(AS130="Wrapped",AW130="N/A"),"N/A",
IF(AU136="","BLANK",
IF(AS130="Eyebolt Or Bolt Through Tube","EQ",
IF($A$25="mm",IF(AU136&gt;=1.6,"EQ","REJECT"),IF(AU136&gt;=0.063,"EQ","REJECT")))))</f>
        <v>N/A</v>
      </c>
      <c r="AZ136" s="25" t="s">
        <v>386</v>
      </c>
      <c r="BJ136" s="12"/>
      <c r="BK136" s="12"/>
      <c r="BL136" s="12"/>
      <c r="BM136" s="12" t="str">
        <f>IF(OR(AI109="Eyebolt Or Bolt Through Tube",AK114="Threaded Insert",AK114="Through Bolted",
AI121="Eyebolt Or Bolt Through Tube",AK126="Threaded Insert",AK126="Through Bolted",
AS130="Eyebolt Or Bolt Through Tube",AU135="Threaded Insert",AU135="Through Bolted"),"Welded Inserts required by harness attachments.","")</f>
        <v/>
      </c>
      <c r="BN136" s="15"/>
      <c r="BO136" s="11"/>
      <c r="BP136" s="12"/>
      <c r="BQ136" s="11"/>
      <c r="CC136" s="10"/>
      <c r="CD136" s="10"/>
      <c r="CE136" s="10"/>
      <c r="CF136" s="10"/>
      <c r="CG136" s="10"/>
      <c r="CH136" s="10"/>
      <c r="CI136" s="10"/>
      <c r="CJ136" s="10"/>
      <c r="CK136" s="10"/>
      <c r="CO136" s="22"/>
    </row>
    <row r="137" spans="1:93" ht="15" customHeight="1" x14ac:dyDescent="0.2">
      <c r="U137" s="44"/>
      <c r="V137" s="44"/>
      <c r="W137" s="44"/>
      <c r="X137" s="44"/>
      <c r="Y137" s="44"/>
      <c r="Z137" s="44"/>
      <c r="AA137" s="44"/>
      <c r="AB137" s="44"/>
      <c r="AC137" s="44"/>
      <c r="AE137" s="42"/>
      <c r="AF137" s="42"/>
      <c r="AG137" s="42"/>
      <c r="AH137" s="42"/>
      <c r="AI137" s="42"/>
      <c r="AJ137" s="42"/>
      <c r="AK137" s="42"/>
      <c r="AL137" s="42"/>
      <c r="AM137" s="42"/>
      <c r="AO137" s="12" t="str">
        <f>IF(AND(AS130="Eyebolt Or Bolt Through Tube",AU135="Threaded Insert"),AU137/AU136,"")</f>
        <v/>
      </c>
      <c r="AP137" s="22"/>
      <c r="AQ137" s="15"/>
      <c r="AR137" s="15"/>
      <c r="AS137" s="15"/>
      <c r="AT137" s="15" t="str">
        <f>IF(AW131="N/A","",
IF(AS130="Bolt Through A Tab","Min Tearout: Fastener spacing, edge, or corner dist:",
IF(AS130="Clip Through A Pad Eye","Base (Larger than OD or height):",
"--Pullout-- Fastener threads engaged, depth:")))</f>
        <v/>
      </c>
      <c r="AU137" s="79"/>
      <c r="AV137" s="25" t="str">
        <f>IF($A$25="mm","mm","in")</f>
        <v>in</v>
      </c>
      <c r="AW137" s="11" t="str">
        <f>IF(OR(AS130="Wrapped",AW130="N/A"),"N/A",
IF(AU137="","BLANK",
IF(AU135="Threaded Insert",IF(AO137&lt;10,"REJECT","EQ"),
"EQ")))</f>
        <v>N/A</v>
      </c>
      <c r="BI137" s="302" t="str">
        <f>IF(BO133="Yes","Fill out Bolted Member and Welded Inserts tabs",
IF(OR(BO134="Yes",BO135="Yes"),"Fill out Welded Inserts tab","AIP or EV might activate Welded Inserts tab"))</f>
        <v>Fill out Welded Inserts tab</v>
      </c>
      <c r="BJ137" s="302"/>
      <c r="BK137" s="302"/>
      <c r="BL137" s="302"/>
      <c r="BM137" s="302"/>
      <c r="BN137" s="302"/>
      <c r="BO137" s="302"/>
      <c r="BP137" s="302"/>
      <c r="BQ137" s="302"/>
      <c r="CC137" s="10"/>
      <c r="CD137" s="10"/>
      <c r="CE137" s="10"/>
      <c r="CF137" s="10"/>
      <c r="CG137" s="10"/>
      <c r="CH137" s="10"/>
      <c r="CI137" s="10"/>
      <c r="CJ137" s="10"/>
      <c r="CK137" s="10"/>
    </row>
    <row r="138" spans="1:93" ht="15" customHeight="1" x14ac:dyDescent="0.2">
      <c r="U138" s="44"/>
      <c r="V138" s="44"/>
      <c r="W138" s="44"/>
      <c r="X138" s="44"/>
      <c r="Y138" s="44"/>
      <c r="Z138" s="44"/>
      <c r="AA138" s="44"/>
      <c r="AB138" s="44"/>
      <c r="AC138" s="44"/>
      <c r="AE138" s="42"/>
      <c r="AF138" s="42"/>
      <c r="AG138" s="42"/>
      <c r="AH138" s="42"/>
      <c r="AI138" s="42"/>
      <c r="AJ138" s="42"/>
      <c r="AK138" s="42"/>
      <c r="AL138" s="42"/>
      <c r="AM138" s="42"/>
      <c r="AO138" s="12"/>
      <c r="AP138" s="22"/>
      <c r="AQ138" s="15"/>
      <c r="AR138" s="15"/>
      <c r="AS138" s="15"/>
      <c r="AT138" s="116" t="str">
        <f>IF(AW131="N/A","",
IF(AS130="Bolt Through A Tab","Tab shear strength 0.577*F.3.4.2.b_UTS*A"&amp;IF($A$25="mm"," (N)"," (lbs)")&amp;":",
IF(AS130="Clip Through A Pad Eye","Pad Eye shear strength 0.577*F.3.4.2.b_UTS*A"&amp;IF($A$25="mm"," (N)"," (lbs)")&amp;":",
IF(AU135="Threaded Insert","Thread pullout 0.577*pi*minor_dia*depth*F.3.4.2.b_UTS:","Thread pullout 0.577*pi*minor_dia*depth*Nut_UTS:"))))</f>
        <v/>
      </c>
      <c r="AU138" s="27">
        <f>IF(AS130="Eyebolt Or Bolt Through Tube",0.577*PI()*AU132*AU137*IF(AU135="Through Bolted",AU136,IF($A$25="mm",300000000*(1/10^6),43500)),
0.577*IF($A$25="mm",300000000*(1/10^6),43500)*IF(AS130="Clip Through A Pad Eye",PI()*(AU136/2)^2,2*AU136*AU137))</f>
        <v>0</v>
      </c>
      <c r="AV138" s="84">
        <f>AU138/AU131</f>
        <v>0</v>
      </c>
      <c r="AW138" s="11" t="str">
        <f>IF(AW131="N/A","N/A",
IF(AU138="","BLANK",IF(AV138&lt;1,"REJECT","EQ")))</f>
        <v>N/A</v>
      </c>
      <c r="AY138" s="303" t="s">
        <v>387</v>
      </c>
      <c r="AZ138" s="35" t="s">
        <v>410</v>
      </c>
      <c r="BI138" s="302"/>
      <c r="BJ138" s="302"/>
      <c r="BK138" s="302"/>
      <c r="BL138" s="302"/>
      <c r="BM138" s="302"/>
      <c r="BN138" s="302"/>
      <c r="BO138" s="302"/>
      <c r="BP138" s="302"/>
      <c r="BQ138" s="302"/>
      <c r="CC138" s="10"/>
      <c r="CD138" s="10"/>
      <c r="CE138" s="10"/>
      <c r="CF138" s="10"/>
      <c r="CG138" s="10"/>
      <c r="CH138" s="10"/>
      <c r="CI138" s="10"/>
      <c r="CJ138" s="10"/>
      <c r="CK138" s="10"/>
      <c r="CO138" s="22"/>
    </row>
    <row r="139" spans="1:93" ht="15" customHeight="1" x14ac:dyDescent="0.2">
      <c r="AE139" s="42"/>
      <c r="AF139" s="42"/>
      <c r="AG139" s="42"/>
      <c r="AH139" s="42"/>
      <c r="AI139" s="42"/>
      <c r="AJ139" s="42"/>
      <c r="AK139" s="42"/>
      <c r="AL139" s="42"/>
      <c r="AM139" s="42"/>
      <c r="AS139" s="12" t="str">
        <f>IF(AW130="N/A","",
IF(AS130="Wrapped","Shaft collars or welded steel loops are required for lateral location and abrasion protection.",
IF(AS130="Eyebolt Or Bolt Through Tube","Welded Inserts required. External Positive Locking Required.",
IF(AU135="Welded","Bracket/tab to tube welding must be on both sides of the bracket/tab.","At least 2x 6mm critical fasteners, Welded Inserts, and external Positive Locking required."))))</f>
        <v>Shaft collars or welded steel loops are required for lateral location and abrasion protection.</v>
      </c>
      <c r="AU139" s="35"/>
      <c r="AY139" s="303"/>
      <c r="AZ139" s="25" t="s">
        <v>388</v>
      </c>
      <c r="BK139" s="12"/>
      <c r="BL139" s="12"/>
      <c r="BM139" s="12"/>
      <c r="BN139" s="12"/>
      <c r="BO139" s="12"/>
      <c r="BP139" s="12"/>
      <c r="BQ139" s="12"/>
      <c r="CC139" s="10"/>
      <c r="CD139" s="10"/>
      <c r="CE139" s="10"/>
      <c r="CF139" s="10"/>
      <c r="CG139" s="10"/>
      <c r="CH139" s="10"/>
      <c r="CI139" s="10"/>
      <c r="CJ139" s="10"/>
      <c r="CK139" s="10"/>
      <c r="CO139" s="22"/>
    </row>
    <row r="140" spans="1:93" ht="15" customHeight="1" x14ac:dyDescent="0.2">
      <c r="AE140" s="42"/>
      <c r="AF140" s="42"/>
      <c r="AG140" s="42"/>
      <c r="AH140" s="42"/>
      <c r="AI140" s="42"/>
      <c r="AJ140" s="42"/>
      <c r="AK140" s="42"/>
      <c r="AL140" s="42"/>
      <c r="AM140" s="42"/>
      <c r="AO140" s="125"/>
      <c r="AS140" s="12" t="str">
        <f>IF(AW130="N/A","",
IF(AS130="Clip Bracket","Do not clip around a bolt between two tabs.",""))</f>
        <v/>
      </c>
      <c r="AZ140" s="25" t="s">
        <v>389</v>
      </c>
      <c r="BI140" s="302" t="str">
        <f>IF(G8="IC - Internal Combustion","IC: EV protection columns disabled","EV: Complete EV protection columns to the right")</f>
        <v>IC: EV protection columns disabled</v>
      </c>
      <c r="BJ140" s="302"/>
      <c r="BK140" s="302"/>
      <c r="BL140" s="302"/>
      <c r="BM140" s="302"/>
      <c r="BN140" s="302"/>
      <c r="BO140" s="302"/>
      <c r="BP140" s="302"/>
      <c r="BQ140" s="302"/>
      <c r="CC140" s="10"/>
      <c r="CD140" s="10"/>
      <c r="CE140" s="10"/>
      <c r="CF140" s="10"/>
      <c r="CG140" s="10"/>
      <c r="CH140" s="10"/>
      <c r="CI140" s="10"/>
      <c r="CJ140" s="10"/>
      <c r="CK140" s="10"/>
      <c r="CO140" s="22"/>
    </row>
    <row r="141" spans="1:93" ht="15" customHeight="1" x14ac:dyDescent="0.2">
      <c r="AE141" s="42"/>
      <c r="AF141" s="42"/>
      <c r="AG141" s="42"/>
      <c r="AH141" s="42"/>
      <c r="AI141" s="42"/>
      <c r="AJ141" s="42"/>
      <c r="AK141" s="42"/>
      <c r="AL141" s="42"/>
      <c r="AM141" s="42"/>
      <c r="AO141" s="42"/>
      <c r="AP141" s="42"/>
      <c r="AQ141" s="42"/>
      <c r="AR141" s="42"/>
      <c r="AS141" s="42"/>
      <c r="AT141" s="42"/>
      <c r="AU141" s="42"/>
      <c r="AV141" s="42"/>
      <c r="AW141" s="42"/>
      <c r="BI141" s="302"/>
      <c r="BJ141" s="302"/>
      <c r="BK141" s="302"/>
      <c r="BL141" s="302"/>
      <c r="BM141" s="302"/>
      <c r="BN141" s="302"/>
      <c r="BO141" s="302"/>
      <c r="BP141" s="302"/>
      <c r="BQ141" s="302"/>
      <c r="CC141" s="10"/>
      <c r="CD141" s="10"/>
      <c r="CE141" s="10"/>
      <c r="CF141" s="10"/>
      <c r="CG141" s="10"/>
      <c r="CH141" s="10"/>
      <c r="CI141" s="10"/>
      <c r="CJ141" s="10"/>
      <c r="CK141" s="10"/>
    </row>
    <row r="142" spans="1:93" x14ac:dyDescent="0.2">
      <c r="AE142" s="42"/>
      <c r="AF142" s="42"/>
      <c r="AG142" s="42"/>
      <c r="AH142" s="42"/>
      <c r="AI142" s="42"/>
      <c r="AJ142" s="42"/>
      <c r="AK142" s="42"/>
      <c r="AL142" s="42"/>
      <c r="AM142" s="42"/>
      <c r="AO142" s="42"/>
      <c r="AP142" s="42"/>
      <c r="AQ142" s="42"/>
      <c r="AR142" s="42"/>
      <c r="AS142" s="42"/>
      <c r="AT142" s="42"/>
      <c r="AU142" s="42"/>
      <c r="AV142" s="42"/>
      <c r="AW142" s="42"/>
      <c r="AY142" s="303" t="s">
        <v>390</v>
      </c>
      <c r="AZ142" s="35" t="s">
        <v>396</v>
      </c>
      <c r="CC142" s="294" t="s">
        <v>205</v>
      </c>
      <c r="CD142" s="294"/>
      <c r="CE142" s="294"/>
      <c r="CF142" s="294"/>
      <c r="CG142" s="294"/>
      <c r="CH142" s="294"/>
      <c r="CI142" s="294"/>
      <c r="CJ142" s="294"/>
      <c r="CK142" s="294"/>
    </row>
    <row r="143" spans="1:93" x14ac:dyDescent="0.2">
      <c r="AE143" s="294" t="s">
        <v>407</v>
      </c>
      <c r="AF143" s="294"/>
      <c r="AG143" s="294"/>
      <c r="AH143" s="294"/>
      <c r="AI143" s="294"/>
      <c r="AJ143" s="294"/>
      <c r="AK143" s="294"/>
      <c r="AL143" s="294"/>
      <c r="AM143" s="294"/>
      <c r="AO143" s="42"/>
      <c r="AP143" s="42"/>
      <c r="AQ143" s="42"/>
      <c r="AR143" s="42"/>
      <c r="AS143" s="42"/>
      <c r="AT143" s="42"/>
      <c r="AU143" s="42"/>
      <c r="AV143" s="42"/>
      <c r="AW143" s="42"/>
      <c r="AY143" s="303"/>
      <c r="AZ143" s="25" t="s">
        <v>391</v>
      </c>
      <c r="BI143" s="302" t="str">
        <f>IF(G8="IC - Internal Combustion","IC: EV Acc. tab disabled, complete all other tabs","EV: Complete all other tabs")</f>
        <v>IC: EV Acc. tab disabled, complete all other tabs</v>
      </c>
      <c r="BJ143" s="302"/>
      <c r="BK143" s="302"/>
      <c r="BL143" s="302"/>
      <c r="BM143" s="302"/>
      <c r="BN143" s="302"/>
      <c r="BO143" s="302"/>
      <c r="BP143" s="302"/>
      <c r="BQ143" s="302"/>
      <c r="CC143" s="294"/>
      <c r="CD143" s="294"/>
      <c r="CE143" s="294"/>
      <c r="CF143" s="294"/>
      <c r="CG143" s="294"/>
      <c r="CH143" s="294"/>
      <c r="CI143" s="294"/>
      <c r="CJ143" s="294"/>
      <c r="CK143" s="294"/>
    </row>
    <row r="144" spans="1:93" x14ac:dyDescent="0.2">
      <c r="AE144" s="294"/>
      <c r="AF144" s="294"/>
      <c r="AG144" s="294"/>
      <c r="AH144" s="294"/>
      <c r="AI144" s="294"/>
      <c r="AJ144" s="294"/>
      <c r="AK144" s="294"/>
      <c r="AL144" s="294"/>
      <c r="AM144" s="294"/>
      <c r="AO144" s="42"/>
      <c r="AP144" s="42"/>
      <c r="AQ144" s="42"/>
      <c r="AR144" s="42"/>
      <c r="AS144" s="42"/>
      <c r="AT144" s="42"/>
      <c r="AU144" s="42"/>
      <c r="AV144" s="42"/>
      <c r="AW144" s="42"/>
      <c r="AZ144" s="25" t="s">
        <v>392</v>
      </c>
      <c r="BI144" s="302"/>
      <c r="BJ144" s="302"/>
      <c r="BK144" s="302"/>
      <c r="BL144" s="302"/>
      <c r="BM144" s="302"/>
      <c r="BN144" s="302"/>
      <c r="BO144" s="302"/>
      <c r="BP144" s="302"/>
      <c r="BQ144" s="302"/>
      <c r="CC144" s="294"/>
      <c r="CD144" s="294"/>
      <c r="CE144" s="294"/>
      <c r="CF144" s="294"/>
      <c r="CG144" s="294"/>
      <c r="CH144" s="294"/>
      <c r="CI144" s="294"/>
      <c r="CJ144" s="294"/>
      <c r="CK144" s="294"/>
      <c r="CO144" s="22"/>
    </row>
    <row r="145" spans="1:93" ht="15.75" customHeight="1" x14ac:dyDescent="0.2">
      <c r="AE145" s="294" t="s">
        <v>472</v>
      </c>
      <c r="AF145" s="294"/>
      <c r="AG145" s="294"/>
      <c r="AH145" s="294"/>
      <c r="AI145" s="294"/>
      <c r="AJ145" s="294"/>
      <c r="AK145" s="294"/>
      <c r="AL145" s="294"/>
      <c r="AM145" s="294"/>
      <c r="AO145" s="42"/>
      <c r="AP145" s="42"/>
      <c r="AQ145" s="42"/>
      <c r="AR145" s="42"/>
      <c r="AS145" s="42"/>
      <c r="AT145" s="42"/>
      <c r="AU145" s="42"/>
      <c r="AV145" s="42"/>
      <c r="AW145" s="42"/>
      <c r="BQ145" s="13"/>
      <c r="CC145" s="294"/>
      <c r="CD145" s="294"/>
      <c r="CE145" s="294"/>
      <c r="CF145" s="294"/>
      <c r="CG145" s="294"/>
      <c r="CH145" s="294"/>
      <c r="CI145" s="294"/>
      <c r="CJ145" s="294"/>
      <c r="CK145" s="294"/>
      <c r="CO145" s="22"/>
    </row>
    <row r="146" spans="1:93" ht="15" customHeight="1" x14ac:dyDescent="0.2">
      <c r="AE146" s="294"/>
      <c r="AF146" s="294"/>
      <c r="AG146" s="294"/>
      <c r="AH146" s="294"/>
      <c r="AI146" s="294"/>
      <c r="AJ146" s="294"/>
      <c r="AK146" s="294"/>
      <c r="AL146" s="294"/>
      <c r="AM146" s="294"/>
      <c r="AO146" s="42"/>
      <c r="AP146" s="42"/>
      <c r="AQ146" s="42"/>
      <c r="AR146" s="42"/>
      <c r="AS146" s="42"/>
      <c r="AT146" s="42"/>
      <c r="AU146" s="42"/>
      <c r="AV146" s="42"/>
      <c r="AW146" s="42"/>
      <c r="AY146" s="303" t="s">
        <v>393</v>
      </c>
      <c r="AZ146" s="35" t="s">
        <v>410</v>
      </c>
      <c r="BI146" s="301" t="str">
        <f>C12</f>
        <v>EQ</v>
      </c>
      <c r="BJ146" s="301"/>
      <c r="BK146" s="301" t="s">
        <v>215</v>
      </c>
      <c r="BL146" s="301"/>
      <c r="BM146" s="301"/>
      <c r="BN146" s="301"/>
      <c r="BO146" s="301"/>
      <c r="BP146" s="301"/>
      <c r="BQ146" s="301"/>
      <c r="CC146" s="10"/>
      <c r="CD146" s="10"/>
      <c r="CE146" s="10"/>
      <c r="CF146" s="10"/>
      <c r="CG146" s="10"/>
      <c r="CH146" s="10"/>
      <c r="CI146" s="10"/>
      <c r="CJ146" s="10"/>
      <c r="CK146" s="10"/>
      <c r="CO146" s="22"/>
    </row>
    <row r="147" spans="1:93" ht="15" customHeight="1" x14ac:dyDescent="0.2">
      <c r="AE147" s="294" t="s">
        <v>471</v>
      </c>
      <c r="AF147" s="294"/>
      <c r="AG147" s="294"/>
      <c r="AH147" s="294"/>
      <c r="AI147" s="294"/>
      <c r="AJ147" s="294"/>
      <c r="AK147" s="294"/>
      <c r="AL147" s="294"/>
      <c r="AM147" s="294"/>
      <c r="AO147" s="42"/>
      <c r="AP147" s="42"/>
      <c r="AQ147" s="42"/>
      <c r="AR147" s="42"/>
      <c r="AS147" s="42"/>
      <c r="AT147" s="42"/>
      <c r="AU147" s="42"/>
      <c r="AV147" s="42"/>
      <c r="AW147" s="42"/>
      <c r="AY147" s="303"/>
      <c r="AZ147" s="25" t="s">
        <v>394</v>
      </c>
      <c r="BI147" s="301"/>
      <c r="BJ147" s="301"/>
      <c r="BK147" s="301"/>
      <c r="BL147" s="301"/>
      <c r="BM147" s="301"/>
      <c r="BN147" s="301"/>
      <c r="BO147" s="301"/>
      <c r="BP147" s="301"/>
      <c r="BQ147" s="301"/>
      <c r="CC147" s="10"/>
      <c r="CD147" s="10"/>
      <c r="CE147" s="10"/>
      <c r="CF147" s="10"/>
      <c r="CG147" s="10"/>
      <c r="CH147" s="10"/>
      <c r="CI147" s="10"/>
      <c r="CJ147" s="10"/>
      <c r="CK147" s="10"/>
      <c r="CO147" s="22"/>
    </row>
    <row r="148" spans="1:93" ht="15" customHeight="1" x14ac:dyDescent="0.2">
      <c r="AE148" s="294"/>
      <c r="AF148" s="294"/>
      <c r="AG148" s="294"/>
      <c r="AH148" s="294"/>
      <c r="AI148" s="294"/>
      <c r="AJ148" s="294"/>
      <c r="AK148" s="294"/>
      <c r="AL148" s="294"/>
      <c r="AM148" s="294"/>
      <c r="AO148" s="42"/>
      <c r="AP148" s="42"/>
      <c r="AQ148" s="42"/>
      <c r="AR148" s="42"/>
      <c r="AS148" s="42"/>
      <c r="AT148" s="42"/>
      <c r="AU148" s="42"/>
      <c r="AV148" s="42"/>
      <c r="AW148" s="42"/>
      <c r="AZ148" s="25" t="s">
        <v>395</v>
      </c>
      <c r="BI148" s="301" t="str">
        <f>IF(G8="IC - Internal Combustion","N/A",'F.10-11 EV Accumulator'!A17)</f>
        <v>N/A</v>
      </c>
      <c r="BJ148" s="301"/>
      <c r="BK148" s="301" t="s">
        <v>140</v>
      </c>
      <c r="BL148" s="301"/>
      <c r="BM148" s="301"/>
      <c r="BN148" s="301"/>
      <c r="BO148" s="301"/>
      <c r="BP148" s="301"/>
      <c r="BQ148" s="301"/>
      <c r="CC148" s="10"/>
      <c r="CD148" s="10"/>
      <c r="CE148" s="10"/>
      <c r="CF148" s="10"/>
      <c r="CG148" s="10"/>
      <c r="CH148" s="10"/>
      <c r="CI148" s="10"/>
      <c r="CJ148" s="10"/>
      <c r="CK148" s="10"/>
      <c r="CO148" s="22"/>
    </row>
    <row r="149" spans="1:93" ht="15" customHeight="1" x14ac:dyDescent="0.2">
      <c r="AE149" s="294" t="s">
        <v>517</v>
      </c>
      <c r="AF149" s="294"/>
      <c r="AG149" s="294"/>
      <c r="AH149" s="294"/>
      <c r="AI149" s="294"/>
      <c r="AJ149" s="294"/>
      <c r="AK149" s="294"/>
      <c r="AL149" s="294"/>
      <c r="AM149" s="294"/>
      <c r="AO149" s="42"/>
      <c r="AP149" s="42"/>
      <c r="AQ149" s="42"/>
      <c r="AR149" s="42"/>
      <c r="AS149" s="42"/>
      <c r="AT149" s="42"/>
      <c r="AU149" s="42"/>
      <c r="AV149" s="42"/>
      <c r="AW149" s="42"/>
      <c r="AZ149" s="25" t="s">
        <v>399</v>
      </c>
      <c r="BI149" s="301"/>
      <c r="BJ149" s="301"/>
      <c r="BK149" s="301"/>
      <c r="BL149" s="301"/>
      <c r="BM149" s="301"/>
      <c r="BN149" s="301"/>
      <c r="BO149" s="301"/>
      <c r="BP149" s="301"/>
      <c r="BQ149" s="301"/>
      <c r="CC149" s="10"/>
      <c r="CD149" s="10"/>
      <c r="CE149" s="10"/>
      <c r="CF149" s="10"/>
      <c r="CG149" s="10"/>
      <c r="CH149" s="10"/>
      <c r="CI149" s="10"/>
      <c r="CJ149" s="10"/>
      <c r="CK149" s="10"/>
      <c r="CO149" s="22"/>
    </row>
    <row r="150" spans="1:93" ht="15" customHeight="1" x14ac:dyDescent="0.2">
      <c r="A150" s="35" t="s">
        <v>215</v>
      </c>
      <c r="AE150" s="294"/>
      <c r="AF150" s="294"/>
      <c r="AG150" s="294"/>
      <c r="AH150" s="294"/>
      <c r="AI150" s="294"/>
      <c r="AJ150" s="294"/>
      <c r="AK150" s="294"/>
      <c r="AL150" s="294"/>
      <c r="AM150" s="294"/>
      <c r="AO150" s="42"/>
      <c r="AP150" s="42"/>
      <c r="AQ150" s="42"/>
      <c r="AR150" s="42"/>
      <c r="AS150" s="42"/>
      <c r="AT150" s="42"/>
      <c r="AU150" s="42"/>
      <c r="AV150" s="42"/>
      <c r="AW150" s="42"/>
      <c r="BI150" s="301" t="str">
        <f ca="1">'F.8 Front Protection'!A17</f>
        <v>EQ</v>
      </c>
      <c r="BJ150" s="301"/>
      <c r="BK150" s="301" t="s">
        <v>296</v>
      </c>
      <c r="BL150" s="301"/>
      <c r="BM150" s="301"/>
      <c r="BN150" s="301"/>
      <c r="BO150" s="301"/>
      <c r="BP150" s="301"/>
      <c r="BQ150" s="301"/>
      <c r="CC150" s="10"/>
      <c r="CD150" s="10"/>
      <c r="CE150" s="10"/>
      <c r="CF150" s="10"/>
      <c r="CG150" s="10"/>
      <c r="CH150" s="10"/>
      <c r="CI150" s="10"/>
      <c r="CJ150" s="10"/>
      <c r="CK150" s="10"/>
      <c r="CO150" s="22"/>
    </row>
    <row r="151" spans="1:93" x14ac:dyDescent="0.2">
      <c r="AE151" s="42"/>
      <c r="AF151" s="42"/>
      <c r="AG151" s="42"/>
      <c r="AH151" s="42"/>
      <c r="AI151" s="42"/>
      <c r="AJ151" s="42"/>
      <c r="AK151" s="42"/>
      <c r="AL151" s="42"/>
      <c r="AM151" s="42"/>
      <c r="AO151" s="42"/>
      <c r="AP151" s="42"/>
      <c r="AQ151" s="42"/>
      <c r="AR151" s="42"/>
      <c r="AS151" s="42"/>
      <c r="AT151" s="42"/>
      <c r="AU151" s="42"/>
      <c r="AV151" s="42"/>
      <c r="AW151" s="42"/>
      <c r="BI151" s="301"/>
      <c r="BJ151" s="301"/>
      <c r="BK151" s="301"/>
      <c r="BL151" s="301"/>
      <c r="BM151" s="301"/>
      <c r="BN151" s="301"/>
      <c r="BO151" s="301"/>
      <c r="BP151" s="301"/>
      <c r="BQ151" s="301"/>
      <c r="CC151" s="42"/>
      <c r="CD151" s="42"/>
      <c r="CE151" s="42"/>
      <c r="CF151" s="42"/>
      <c r="CG151" s="42"/>
      <c r="CH151" s="42"/>
      <c r="CI151" s="42"/>
      <c r="CJ151" s="42"/>
      <c r="CK151" s="42"/>
    </row>
    <row r="152" spans="1:93" ht="15" customHeight="1" x14ac:dyDescent="0.2">
      <c r="AE152" s="42"/>
      <c r="AF152" s="42"/>
      <c r="AG152" s="42"/>
      <c r="AH152" s="42"/>
      <c r="AI152" s="42"/>
      <c r="AJ152" s="42"/>
      <c r="AK152" s="42"/>
      <c r="AL152" s="42"/>
      <c r="AM152" s="42"/>
      <c r="AO152" s="294" t="s">
        <v>475</v>
      </c>
      <c r="AP152" s="294"/>
      <c r="AQ152" s="294"/>
      <c r="AR152" s="294"/>
      <c r="AS152" s="294"/>
      <c r="AT152" s="294"/>
      <c r="AU152" s="294"/>
      <c r="AV152" s="294"/>
      <c r="AW152" s="294"/>
      <c r="BI152" s="301" t="str">
        <f>'F.3.4.3 Welded Inserts'!A19</f>
        <v>EQ</v>
      </c>
      <c r="BJ152" s="301"/>
      <c r="BK152" s="301" t="s">
        <v>297</v>
      </c>
      <c r="BL152" s="301"/>
      <c r="BM152" s="301"/>
      <c r="BN152" s="301"/>
      <c r="BO152" s="301"/>
      <c r="BP152" s="301"/>
      <c r="BQ152" s="301"/>
      <c r="CC152" s="42"/>
      <c r="CD152" s="42"/>
      <c r="CE152" s="42"/>
      <c r="CF152" s="42"/>
      <c r="CG152" s="42"/>
      <c r="CH152" s="42"/>
      <c r="CI152" s="42"/>
      <c r="CJ152" s="42"/>
      <c r="CK152" s="42"/>
    </row>
    <row r="153" spans="1:93" ht="15" customHeight="1" x14ac:dyDescent="0.2">
      <c r="AE153" s="42"/>
      <c r="AF153" s="42"/>
      <c r="AG153" s="42"/>
      <c r="AH153" s="42"/>
      <c r="AI153" s="42"/>
      <c r="AJ153" s="42"/>
      <c r="AK153" s="42"/>
      <c r="AL153" s="42"/>
      <c r="AM153" s="42"/>
      <c r="AO153" s="294"/>
      <c r="AP153" s="294"/>
      <c r="AQ153" s="294"/>
      <c r="AR153" s="294"/>
      <c r="AS153" s="294"/>
      <c r="AT153" s="294"/>
      <c r="AU153" s="294"/>
      <c r="AV153" s="294"/>
      <c r="AW153" s="294"/>
      <c r="BI153" s="301"/>
      <c r="BJ153" s="301"/>
      <c r="BK153" s="301"/>
      <c r="BL153" s="301"/>
      <c r="BM153" s="301"/>
      <c r="BN153" s="301"/>
      <c r="BO153" s="301"/>
      <c r="BP153" s="301"/>
      <c r="BQ153" s="301"/>
      <c r="CC153" s="42"/>
      <c r="CD153" s="42"/>
      <c r="CE153" s="42"/>
      <c r="CF153" s="42"/>
      <c r="CG153" s="42"/>
      <c r="CH153" s="42"/>
      <c r="CI153" s="42"/>
      <c r="CJ153" s="42"/>
      <c r="CK153" s="42"/>
    </row>
    <row r="154" spans="1:93" ht="15" customHeight="1" x14ac:dyDescent="0.2">
      <c r="AE154" s="42"/>
      <c r="AF154" s="42"/>
      <c r="AG154" s="42"/>
      <c r="AH154" s="42"/>
      <c r="AI154" s="42"/>
      <c r="AJ154" s="42"/>
      <c r="AK154" s="42"/>
      <c r="AL154" s="42"/>
      <c r="AM154" s="42"/>
      <c r="AO154" s="294" t="s">
        <v>476</v>
      </c>
      <c r="AP154" s="294"/>
      <c r="AQ154" s="294"/>
      <c r="AR154" s="294"/>
      <c r="AS154" s="294"/>
      <c r="AT154" s="294"/>
      <c r="AU154" s="294"/>
      <c r="AV154" s="294"/>
      <c r="AW154" s="294"/>
      <c r="BI154" s="301" t="str">
        <f>IF(BO133="No","N/A",'F.5.12 Bolted Members'!A27)</f>
        <v>N/A</v>
      </c>
      <c r="BJ154" s="301"/>
      <c r="BK154" s="301" t="s">
        <v>298</v>
      </c>
      <c r="BL154" s="301"/>
      <c r="BM154" s="301"/>
      <c r="BN154" s="301"/>
      <c r="BO154" s="301"/>
      <c r="BP154" s="301"/>
      <c r="BQ154" s="301"/>
      <c r="CC154" s="42"/>
      <c r="CD154" s="42"/>
      <c r="CE154" s="42"/>
      <c r="CF154" s="42"/>
      <c r="CG154" s="42"/>
      <c r="CH154" s="42"/>
      <c r="CI154" s="42"/>
      <c r="CJ154" s="42"/>
      <c r="CK154" s="42"/>
    </row>
    <row r="155" spans="1:93" ht="15" customHeight="1" x14ac:dyDescent="0.2">
      <c r="AE155" s="42"/>
      <c r="AF155" s="42"/>
      <c r="AG155" s="42"/>
      <c r="AH155" s="42"/>
      <c r="AI155" s="42"/>
      <c r="AJ155" s="42"/>
      <c r="AK155" s="42"/>
      <c r="AL155" s="42"/>
      <c r="AM155" s="42"/>
      <c r="AO155" s="294"/>
      <c r="AP155" s="294"/>
      <c r="AQ155" s="294"/>
      <c r="AR155" s="294"/>
      <c r="AS155" s="294"/>
      <c r="AT155" s="294"/>
      <c r="AU155" s="294"/>
      <c r="AV155" s="294"/>
      <c r="AW155" s="294"/>
      <c r="BI155" s="301"/>
      <c r="BJ155" s="301"/>
      <c r="BK155" s="301"/>
      <c r="BL155" s="301"/>
      <c r="BM155" s="301"/>
      <c r="BN155" s="301"/>
      <c r="BO155" s="301"/>
      <c r="BP155" s="301"/>
      <c r="BQ155" s="301"/>
      <c r="CC155" s="42"/>
      <c r="CD155" s="42"/>
      <c r="CE155" s="42"/>
      <c r="CF155" s="42"/>
      <c r="CG155" s="42"/>
      <c r="CH155" s="42"/>
      <c r="CI155" s="42"/>
      <c r="CJ155" s="42"/>
      <c r="CK155" s="42"/>
    </row>
    <row r="156" spans="1:93" ht="15" customHeight="1" x14ac:dyDescent="0.2">
      <c r="AE156" s="42"/>
      <c r="AF156" s="42"/>
      <c r="AG156" s="42"/>
      <c r="AH156" s="42"/>
      <c r="AI156" s="42"/>
      <c r="AJ156" s="42"/>
      <c r="AK156" s="42"/>
      <c r="AL156" s="42"/>
      <c r="AM156" s="42"/>
      <c r="AO156" s="294" t="s">
        <v>477</v>
      </c>
      <c r="AP156" s="294"/>
      <c r="AQ156" s="294"/>
      <c r="AR156" s="294"/>
      <c r="AS156" s="294"/>
      <c r="AT156" s="294"/>
      <c r="AU156" s="294"/>
      <c r="AV156" s="294"/>
      <c r="AW156" s="294"/>
      <c r="BI156" s="301" t="str">
        <f ca="1">J10</f>
        <v>YES</v>
      </c>
      <c r="BJ156" s="301"/>
      <c r="BK156" s="301" t="s">
        <v>8</v>
      </c>
      <c r="BL156" s="301"/>
      <c r="BM156" s="301"/>
      <c r="BN156" s="301"/>
      <c r="BO156" s="301"/>
      <c r="BP156" s="301"/>
      <c r="BQ156" s="301"/>
      <c r="CC156" s="42"/>
      <c r="CD156" s="42"/>
      <c r="CE156" s="42"/>
      <c r="CF156" s="42"/>
      <c r="CG156" s="42"/>
      <c r="CH156" s="42"/>
      <c r="CI156" s="42"/>
      <c r="CJ156" s="42"/>
      <c r="CK156" s="42"/>
    </row>
    <row r="157" spans="1:93" ht="15" customHeight="1" x14ac:dyDescent="0.2">
      <c r="AE157" s="42"/>
      <c r="AF157" s="42"/>
      <c r="AG157" s="42"/>
      <c r="AH157" s="42"/>
      <c r="AI157" s="42"/>
      <c r="AJ157" s="42"/>
      <c r="AK157" s="42"/>
      <c r="AL157" s="42"/>
      <c r="AM157" s="42"/>
      <c r="AO157" s="294"/>
      <c r="AP157" s="294"/>
      <c r="AQ157" s="294"/>
      <c r="AR157" s="294"/>
      <c r="AS157" s="294"/>
      <c r="AT157" s="294"/>
      <c r="AU157" s="294"/>
      <c r="AV157" s="294"/>
      <c r="AW157" s="294"/>
      <c r="BI157" s="301"/>
      <c r="BJ157" s="301"/>
      <c r="BK157" s="301"/>
      <c r="BL157" s="301"/>
      <c r="BM157" s="301"/>
      <c r="BN157" s="301"/>
      <c r="BO157" s="301"/>
      <c r="BP157" s="301"/>
      <c r="BQ157" s="301"/>
    </row>
    <row r="158" spans="1:93" x14ac:dyDescent="0.2">
      <c r="AO158" s="42"/>
      <c r="AP158" s="42"/>
      <c r="AQ158" s="42"/>
      <c r="AR158" s="42"/>
      <c r="AS158" s="42"/>
      <c r="AT158" s="42"/>
      <c r="AU158" s="42"/>
      <c r="AV158" s="42"/>
      <c r="AW158" s="42"/>
    </row>
    <row r="159" spans="1:93" x14ac:dyDescent="0.2">
      <c r="AO159" s="42"/>
      <c r="AP159" s="42"/>
      <c r="AQ159" s="42"/>
      <c r="AR159" s="42"/>
      <c r="AS159" s="42"/>
      <c r="AT159" s="42"/>
      <c r="AU159" s="42"/>
      <c r="AV159" s="42"/>
      <c r="AW159" s="42"/>
    </row>
    <row r="160" spans="1:93" x14ac:dyDescent="0.2">
      <c r="AO160" s="42"/>
      <c r="AP160" s="42"/>
      <c r="AQ160" s="42"/>
      <c r="AR160" s="42"/>
      <c r="AS160" s="42"/>
      <c r="AT160" s="42"/>
      <c r="AU160" s="42"/>
      <c r="AV160" s="42"/>
      <c r="AW160" s="42"/>
    </row>
    <row r="161" spans="41:49" x14ac:dyDescent="0.2">
      <c r="AO161" s="42"/>
      <c r="AP161" s="42"/>
      <c r="AQ161" s="42"/>
      <c r="AR161" s="42"/>
      <c r="AS161" s="42"/>
      <c r="AT161" s="42"/>
      <c r="AU161" s="42"/>
      <c r="AV161" s="42"/>
      <c r="AW161" s="42"/>
    </row>
    <row r="162" spans="41:49" x14ac:dyDescent="0.2">
      <c r="AO162" s="42"/>
      <c r="AP162" s="42"/>
      <c r="AQ162" s="42"/>
      <c r="AR162" s="42"/>
      <c r="AS162" s="42"/>
      <c r="AT162" s="42"/>
      <c r="AU162" s="42"/>
      <c r="AV162" s="42"/>
      <c r="AW162" s="42"/>
    </row>
    <row r="163" spans="41:49" x14ac:dyDescent="0.2">
      <c r="AO163" s="42"/>
      <c r="AP163" s="42"/>
      <c r="AQ163" s="42"/>
      <c r="AR163" s="42"/>
      <c r="AS163" s="42"/>
      <c r="AT163" s="42"/>
      <c r="AU163" s="42"/>
      <c r="AV163" s="42"/>
      <c r="AW163" s="42"/>
    </row>
    <row r="164" spans="41:49" x14ac:dyDescent="0.2">
      <c r="AO164" s="42"/>
      <c r="AP164" s="42"/>
      <c r="AQ164" s="42"/>
      <c r="AR164" s="42"/>
      <c r="AS164" s="42"/>
      <c r="AT164" s="42"/>
      <c r="AU164" s="42"/>
      <c r="AV164" s="42"/>
      <c r="AW164" s="42"/>
    </row>
    <row r="165" spans="41:49" x14ac:dyDescent="0.2">
      <c r="AO165" s="42"/>
      <c r="AP165" s="42"/>
      <c r="AQ165" s="42"/>
      <c r="AR165" s="42"/>
      <c r="AS165" s="42"/>
      <c r="AT165" s="42"/>
      <c r="AU165" s="42"/>
      <c r="AV165" s="42"/>
      <c r="AW165" s="42"/>
    </row>
    <row r="166" spans="41:49" x14ac:dyDescent="0.2">
      <c r="AO166" s="42"/>
      <c r="AP166" s="42"/>
      <c r="AQ166" s="42"/>
      <c r="AR166" s="42"/>
      <c r="AS166" s="42"/>
      <c r="AT166" s="42"/>
      <c r="AU166" s="42"/>
      <c r="AV166" s="42"/>
      <c r="AW166" s="42"/>
    </row>
  </sheetData>
  <sheetProtection algorithmName="SHA-512" hashValue="C/tr72Je82/C/K6DbPrsMYxnqa00ZOppiXvITIlZXpuAtckpd16o8eqzixe0wnaB/k0iCRJni4zhrCYD/+buAg==" saltValue="kfNdewlIEmWTx4hIBALqPA==" spinCount="100000" sheet="1" insertHyperlinks="0"/>
  <mergeCells count="203">
    <mergeCell ref="CC142:CK143"/>
    <mergeCell ref="CC144:CK145"/>
    <mergeCell ref="U39:AC40"/>
    <mergeCell ref="AO94:AW94"/>
    <mergeCell ref="AE108:AM108"/>
    <mergeCell ref="AG109:AH109"/>
    <mergeCell ref="AK114:AL114"/>
    <mergeCell ref="AO100:AW100"/>
    <mergeCell ref="AA122:AB122"/>
    <mergeCell ref="U121:AC121"/>
    <mergeCell ref="AA111:AB111"/>
    <mergeCell ref="AO56:AP57"/>
    <mergeCell ref="AY142:AY143"/>
    <mergeCell ref="CI101:CJ101"/>
    <mergeCell ref="FI1:FP2"/>
    <mergeCell ref="AG13:AO14"/>
    <mergeCell ref="CN91:CT92"/>
    <mergeCell ref="BS78:CA78"/>
    <mergeCell ref="BS98:CA98"/>
    <mergeCell ref="BI56:BJ57"/>
    <mergeCell ref="CN27:CP28"/>
    <mergeCell ref="BK56:BQ57"/>
    <mergeCell ref="CC39:CK40"/>
    <mergeCell ref="CC41:CK42"/>
    <mergeCell ref="BS56:BT57"/>
    <mergeCell ref="BU56:CA57"/>
    <mergeCell ref="CC56:CD57"/>
    <mergeCell ref="CE56:CK57"/>
    <mergeCell ref="AG56:AM57"/>
    <mergeCell ref="AF9:AP10"/>
    <mergeCell ref="AU11:BC12"/>
    <mergeCell ref="AU83:AV83"/>
    <mergeCell ref="AT15:BD16"/>
    <mergeCell ref="BM10:CG11"/>
    <mergeCell ref="BM13:CG14"/>
    <mergeCell ref="AU72:AV72"/>
    <mergeCell ref="AO58:AW59"/>
    <mergeCell ref="AG11:AO12"/>
    <mergeCell ref="C2:J2"/>
    <mergeCell ref="E7:F7"/>
    <mergeCell ref="A17:C24"/>
    <mergeCell ref="CN7:CW12"/>
    <mergeCell ref="EZ1:FG2"/>
    <mergeCell ref="ED1:EJ2"/>
    <mergeCell ref="EK1:EY2"/>
    <mergeCell ref="AE56:AF57"/>
    <mergeCell ref="CY1:DU2"/>
    <mergeCell ref="DV1:EC2"/>
    <mergeCell ref="AT9:BD10"/>
    <mergeCell ref="AE41:AM42"/>
    <mergeCell ref="AY41:BG42"/>
    <mergeCell ref="AO39:AW40"/>
    <mergeCell ref="AY39:BG40"/>
    <mergeCell ref="BI39:BQ40"/>
    <mergeCell ref="BS39:CA40"/>
    <mergeCell ref="C1:J1"/>
    <mergeCell ref="C8:D8"/>
    <mergeCell ref="CN25:CO25"/>
    <mergeCell ref="AU13:BC14"/>
    <mergeCell ref="E8:F8"/>
    <mergeCell ref="G8:J8"/>
    <mergeCell ref="A8:B8"/>
    <mergeCell ref="A27:J30"/>
    <mergeCell ref="C3:D3"/>
    <mergeCell ref="C4:D4"/>
    <mergeCell ref="C5:J5"/>
    <mergeCell ref="C6:J6"/>
    <mergeCell ref="I3:J3"/>
    <mergeCell ref="I4:J4"/>
    <mergeCell ref="G3:H3"/>
    <mergeCell ref="G4:H4"/>
    <mergeCell ref="E3:F3"/>
    <mergeCell ref="E4:F4"/>
    <mergeCell ref="A7:B7"/>
    <mergeCell ref="C7:D7"/>
    <mergeCell ref="G7:J7"/>
    <mergeCell ref="A25:H26"/>
    <mergeCell ref="I25:K26"/>
    <mergeCell ref="D10:I11"/>
    <mergeCell ref="A10:C11"/>
    <mergeCell ref="J10:K11"/>
    <mergeCell ref="M10:AA10"/>
    <mergeCell ref="AF15:AP16"/>
    <mergeCell ref="BE84:BF84"/>
    <mergeCell ref="AY93:BG93"/>
    <mergeCell ref="CI69:CJ69"/>
    <mergeCell ref="CC99:CK99"/>
    <mergeCell ref="CC67:CK67"/>
    <mergeCell ref="Q63:R63"/>
    <mergeCell ref="K81:S81"/>
    <mergeCell ref="K75:S75"/>
    <mergeCell ref="U41:AC42"/>
    <mergeCell ref="U63:U64"/>
    <mergeCell ref="AE84:AM84"/>
    <mergeCell ref="AE58:AM59"/>
    <mergeCell ref="K56:L57"/>
    <mergeCell ref="M56:S57"/>
    <mergeCell ref="K62:S62"/>
    <mergeCell ref="K78:S78"/>
    <mergeCell ref="AE79:AM79"/>
    <mergeCell ref="AK70:AL70"/>
    <mergeCell ref="K85:S85"/>
    <mergeCell ref="AY56:AZ57"/>
    <mergeCell ref="BA56:BG57"/>
    <mergeCell ref="AY58:BG59"/>
    <mergeCell ref="CN77:CP78"/>
    <mergeCell ref="BS58:CA59"/>
    <mergeCell ref="CC81:CK81"/>
    <mergeCell ref="BY99:BZ99"/>
    <mergeCell ref="BI58:BQ59"/>
    <mergeCell ref="BI63:BQ63"/>
    <mergeCell ref="BY79:BZ79"/>
    <mergeCell ref="AY76:BG76"/>
    <mergeCell ref="BI66:BQ66"/>
    <mergeCell ref="AY80:BG80"/>
    <mergeCell ref="BO88:BP88"/>
    <mergeCell ref="BI72:BQ72"/>
    <mergeCell ref="BI86:BQ86"/>
    <mergeCell ref="BY90:BZ90"/>
    <mergeCell ref="AY83:BG83"/>
    <mergeCell ref="BI73:BO73"/>
    <mergeCell ref="BI76:BO76"/>
    <mergeCell ref="BI77:BO77"/>
    <mergeCell ref="CD83:CG83"/>
    <mergeCell ref="BE94:BF94"/>
    <mergeCell ref="BI156:BJ157"/>
    <mergeCell ref="AY146:AY147"/>
    <mergeCell ref="BI137:BQ138"/>
    <mergeCell ref="BI109:BQ109"/>
    <mergeCell ref="BS111:CA111"/>
    <mergeCell ref="BX112:BZ112"/>
    <mergeCell ref="AO156:AW157"/>
    <mergeCell ref="CC117:CK117"/>
    <mergeCell ref="BO112:BP112"/>
    <mergeCell ref="BI140:BQ141"/>
    <mergeCell ref="BY113:BZ113"/>
    <mergeCell ref="AY138:AY139"/>
    <mergeCell ref="BI132:BQ132"/>
    <mergeCell ref="AS130:AV130"/>
    <mergeCell ref="AU135:AV135"/>
    <mergeCell ref="BM127:BP127"/>
    <mergeCell ref="BK152:BQ153"/>
    <mergeCell ref="AY133:AY134"/>
    <mergeCell ref="AY116:BG117"/>
    <mergeCell ref="AO152:AW153"/>
    <mergeCell ref="AO154:AW155"/>
    <mergeCell ref="AO129:AW129"/>
    <mergeCell ref="BK156:BQ157"/>
    <mergeCell ref="BI146:BJ147"/>
    <mergeCell ref="BK146:BQ147"/>
    <mergeCell ref="BI150:BJ151"/>
    <mergeCell ref="BI148:BJ149"/>
    <mergeCell ref="BI152:BJ153"/>
    <mergeCell ref="BI75:BO75"/>
    <mergeCell ref="BI154:BJ155"/>
    <mergeCell ref="BK154:BQ155"/>
    <mergeCell ref="BK150:BQ151"/>
    <mergeCell ref="BK148:BQ149"/>
    <mergeCell ref="BN110:BP110"/>
    <mergeCell ref="BI143:BQ144"/>
    <mergeCell ref="K39:S40"/>
    <mergeCell ref="BS88:CA88"/>
    <mergeCell ref="U107:AC107"/>
    <mergeCell ref="U101:AC101"/>
    <mergeCell ref="U110:AC110"/>
    <mergeCell ref="U98:AC98"/>
    <mergeCell ref="U65:U67"/>
    <mergeCell ref="K72:S72"/>
    <mergeCell ref="BI74:BO74"/>
    <mergeCell ref="BI78:BO78"/>
    <mergeCell ref="K41:S42"/>
    <mergeCell ref="BI79:BO79"/>
    <mergeCell ref="U88:AC88"/>
    <mergeCell ref="W56:AC57"/>
    <mergeCell ref="U56:V57"/>
    <mergeCell ref="AE39:AM40"/>
    <mergeCell ref="AQ56:AW57"/>
    <mergeCell ref="AK69:AL69"/>
    <mergeCell ref="AO81:AW81"/>
    <mergeCell ref="U58:AC59"/>
    <mergeCell ref="AI109:AL109"/>
    <mergeCell ref="AU82:AV82"/>
    <mergeCell ref="AU101:AV101"/>
    <mergeCell ref="AE68:AM68"/>
    <mergeCell ref="AE149:AM150"/>
    <mergeCell ref="AO119:AW119"/>
    <mergeCell ref="AO110:AW110"/>
    <mergeCell ref="AO115:AW115"/>
    <mergeCell ref="Q88:R88"/>
    <mergeCell ref="U61:U62"/>
    <mergeCell ref="L83:R83"/>
    <mergeCell ref="AK85:AL85"/>
    <mergeCell ref="AE96:AM96"/>
    <mergeCell ref="AK97:AL97"/>
    <mergeCell ref="AA89:AB89"/>
    <mergeCell ref="AE145:AM146"/>
    <mergeCell ref="AE120:AM120"/>
    <mergeCell ref="AI121:AL121"/>
    <mergeCell ref="AK126:AL126"/>
    <mergeCell ref="AE143:AM144"/>
    <mergeCell ref="AE147:AM148"/>
    <mergeCell ref="AO123:AW123"/>
    <mergeCell ref="AO71:AW71"/>
  </mergeCells>
  <conditionalFormatting sqref="A1:XFD1048576">
    <cfRule type="expression" dxfId="39" priority="101" stopIfTrue="1">
      <formula>CELL("protect",A1)=0</formula>
    </cfRule>
    <cfRule type="beginsWith" dxfId="38" priority="102" operator="beginsWith" text="BLANK">
      <formula>LEFT(A1,LEN("BLANK"))="BLANK"</formula>
    </cfRule>
    <cfRule type="beginsWith" dxfId="37" priority="103" operator="beginsWith" text="REJECT">
      <formula>LEFT(A1,LEN("REJECT"))="REJECT"</formula>
    </cfRule>
    <cfRule type="beginsWith" dxfId="36" priority="104" operator="beginsWith" text="CHECK">
      <formula>LEFT(A1,LEN("CHECK"))="CHECK"</formula>
    </cfRule>
    <cfRule type="beginsWith" dxfId="35" priority="105" operator="beginsWith" text="EQ">
      <formula>LEFT(A1,LEN("EQ"))="EQ"</formula>
    </cfRule>
  </conditionalFormatting>
  <conditionalFormatting sqref="J10 BI156">
    <cfRule type="expression" dxfId="34" priority="201">
      <formula>$A$17="BLANK"</formula>
    </cfRule>
    <cfRule type="expression" dxfId="33" priority="202">
      <formula>$A$17="REJECT"</formula>
    </cfRule>
    <cfRule type="expression" dxfId="32" priority="203">
      <formula>$A$17="CHECK"</formula>
    </cfRule>
    <cfRule type="expression" dxfId="31" priority="204">
      <formula>$A$17="EQ"</formula>
    </cfRule>
  </conditionalFormatting>
  <dataValidations count="32">
    <dataValidation type="list" allowBlank="1" showInputMessage="1" showErrorMessage="1" sqref="M10:AA10" xr:uid="{EE3AADC3-683B-4490-98CB-05A3E261D1E2}">
      <formula1>"Cells with drop down lists are highlighted with a thick border. An initial setting is shown., Drop down options can be identified by the heavy border. Delete will clear the entry."</formula1>
    </dataValidation>
    <dataValidation type="list" allowBlank="1" showInputMessage="1" showErrorMessage="1" sqref="AA90 Q64 AK71 AA123 AU84 AU102 AK86 BE85 AA112 BE95 BY80 BY100 CI70 BO113 AK98 BO89 Q89" xr:uid="{0D05C727-6B6F-4BCC-8041-59CB7FBA84F7}">
      <formula1>"Round, Square"</formula1>
    </dataValidation>
    <dataValidation type="list" allowBlank="1" showInputMessage="1" showErrorMessage="1" sqref="AA103" xr:uid="{CF4426C8-94F5-4114-BB6F-6D15A41A611A}">
      <formula1>"Above, Below"</formula1>
    </dataValidation>
    <dataValidation type="list" allowBlank="1" showInputMessage="1" showErrorMessage="1" sqref="AA102" xr:uid="{13A9A602-DCCC-44A6-8B98-751A95C80524}">
      <formula1>"A, B, C"</formula1>
    </dataValidation>
    <dataValidation type="list" allowBlank="1" showInputMessage="1" showErrorMessage="1" sqref="BO67 BE77" xr:uid="{8D31A27F-876A-4B03-A09B-4FC7757176A6}">
      <formula1>"Rearward, Forward"</formula1>
    </dataValidation>
    <dataValidation type="list" allowBlank="1" showInputMessage="1" showErrorMessage="1" sqref="AK69:AL69" xr:uid="{5E74E888-E4EB-4120-B010-7D393438875B}">
      <formula1>"Straight, Bent / Multi Tube"</formula1>
    </dataValidation>
    <dataValidation type="list" showInputMessage="1" showErrorMessage="1" sqref="E8:F8" xr:uid="{E2D7A804-846A-4747-A54C-01EACD9CEDA4}">
      <formula1>"Select Drop Down, All Steel Tube, Other Equivalence"</formula1>
    </dataValidation>
    <dataValidation type="list" showInputMessage="1" showErrorMessage="1" sqref="G8:J8" xr:uid="{2ADC9C6B-E00D-412D-B018-274E63790F59}">
      <formula1>"Select Drop Down, IC - Internal Combustion, EV - Steel Accumulator Container, EV - Aluminum Accumulator Container, EV - Other Equivalence"</formula1>
    </dataValidation>
    <dataValidation type="list" allowBlank="1" showInputMessage="1" showErrorMessage="1" sqref="A25" xr:uid="{187A201D-DD73-4DB7-90DC-651E9627400E}">
      <formula1>"mm, Inch"</formula1>
    </dataValidation>
    <dataValidation type="list" allowBlank="1" showInputMessage="1" showErrorMessage="1" sqref="AU82:AV82" xr:uid="{47F7541C-35D1-4856-BFC4-63E5DE818E12}">
      <formula1>"Straight, Bent Round Tube"</formula1>
    </dataValidation>
    <dataValidation type="list" allowBlank="1" showInputMessage="1" showErrorMessage="1" sqref="BN110:BP110" xr:uid="{0CB9BEA7-D5B3-4A2A-B30D-3C586C4B1CA0}">
      <formula1>"No rear wing., Wing not mounted to MHB or MH., Wing mounted to MHB nodes., Mounted on MHB with Brace."</formula1>
    </dataValidation>
    <dataValidation type="list" allowBlank="1" showInputMessage="1" showErrorMessage="1" sqref="CI69:CJ69" xr:uid="{0046BAF7-2047-489D-A3A1-CB33DA6039C9}">
      <formula1>"Tube, Diff Carrier Diagonal, Billet Plate"</formula1>
    </dataValidation>
    <dataValidation type="list" allowBlank="1" showInputMessage="1" showErrorMessage="1" sqref="AU111 AU116" xr:uid="{D00E05B0-8DB7-4B0D-BD0C-5C1DAD80C6BD}">
      <formula1>"Rearward, Forward, Vertical"</formula1>
    </dataValidation>
    <dataValidation type="list" allowBlank="1" showInputMessage="1" showErrorMessage="1" sqref="BX112:BZ112" xr:uid="{AA1A5AFB-829C-45C5-B281-F650AE1876B8}">
      <formula1>"Inside Frame Envelope, Outboard Wheel Motors"</formula1>
    </dataValidation>
    <dataValidation type="list" allowBlank="1" showInputMessage="1" showErrorMessage="1" sqref="BO88:BP88 BO133:BO135" xr:uid="{D53169EC-5815-4C84-A90D-9E88D53F8F4B}">
      <formula1>"Yes, No"</formula1>
    </dataValidation>
    <dataValidation type="list" allowBlank="1" showInputMessage="1" showErrorMessage="1" sqref="Q86" xr:uid="{8529B14C-2AF4-4F04-8051-7B5896559D6D}">
      <formula1>"Inside, Above, Below"</formula1>
    </dataValidation>
    <dataValidation type="list" allowBlank="1" showInputMessage="1" showErrorMessage="1" sqref="AK108:AL108 AK120:AL120 AU129:AV129 CI117:CJ117" xr:uid="{230D820B-0C16-40EE-A64A-6B83D6542D65}">
      <formula1>"Select drop down:, No rear wing., All at nodes., Away from MHB."</formula1>
    </dataValidation>
    <dataValidation type="list" allowBlank="1" showInputMessage="1" showErrorMessage="1" sqref="BY90:BZ90" xr:uid="{9BCE1432-AC21-482E-B47D-4990B34A5219}">
      <formula1>"&gt;=240mm, Above Accumulator"</formula1>
    </dataValidation>
    <dataValidation type="list" allowBlank="1" showInputMessage="1" showErrorMessage="1" sqref="BM127:BP127" xr:uid="{D82B8F7B-F780-437B-963E-0015CB1BC457}">
      <formula1>"Fastener Shear Dialogue, Wing Support Hand Calc"</formula1>
    </dataValidation>
    <dataValidation type="list" allowBlank="1" showInputMessage="1" showErrorMessage="1" sqref="BI79:BO79" xr:uid="{E4060E02-AB66-4C1B-BC0A-F0CD9922A720}">
      <formula1>"No pressurized cylinder, Image shows outside cockpit+inside chassis+below SH+not point at driver"</formula1>
    </dataValidation>
    <dataValidation type="list" allowBlank="1" showInputMessage="1" showErrorMessage="1" sqref="BI73:BO73" xr:uid="{07745A72-D3C4-4D6B-ACF4-AB16FC0B32A3}">
      <formula1>"Image shows LV battery inside main chassis &amp; below SH height, Image shows LV battery inside additional structure &amp; below SH height"</formula1>
    </dataValidation>
    <dataValidation type="list" allowBlank="1" showInputMessage="1" showErrorMessage="1" sqref="BI76:BO76" xr:uid="{FCD527F0-58B1-4CD4-B75F-2CD90939934B}">
      <formula1>"Fuel tank is in front of the engine block, Fuel tank requires rear impact check"</formula1>
    </dataValidation>
    <dataValidation type="list" allowBlank="1" showInputMessage="1" showErrorMessage="1" sqref="BI77:BO77" xr:uid="{E36E7043-7AFD-4590-84D2-AD8855F1634D}">
      <formula1>"Fuel image shows Fill is never outside primary structure, Fuel image shows Fill exits primary structure above 350mm"</formula1>
    </dataValidation>
    <dataValidation type="list" allowBlank="1" showInputMessage="1" showErrorMessage="1" sqref="BI78:BO78" xr:uid="{6AAF3626-4544-4BEB-BABF-B1B9B1069150}">
      <formula1>"No pressurized cylinder, Pressurized cylinder is metal, Pressurized cylinder is separated from the exhaust by T.1.6.3"</formula1>
    </dataValidation>
    <dataValidation type="list" allowBlank="1" showInputMessage="1" showErrorMessage="1" sqref="BI74:BO74" xr:uid="{C28DDDAC-9017-4F75-8AA2-B767D5ED02BA}">
      <formula1>"EV - Rain test holes drain between driver and HV + lowest point if oil used, Lowest point has 2x &gt;=25mm holes + is between driver &amp; fuel tank, 2x 25mm holes lowest point + 2x 25mm holes between driver &amp; fuel tank"</formula1>
    </dataValidation>
    <dataValidation type="list" allowBlank="1" showInputMessage="1" showErrorMessage="1" sqref="AG109:AH109" xr:uid="{26C0CDF6-9725-4930-A9AA-9F2D71B06B4E}">
      <formula1>"Lap Only, Single Lap/AntiSub"</formula1>
    </dataValidation>
    <dataValidation type="list" allowBlank="1" showInputMessage="1" showErrorMessage="1" sqref="AI109:AL109" xr:uid="{B372F028-1CB0-4D2D-BD6E-FD3FC31E1E63}">
      <formula1>"Eyebolt Or Bolt Through Tube, Clip Through A Pad Eye, Bolt Through A Tab"</formula1>
    </dataValidation>
    <dataValidation type="list" allowBlank="1" showInputMessage="1" showErrorMessage="1" sqref="BI75:BO75" xr:uid="{661318CC-CC06-4B1B-B7C2-25C4B020241F}">
      <formula1>"Image shows powertrain mounts do not load the Shoulder Harness bar, Image shows the Shoulder Harness bar supports Powertrain mounts"</formula1>
    </dataValidation>
    <dataValidation type="list" allowBlank="1" showInputMessage="1" showErrorMessage="1" sqref="CF118 CI118" xr:uid="{2D3FBC70-59F6-4A66-AC69-84A2F5363CA4}">
      <formula1>"8,6,4"</formula1>
    </dataValidation>
    <dataValidation type="list" allowBlank="1" showInputMessage="1" showErrorMessage="1" sqref="AI121:AL121 AS130:AV130" xr:uid="{C8376F5F-01C3-42D8-9669-0D8C6A77B55F}">
      <formula1>"Wrapped, Eyebolt Or Bolt Through Tube, Clip Through A Pad Eye, Bolt Through A Tab"</formula1>
    </dataValidation>
    <dataValidation type="list" allowBlank="1" showInputMessage="1" showErrorMessage="1" sqref="BY113:BZ113" xr:uid="{8EEA93B6-7528-4F5E-91D9-036072B6CDE8}">
      <formula1>"&gt;=265mm, Above Accumulator"</formula1>
    </dataValidation>
    <dataValidation type="list" allowBlank="1" showInputMessage="1" showErrorMessage="1" sqref="AU135:AV135 AK126:AL126 AK114:AL114" xr:uid="{3688E931-5483-46BA-A183-7AFD2039A5FC}">
      <formula1>"Welded, Threaded Insert, Through Bolted"</formula1>
    </dataValidation>
  </dataValidations>
  <hyperlinks>
    <hyperlink ref="M8" r:id="rId1" display="Youtube: 2019 SES Instructional Guide" xr:uid="{42DD90C6-B65B-4FEE-A3DC-D957F88EC74F}"/>
    <hyperlink ref="R8" r:id="rId2" xr:uid="{89CC448D-9872-4DEB-AA7B-27695EC460FE}"/>
    <hyperlink ref="C6" r:id="rId3" xr:uid="{579BB8D3-8CA2-EE40-B029-A622CB5A2EB6}"/>
    <hyperlink ref="C8" r:id="rId4" xr:uid="{2A8F723F-504A-3941-8944-280D033B62B8}"/>
  </hyperlinks>
  <pageMargins left="0.7" right="0.7" top="0.75" bottom="0.75" header="0.3" footer="0.3"/>
  <pageSetup paperSize="24" scale="41" orientation="landscape" r:id="rId5"/>
  <drawing r:id="rId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58FF6B-DB7B-4364-8A2B-14D0825185FF}">
  <sheetPr codeName="Sheet2">
    <pageSetUpPr fitToPage="1"/>
  </sheetPr>
  <dimension ref="A1:EP200"/>
  <sheetViews>
    <sheetView topLeftCell="U1" zoomScale="50" zoomScaleNormal="50" workbookViewId="0">
      <selection activeCell="U22" sqref="U22:V22"/>
    </sheetView>
  </sheetViews>
  <sheetFormatPr baseColWidth="10" defaultColWidth="9.1640625" defaultRowHeight="15" x14ac:dyDescent="0.2"/>
  <cols>
    <col min="1" max="20" width="9.1640625" style="25"/>
    <col min="21" max="30" width="9.1640625" style="25" customWidth="1"/>
    <col min="31" max="31" width="9.1640625" style="12" customWidth="1"/>
    <col min="32" max="32" width="9.1640625" style="35" customWidth="1"/>
    <col min="33" max="33" width="9.33203125" style="25" bestFit="1" customWidth="1"/>
    <col min="34" max="35" width="9.1640625" style="25"/>
    <col min="36" max="38" width="9.1640625" style="25" customWidth="1"/>
    <col min="39" max="76" width="9.1640625" style="25"/>
    <col min="77" max="77" width="9.1640625" style="25" customWidth="1"/>
    <col min="78" max="16384" width="9.1640625" style="25"/>
  </cols>
  <sheetData>
    <row r="1" spans="1:146" ht="17.25" customHeight="1" x14ac:dyDescent="0.2">
      <c r="A1" s="363" t="s">
        <v>526</v>
      </c>
      <c r="B1" s="363"/>
      <c r="C1" s="363"/>
      <c r="D1" s="363"/>
      <c r="E1" s="296" t="str">
        <f>IF($A$25="mm","Note: Forces are given in Pa, not Mpa or Gpa.","Note: Forces are given in psi, not ksi.")</f>
        <v>Note: Forces are given in psi, not ksi.</v>
      </c>
      <c r="F1" s="296"/>
      <c r="G1" s="296"/>
      <c r="H1" s="296"/>
      <c r="I1" s="296"/>
      <c r="J1" s="296"/>
      <c r="K1" s="296"/>
      <c r="L1" s="296"/>
      <c r="M1" s="12"/>
      <c r="N1" s="22"/>
      <c r="O1" s="22"/>
      <c r="P1" s="12" t="s">
        <v>527</v>
      </c>
      <c r="Q1" s="129" t="s">
        <v>528</v>
      </c>
      <c r="R1" s="129"/>
      <c r="S1" s="129"/>
      <c r="T1" s="129"/>
      <c r="U1" s="129"/>
      <c r="V1" s="129"/>
      <c r="W1" s="129"/>
      <c r="X1" s="129"/>
      <c r="Y1" s="129"/>
      <c r="Z1" s="129"/>
      <c r="AA1" s="129"/>
      <c r="AC1" s="25" t="s">
        <v>529</v>
      </c>
      <c r="AE1" s="30"/>
      <c r="AF1" s="30"/>
      <c r="AG1" s="30"/>
      <c r="AH1" s="30"/>
      <c r="AI1" s="30"/>
      <c r="AJ1" s="30"/>
      <c r="AK1" s="30"/>
      <c r="AL1" s="30"/>
      <c r="AM1" s="30"/>
      <c r="AN1" s="30"/>
      <c r="AO1" s="42"/>
      <c r="AP1" s="42"/>
      <c r="AQ1" s="42"/>
      <c r="AR1" s="42"/>
      <c r="AS1" s="42"/>
      <c r="AT1" s="42"/>
      <c r="AU1" s="42"/>
      <c r="AV1" s="42"/>
      <c r="AW1" s="42"/>
      <c r="AX1" s="42"/>
      <c r="AY1" s="42"/>
      <c r="AZ1" s="42"/>
      <c r="BA1" s="42"/>
      <c r="BB1" s="41"/>
      <c r="BC1" s="42"/>
      <c r="BD1" s="42"/>
      <c r="BE1" s="42"/>
      <c r="BF1" s="42"/>
      <c r="BG1" s="42"/>
      <c r="BH1" s="42"/>
      <c r="BI1" s="42"/>
      <c r="BJ1" s="42"/>
      <c r="BK1" s="42"/>
      <c r="BL1" s="42"/>
      <c r="BM1" s="42"/>
      <c r="BN1" s="42"/>
      <c r="BO1" s="42"/>
      <c r="BP1" s="41"/>
      <c r="BQ1" s="42"/>
      <c r="BR1" s="42"/>
      <c r="BS1" s="42"/>
      <c r="BT1" s="42"/>
      <c r="BU1" s="42"/>
      <c r="BV1" s="42"/>
      <c r="BW1" s="42"/>
      <c r="BX1" s="42"/>
      <c r="BY1" s="42"/>
      <c r="BZ1" s="42"/>
      <c r="CA1" s="42"/>
      <c r="CB1" s="42"/>
      <c r="CC1" s="42"/>
      <c r="CD1" s="41"/>
      <c r="CE1" s="42"/>
      <c r="CF1" s="42"/>
      <c r="CG1" s="42"/>
      <c r="CH1" s="42"/>
      <c r="CI1" s="42"/>
      <c r="CJ1" s="42"/>
      <c r="CK1" s="42"/>
      <c r="CL1" s="42"/>
      <c r="CM1" s="42"/>
      <c r="CN1" s="42"/>
      <c r="CO1" s="42"/>
      <c r="CP1" s="42"/>
      <c r="CQ1" s="42"/>
      <c r="CR1" s="41"/>
      <c r="CS1" s="130"/>
      <c r="CT1" s="130"/>
      <c r="CU1" s="130"/>
      <c r="CV1" s="130"/>
      <c r="CW1" s="130"/>
      <c r="CX1" s="130"/>
      <c r="CY1" s="130"/>
      <c r="CZ1" s="130"/>
      <c r="DA1" s="130"/>
      <c r="DB1" s="130"/>
      <c r="DC1" s="130"/>
      <c r="DD1" s="130"/>
      <c r="DE1" s="130"/>
      <c r="DG1" s="14"/>
      <c r="DH1" s="14"/>
      <c r="DI1" s="14"/>
      <c r="DJ1" s="14"/>
      <c r="DK1" s="14"/>
      <c r="DL1" s="14"/>
      <c r="DM1" s="14"/>
      <c r="DN1" s="14"/>
      <c r="DO1" s="14"/>
      <c r="DP1" s="14"/>
      <c r="DQ1" s="14"/>
      <c r="DR1" s="14"/>
      <c r="DT1" s="14"/>
      <c r="DU1" s="11"/>
      <c r="DV1" s="11"/>
      <c r="DW1" s="11"/>
      <c r="DX1" s="11"/>
      <c r="DY1" s="11"/>
      <c r="DZ1" s="11"/>
      <c r="EA1" s="11"/>
      <c r="EB1" s="11"/>
      <c r="EC1" s="11"/>
      <c r="ED1" s="11"/>
      <c r="EE1" s="11"/>
      <c r="EF1" s="11"/>
      <c r="EG1" s="11"/>
      <c r="EH1" s="11"/>
      <c r="EI1" s="14"/>
      <c r="EJ1" s="14"/>
      <c r="EK1" s="14"/>
      <c r="EL1" s="14"/>
      <c r="EM1" s="14"/>
      <c r="EN1" s="14"/>
      <c r="EO1" s="14"/>
      <c r="EP1" s="14"/>
    </row>
    <row r="2" spans="1:146" ht="15.75" customHeight="1" x14ac:dyDescent="0.2">
      <c r="A2" s="363"/>
      <c r="B2" s="363"/>
      <c r="C2" s="363"/>
      <c r="D2" s="363"/>
      <c r="E2" s="296" t="s">
        <v>530</v>
      </c>
      <c r="F2" s="296"/>
      <c r="G2" s="296" t="str">
        <f>IF($A$25="mm","E (Pa)","E (psi)")</f>
        <v>E (psi)</v>
      </c>
      <c r="H2" s="296"/>
      <c r="I2" s="296" t="str">
        <f>IF($A$25="mm","S_Ultimate (Pa)","S_Ultimate (psi)")</f>
        <v>S_Ultimate (psi)</v>
      </c>
      <c r="J2" s="296"/>
      <c r="K2" s="296" t="str">
        <f>IF($A$25="mm","Shear (Pa)","Shear (psi)")</f>
        <v>Shear (psi)</v>
      </c>
      <c r="L2" s="296"/>
      <c r="M2" s="131" t="s">
        <v>531</v>
      </c>
      <c r="Q2" s="129" t="s">
        <v>532</v>
      </c>
      <c r="R2" s="129"/>
      <c r="S2" s="129"/>
      <c r="T2" s="129"/>
      <c r="U2" s="129"/>
      <c r="V2" s="129"/>
      <c r="W2" s="129"/>
      <c r="X2" s="129"/>
      <c r="Y2" s="129"/>
      <c r="Z2" s="129"/>
      <c r="AA2" s="129"/>
      <c r="AC2" s="30" t="s">
        <v>533</v>
      </c>
      <c r="AE2" s="30"/>
      <c r="AF2" s="30"/>
      <c r="AG2" s="30"/>
      <c r="AH2" s="30"/>
      <c r="AI2" s="30"/>
      <c r="AJ2" s="30"/>
      <c r="AK2" s="30"/>
      <c r="AL2" s="30"/>
      <c r="AM2" s="30"/>
      <c r="AN2" s="30"/>
      <c r="AO2" s="43"/>
      <c r="AP2" s="42"/>
      <c r="AQ2" s="42"/>
      <c r="AR2" s="42"/>
      <c r="AS2" s="42"/>
      <c r="AT2" s="42"/>
      <c r="AU2" s="42"/>
      <c r="AV2" s="42"/>
      <c r="AW2" s="42"/>
      <c r="AX2" s="42"/>
      <c r="AY2" s="42"/>
      <c r="AZ2" s="42"/>
      <c r="BA2" s="42"/>
      <c r="BB2" s="41"/>
      <c r="BC2" s="43"/>
      <c r="BD2" s="42"/>
      <c r="BE2" s="42"/>
      <c r="BF2" s="42"/>
      <c r="BG2" s="42"/>
      <c r="BH2" s="42"/>
      <c r="BI2" s="42"/>
      <c r="BJ2" s="42"/>
      <c r="BK2" s="42"/>
      <c r="BL2" s="42"/>
      <c r="BM2" s="42"/>
      <c r="BN2" s="42"/>
      <c r="BO2" s="42"/>
      <c r="BP2" s="41"/>
      <c r="BQ2" s="42"/>
      <c r="BR2" s="42"/>
      <c r="BS2" s="42"/>
      <c r="BT2" s="42"/>
      <c r="BU2" s="42"/>
      <c r="BV2" s="42"/>
      <c r="BW2" s="42"/>
      <c r="BX2" s="42"/>
      <c r="BY2" s="42"/>
      <c r="BZ2" s="42"/>
      <c r="CA2" s="42"/>
      <c r="CB2" s="42"/>
      <c r="CC2" s="42"/>
      <c r="CD2" s="41"/>
      <c r="CE2" s="43"/>
      <c r="CF2" s="42"/>
      <c r="CG2" s="42"/>
      <c r="CH2" s="42"/>
      <c r="CI2" s="42"/>
      <c r="CJ2" s="42"/>
      <c r="CK2" s="42"/>
      <c r="CL2" s="42"/>
      <c r="CM2" s="42"/>
      <c r="CN2" s="42"/>
      <c r="CO2" s="42"/>
      <c r="CP2" s="42"/>
      <c r="CQ2" s="42"/>
      <c r="CR2" s="41"/>
      <c r="CT2" s="130"/>
      <c r="CU2" s="130"/>
      <c r="CV2" s="130"/>
      <c r="CW2" s="130"/>
      <c r="CX2" s="130"/>
      <c r="CY2" s="130"/>
      <c r="CZ2" s="130"/>
      <c r="DA2" s="130"/>
      <c r="DB2" s="130"/>
      <c r="DC2" s="130"/>
      <c r="DD2" s="130"/>
      <c r="DE2" s="130"/>
      <c r="DG2" s="14"/>
      <c r="DH2" s="14"/>
      <c r="DI2" s="14"/>
      <c r="DJ2" s="14"/>
      <c r="DK2" s="14"/>
      <c r="DL2" s="14"/>
      <c r="DM2" s="14"/>
      <c r="DN2" s="14"/>
      <c r="DO2" s="14"/>
      <c r="DP2" s="14"/>
      <c r="DQ2" s="14"/>
      <c r="DR2" s="14"/>
      <c r="DT2" s="11"/>
      <c r="DU2" s="11"/>
      <c r="DV2" s="11"/>
      <c r="DW2" s="11"/>
      <c r="DX2" s="11"/>
      <c r="DY2" s="11"/>
      <c r="DZ2" s="11"/>
      <c r="EA2" s="11"/>
      <c r="EB2" s="11"/>
      <c r="EC2" s="11"/>
      <c r="ED2" s="11"/>
      <c r="EE2" s="11"/>
      <c r="EF2" s="11"/>
      <c r="EG2" s="11"/>
      <c r="EH2" s="11"/>
      <c r="EI2" s="14"/>
      <c r="EJ2" s="14"/>
      <c r="EK2" s="14"/>
      <c r="EL2" s="14"/>
      <c r="EM2" s="14"/>
      <c r="EN2" s="14"/>
      <c r="EO2" s="14"/>
      <c r="EP2" s="14"/>
    </row>
    <row r="3" spans="1:146" ht="15.75" customHeight="1" x14ac:dyDescent="0.2">
      <c r="A3" s="363"/>
      <c r="B3" s="363"/>
      <c r="C3" s="363"/>
      <c r="D3" s="363"/>
      <c r="E3" s="296" t="s">
        <v>534</v>
      </c>
      <c r="F3" s="296"/>
      <c r="G3" s="356">
        <f>IF($A$25="mm",200*10^9,29*10^6)</f>
        <v>29000000</v>
      </c>
      <c r="H3" s="356"/>
      <c r="I3" s="356">
        <f>IF($A$25="mm",365*10^6,52.9*10^3)</f>
        <v>52900</v>
      </c>
      <c r="J3" s="356"/>
      <c r="K3" s="356">
        <f>I3*0.577</f>
        <v>30523.3</v>
      </c>
      <c r="L3" s="356"/>
      <c r="M3" s="131" t="s">
        <v>535</v>
      </c>
      <c r="Q3" s="129" t="s">
        <v>536</v>
      </c>
      <c r="R3" s="129"/>
      <c r="S3" s="129"/>
      <c r="T3" s="129"/>
      <c r="U3" s="129"/>
      <c r="V3" s="129"/>
      <c r="W3" s="129"/>
      <c r="X3" s="129"/>
      <c r="Y3" s="129"/>
      <c r="Z3" s="129"/>
      <c r="AA3" s="129"/>
      <c r="AC3" s="132" t="s">
        <v>537</v>
      </c>
      <c r="AD3" s="133"/>
      <c r="AE3" s="133"/>
      <c r="AF3" s="133"/>
      <c r="AG3" s="133"/>
      <c r="AH3" s="133"/>
      <c r="AI3" s="133"/>
      <c r="AJ3" s="133"/>
      <c r="AK3" s="134"/>
      <c r="AL3" s="132"/>
      <c r="AM3" s="132"/>
      <c r="AN3" s="30"/>
      <c r="AO3" s="43"/>
      <c r="AP3" s="42"/>
      <c r="AQ3" s="42"/>
      <c r="AR3" s="42"/>
      <c r="AS3" s="42"/>
      <c r="AT3" s="42"/>
      <c r="AU3" s="42"/>
      <c r="AV3" s="42"/>
      <c r="AW3" s="42"/>
      <c r="AX3" s="42"/>
      <c r="AY3" s="42"/>
      <c r="AZ3" s="42"/>
      <c r="BA3" s="42"/>
      <c r="BB3" s="41"/>
      <c r="BC3" s="43"/>
      <c r="BD3" s="42"/>
      <c r="BE3" s="42"/>
      <c r="BF3" s="42"/>
      <c r="BG3" s="42"/>
      <c r="BH3" s="42"/>
      <c r="BI3" s="42"/>
      <c r="BJ3" s="42"/>
      <c r="BK3" s="42"/>
      <c r="BL3" s="42"/>
      <c r="BM3" s="42"/>
      <c r="BN3" s="42"/>
      <c r="BO3" s="42"/>
      <c r="BP3" s="41"/>
      <c r="BQ3" s="42"/>
      <c r="BR3" s="42"/>
      <c r="BS3" s="42"/>
      <c r="BT3" s="42"/>
      <c r="BU3" s="42"/>
      <c r="BV3" s="42"/>
      <c r="BW3" s="42"/>
      <c r="BX3" s="42"/>
      <c r="BY3" s="42"/>
      <c r="BZ3" s="42"/>
      <c r="CA3" s="42"/>
      <c r="CB3" s="42"/>
      <c r="CC3" s="42"/>
      <c r="CD3" s="41"/>
      <c r="CE3" s="43"/>
      <c r="CF3" s="42"/>
      <c r="CG3" s="42"/>
      <c r="CH3" s="42"/>
      <c r="CI3" s="42"/>
      <c r="CJ3" s="42"/>
      <c r="CK3" s="42"/>
      <c r="CL3" s="42"/>
      <c r="CM3" s="42"/>
      <c r="CN3" s="42"/>
      <c r="CO3" s="42"/>
      <c r="CP3" s="42"/>
      <c r="CQ3" s="42"/>
      <c r="CR3" s="41"/>
      <c r="CT3" s="130"/>
      <c r="CU3" s="130"/>
      <c r="CV3" s="130"/>
      <c r="CW3" s="130"/>
      <c r="CX3" s="130"/>
      <c r="CY3" s="130"/>
      <c r="CZ3" s="130"/>
      <c r="DA3" s="130"/>
      <c r="DB3" s="130"/>
      <c r="DC3" s="130"/>
      <c r="DD3" s="130"/>
      <c r="DE3" s="130"/>
    </row>
    <row r="4" spans="1:146" ht="15.75" customHeight="1" x14ac:dyDescent="0.2">
      <c r="A4" s="363"/>
      <c r="B4" s="363"/>
      <c r="C4" s="363"/>
      <c r="D4" s="363"/>
      <c r="E4" s="361" t="s">
        <v>538</v>
      </c>
      <c r="F4" s="361"/>
      <c r="G4" s="358">
        <f>IF($A$25="mm",200*10^9,29*10^6)</f>
        <v>29000000</v>
      </c>
      <c r="H4" s="358"/>
      <c r="I4" s="358">
        <f>IF($A$25="mm",300*10^6,43.5*10^3)</f>
        <v>43500</v>
      </c>
      <c r="J4" s="358"/>
      <c r="K4" s="358">
        <f t="shared" ref="K4:K8" si="0">I4*0.577</f>
        <v>25099.499999999996</v>
      </c>
      <c r="L4" s="358"/>
      <c r="M4" s="128"/>
      <c r="N4" s="128"/>
      <c r="O4" s="128"/>
      <c r="P4" s="33" t="s">
        <v>539</v>
      </c>
      <c r="Q4" s="132" t="s">
        <v>540</v>
      </c>
      <c r="R4" s="135"/>
      <c r="S4" s="132"/>
      <c r="T4" s="132"/>
      <c r="U4" s="132"/>
      <c r="V4" s="132"/>
      <c r="W4" s="132"/>
      <c r="X4" s="132"/>
      <c r="Y4" s="132"/>
      <c r="Z4" s="132"/>
      <c r="AA4" s="132"/>
      <c r="AC4" s="30" t="s">
        <v>541</v>
      </c>
      <c r="AN4" s="30"/>
      <c r="AO4" s="294" t="s">
        <v>542</v>
      </c>
      <c r="AP4" s="294"/>
      <c r="AQ4" s="294"/>
      <c r="AR4" s="294"/>
      <c r="AS4" s="294"/>
      <c r="AT4" s="294"/>
      <c r="AU4" s="294"/>
      <c r="AV4" s="294"/>
      <c r="AW4" s="294"/>
      <c r="AX4" s="294"/>
      <c r="AY4" s="294"/>
      <c r="AZ4" s="294"/>
      <c r="BA4" s="294"/>
      <c r="BB4" s="41"/>
      <c r="BC4" s="43"/>
      <c r="BD4" s="42"/>
      <c r="BE4" s="42"/>
      <c r="BF4" s="42"/>
      <c r="BG4" s="42"/>
      <c r="BH4" s="42"/>
      <c r="BI4" s="42"/>
      <c r="BJ4" s="42"/>
      <c r="BK4" s="42"/>
      <c r="BL4" s="42"/>
      <c r="BM4" s="42"/>
      <c r="BN4" s="42"/>
      <c r="BO4" s="42"/>
      <c r="BP4" s="41"/>
      <c r="BQ4" s="42"/>
      <c r="BR4" s="42"/>
      <c r="BS4" s="42"/>
      <c r="BT4" s="42"/>
      <c r="BU4" s="42"/>
      <c r="BV4" s="42"/>
      <c r="BW4" s="42"/>
      <c r="BX4" s="42"/>
      <c r="BY4" s="42"/>
      <c r="BZ4" s="42"/>
      <c r="CA4" s="42"/>
      <c r="CB4" s="42"/>
      <c r="CC4" s="42"/>
      <c r="CD4" s="41"/>
      <c r="CE4" s="43"/>
      <c r="CF4" s="42"/>
      <c r="CG4" s="42"/>
      <c r="CH4" s="42"/>
      <c r="CI4" s="42"/>
      <c r="CJ4" s="42"/>
      <c r="CK4" s="42"/>
      <c r="CL4" s="42"/>
      <c r="CM4" s="42"/>
      <c r="CN4" s="42"/>
      <c r="CO4" s="42"/>
      <c r="CP4" s="42"/>
      <c r="CQ4" s="42"/>
      <c r="CR4" s="41"/>
      <c r="CT4" s="130"/>
      <c r="CU4" s="130"/>
      <c r="CV4" s="130"/>
      <c r="CW4" s="130"/>
      <c r="CX4" s="130"/>
      <c r="CY4" s="130"/>
      <c r="CZ4" s="130"/>
      <c r="DA4" s="130"/>
      <c r="DB4" s="130"/>
      <c r="DC4" s="130"/>
      <c r="DD4" s="130"/>
      <c r="DE4" s="130"/>
    </row>
    <row r="5" spans="1:146" ht="15.75" customHeight="1" x14ac:dyDescent="0.2">
      <c r="A5" s="363"/>
      <c r="B5" s="363"/>
      <c r="C5" s="363"/>
      <c r="D5" s="363"/>
      <c r="E5" s="296" t="s">
        <v>543</v>
      </c>
      <c r="F5" s="296"/>
      <c r="G5" s="356">
        <f>IF($A$25="mm",69*10^9,10*10^6)</f>
        <v>10000000</v>
      </c>
      <c r="H5" s="356"/>
      <c r="I5" s="356">
        <f>IF($A$25="mm",290*10^6,42.1*10^3)</f>
        <v>42100</v>
      </c>
      <c r="J5" s="356"/>
      <c r="K5" s="356">
        <f t="shared" si="0"/>
        <v>24291.699999999997</v>
      </c>
      <c r="L5" s="356"/>
      <c r="M5" s="37"/>
      <c r="N5" s="37"/>
      <c r="O5" s="12"/>
      <c r="P5" s="22"/>
      <c r="Q5" s="30" t="s">
        <v>544</v>
      </c>
      <c r="R5" s="35"/>
      <c r="S5" s="30"/>
      <c r="T5" s="30"/>
      <c r="U5" s="30"/>
      <c r="V5" s="30"/>
      <c r="W5" s="30"/>
      <c r="X5" s="30"/>
      <c r="Y5" s="30"/>
      <c r="Z5" s="30"/>
      <c r="AA5" s="30"/>
      <c r="AC5" s="25" t="s">
        <v>545</v>
      </c>
      <c r="AN5" s="30"/>
      <c r="AO5" s="294"/>
      <c r="AP5" s="294"/>
      <c r="AQ5" s="294"/>
      <c r="AR5" s="294"/>
      <c r="AS5" s="294"/>
      <c r="AT5" s="294"/>
      <c r="AU5" s="294"/>
      <c r="AV5" s="294"/>
      <c r="AW5" s="294"/>
      <c r="AX5" s="294"/>
      <c r="AY5" s="294"/>
      <c r="AZ5" s="294"/>
      <c r="BA5" s="294"/>
      <c r="BB5" s="41"/>
      <c r="BC5" s="43"/>
      <c r="BD5" s="42"/>
      <c r="BE5" s="42"/>
      <c r="BF5" s="42"/>
      <c r="BG5" s="42"/>
      <c r="BH5" s="42"/>
      <c r="BI5" s="42"/>
      <c r="BJ5" s="42"/>
      <c r="BK5" s="42"/>
      <c r="BL5" s="42"/>
      <c r="BM5" s="42"/>
      <c r="BN5" s="42"/>
      <c r="BO5" s="42"/>
      <c r="BP5" s="41"/>
      <c r="BQ5" s="42"/>
      <c r="BR5" s="42"/>
      <c r="BS5" s="42"/>
      <c r="BT5" s="42"/>
      <c r="BU5" s="42"/>
      <c r="BV5" s="42"/>
      <c r="BW5" s="42"/>
      <c r="BX5" s="42"/>
      <c r="BY5" s="42"/>
      <c r="BZ5" s="42"/>
      <c r="CA5" s="42"/>
      <c r="CB5" s="42"/>
      <c r="CC5" s="42"/>
      <c r="CD5" s="41"/>
      <c r="CE5" s="43"/>
      <c r="CF5" s="42"/>
      <c r="CG5" s="42"/>
      <c r="CH5" s="42"/>
      <c r="CI5" s="42"/>
      <c r="CJ5" s="42"/>
      <c r="CK5" s="42"/>
      <c r="CL5" s="42"/>
      <c r="CM5" s="42"/>
      <c r="CN5" s="42"/>
      <c r="CO5" s="42"/>
      <c r="CP5" s="42"/>
      <c r="CQ5" s="42"/>
      <c r="CR5" s="41"/>
      <c r="CT5" s="130"/>
      <c r="CU5" s="130"/>
      <c r="CV5" s="130"/>
      <c r="CW5" s="130"/>
      <c r="CX5" s="130"/>
      <c r="CY5" s="130"/>
      <c r="CZ5" s="130"/>
      <c r="DA5" s="130"/>
      <c r="DB5" s="130"/>
      <c r="DC5" s="130"/>
      <c r="DD5" s="130"/>
      <c r="DE5" s="130"/>
    </row>
    <row r="6" spans="1:146" ht="15.75" customHeight="1" x14ac:dyDescent="0.2">
      <c r="A6" s="363"/>
      <c r="B6" s="363"/>
      <c r="C6" s="363"/>
      <c r="D6" s="363"/>
      <c r="E6" s="361" t="s">
        <v>546</v>
      </c>
      <c r="F6" s="361"/>
      <c r="G6" s="358">
        <f>IF($A$25="mm",69*10^9,10*10^6)</f>
        <v>10000000</v>
      </c>
      <c r="H6" s="358"/>
      <c r="I6" s="358">
        <f>IF($A$25="mm",175*10^6,25.4*10^3)</f>
        <v>25400</v>
      </c>
      <c r="J6" s="358"/>
      <c r="K6" s="358">
        <f t="shared" si="0"/>
        <v>14655.8</v>
      </c>
      <c r="L6" s="358"/>
      <c r="M6" s="11"/>
      <c r="N6" s="11"/>
      <c r="O6" s="11"/>
      <c r="P6" s="37"/>
      <c r="Q6" s="136" t="s">
        <v>547</v>
      </c>
      <c r="R6" s="137"/>
      <c r="S6" s="136"/>
      <c r="T6" s="136"/>
      <c r="U6" s="136"/>
      <c r="V6" s="136"/>
      <c r="W6" s="136"/>
      <c r="X6" s="136"/>
      <c r="Y6" s="136"/>
      <c r="Z6" s="136"/>
      <c r="AA6" s="136"/>
      <c r="AC6" s="25" t="s">
        <v>548</v>
      </c>
      <c r="AD6" s="11"/>
      <c r="AE6" s="11"/>
      <c r="AF6" s="11"/>
      <c r="AG6" s="11"/>
      <c r="AH6" s="11"/>
      <c r="AI6" s="11"/>
      <c r="AJ6" s="11"/>
      <c r="AK6" s="48"/>
      <c r="AL6" s="30"/>
      <c r="AM6" s="30"/>
      <c r="AN6" s="22"/>
      <c r="AO6" s="43"/>
      <c r="AP6" s="42"/>
      <c r="AQ6" s="42"/>
      <c r="AR6" s="42"/>
      <c r="AS6" s="42"/>
      <c r="AT6" s="42"/>
      <c r="AU6" s="42"/>
      <c r="AV6" s="42"/>
      <c r="AW6" s="42"/>
      <c r="AX6" s="42"/>
      <c r="AY6" s="42"/>
      <c r="AZ6" s="42"/>
      <c r="BA6" s="42"/>
      <c r="BB6" s="41"/>
      <c r="BC6" s="43"/>
      <c r="BD6" s="42"/>
      <c r="BE6" s="42"/>
      <c r="BF6" s="42"/>
      <c r="BG6" s="42"/>
      <c r="BH6" s="42"/>
      <c r="BI6" s="42"/>
      <c r="BJ6" s="42"/>
      <c r="BK6" s="42"/>
      <c r="BL6" s="42"/>
      <c r="BM6" s="42"/>
      <c r="BN6" s="42"/>
      <c r="BO6" s="42"/>
      <c r="BP6" s="41"/>
      <c r="BQ6" s="42"/>
      <c r="BR6" s="42"/>
      <c r="BS6" s="42"/>
      <c r="BT6" s="42"/>
      <c r="BU6" s="42"/>
      <c r="BV6" s="42"/>
      <c r="BW6" s="42"/>
      <c r="BX6" s="42"/>
      <c r="BY6" s="42"/>
      <c r="BZ6" s="42"/>
      <c r="CA6" s="42"/>
      <c r="CB6" s="42"/>
      <c r="CC6" s="42"/>
      <c r="CD6" s="41"/>
      <c r="CE6" s="43"/>
      <c r="CF6" s="42"/>
      <c r="CG6" s="42"/>
      <c r="CH6" s="42"/>
      <c r="CI6" s="42"/>
      <c r="CJ6" s="42"/>
      <c r="CK6" s="42"/>
      <c r="CL6" s="42"/>
      <c r="CM6" s="42"/>
      <c r="CN6" s="42"/>
      <c r="CO6" s="42"/>
      <c r="CP6" s="42"/>
      <c r="CQ6" s="42"/>
      <c r="CR6" s="41"/>
      <c r="CT6" s="130"/>
      <c r="CU6" s="130"/>
      <c r="CV6" s="130"/>
      <c r="CW6" s="130"/>
      <c r="CX6" s="130"/>
      <c r="CY6" s="130"/>
      <c r="CZ6" s="130"/>
      <c r="DA6" s="130"/>
      <c r="DB6" s="130"/>
      <c r="DC6" s="130"/>
      <c r="DD6" s="130"/>
      <c r="DE6" s="130"/>
    </row>
    <row r="7" spans="1:146" ht="15.75" customHeight="1" x14ac:dyDescent="0.2">
      <c r="A7" s="363"/>
      <c r="B7" s="363"/>
      <c r="C7" s="363"/>
      <c r="D7" s="363"/>
      <c r="E7" s="316" t="s">
        <v>549</v>
      </c>
      <c r="F7" s="316"/>
      <c r="G7" s="362"/>
      <c r="H7" s="362"/>
      <c r="I7" s="362"/>
      <c r="J7" s="362"/>
      <c r="K7" s="355">
        <f t="shared" si="0"/>
        <v>0</v>
      </c>
      <c r="L7" s="356"/>
      <c r="M7" s="37" t="s">
        <v>550</v>
      </c>
      <c r="N7" s="37" t="s">
        <v>551</v>
      </c>
      <c r="O7" s="12" t="s">
        <v>552</v>
      </c>
      <c r="P7" s="37" t="s">
        <v>553</v>
      </c>
      <c r="Q7" s="30" t="s">
        <v>554</v>
      </c>
      <c r="S7" s="30"/>
      <c r="T7" s="30"/>
      <c r="U7" s="30"/>
      <c r="V7" s="30"/>
      <c r="W7" s="30"/>
      <c r="X7" s="30"/>
      <c r="Y7" s="30"/>
      <c r="Z7" s="30"/>
      <c r="AA7" s="30"/>
      <c r="AC7" s="138" t="s">
        <v>555</v>
      </c>
      <c r="AN7" s="35"/>
      <c r="AO7" s="43"/>
      <c r="AP7" s="42"/>
      <c r="AQ7" s="42"/>
      <c r="AR7" s="42"/>
      <c r="AS7" s="42"/>
      <c r="AT7" s="42"/>
      <c r="AU7" s="42"/>
      <c r="AV7" s="42"/>
      <c r="AW7" s="42"/>
      <c r="AX7" s="42"/>
      <c r="AY7" s="42"/>
      <c r="AZ7" s="42"/>
      <c r="BA7" s="42"/>
      <c r="BB7" s="41"/>
      <c r="BC7" s="43"/>
      <c r="BD7" s="42"/>
      <c r="BE7" s="42"/>
      <c r="BF7" s="42"/>
      <c r="BG7" s="42"/>
      <c r="BH7" s="42"/>
      <c r="BI7" s="42"/>
      <c r="BJ7" s="42"/>
      <c r="BK7" s="42"/>
      <c r="BL7" s="42"/>
      <c r="BM7" s="42"/>
      <c r="BN7" s="42"/>
      <c r="BO7" s="42"/>
      <c r="BP7" s="41"/>
      <c r="BQ7" s="42"/>
      <c r="BR7" s="42"/>
      <c r="BS7" s="42"/>
      <c r="BT7" s="42"/>
      <c r="BU7" s="42"/>
      <c r="BV7" s="42"/>
      <c r="BW7" s="42"/>
      <c r="BX7" s="42"/>
      <c r="BY7" s="42"/>
      <c r="BZ7" s="42"/>
      <c r="CA7" s="42"/>
      <c r="CB7" s="42"/>
      <c r="CC7" s="42"/>
      <c r="CD7" s="41"/>
      <c r="CE7" s="43"/>
      <c r="CF7" s="42"/>
      <c r="CG7" s="42"/>
      <c r="CH7" s="42"/>
      <c r="CI7" s="42"/>
      <c r="CJ7" s="42"/>
      <c r="CK7" s="42"/>
      <c r="CL7" s="42"/>
      <c r="CM7" s="42"/>
      <c r="CN7" s="42"/>
      <c r="CO7" s="42"/>
      <c r="CP7" s="42"/>
      <c r="CQ7" s="42"/>
      <c r="CR7" s="41"/>
      <c r="CT7" s="130"/>
      <c r="CU7" s="130"/>
      <c r="CV7" s="130"/>
      <c r="CW7" s="130"/>
      <c r="CX7" s="130"/>
      <c r="CY7" s="130"/>
      <c r="CZ7" s="130"/>
      <c r="DA7" s="130"/>
      <c r="DB7" s="130"/>
      <c r="DC7" s="130"/>
      <c r="DD7" s="130"/>
      <c r="DE7" s="130"/>
    </row>
    <row r="8" spans="1:146" ht="15.75" customHeight="1" x14ac:dyDescent="0.2">
      <c r="A8" s="363"/>
      <c r="B8" s="363"/>
      <c r="C8" s="363"/>
      <c r="D8" s="363"/>
      <c r="E8" s="316" t="s">
        <v>556</v>
      </c>
      <c r="F8" s="316"/>
      <c r="G8" s="359"/>
      <c r="H8" s="359"/>
      <c r="I8" s="359"/>
      <c r="J8" s="359"/>
      <c r="K8" s="357">
        <f t="shared" si="0"/>
        <v>0</v>
      </c>
      <c r="L8" s="358"/>
      <c r="M8" s="11" t="str">
        <f>IF($A$25="mm","mm","in")</f>
        <v>in</v>
      </c>
      <c r="N8" s="11" t="str">
        <f>IF($A$25="mm","mm","in")</f>
        <v>in</v>
      </c>
      <c r="O8" s="11" t="str">
        <f>IF($A$25="mm","mm","in")</f>
        <v>in</v>
      </c>
      <c r="P8" s="128"/>
      <c r="Q8" s="30" t="s">
        <v>557</v>
      </c>
      <c r="S8" s="30"/>
      <c r="T8" s="30"/>
      <c r="U8" s="30"/>
      <c r="V8" s="30"/>
      <c r="W8" s="30"/>
      <c r="X8" s="30"/>
      <c r="Y8" s="30"/>
      <c r="Z8" s="30"/>
      <c r="AA8" s="30"/>
      <c r="AC8" s="139" t="s">
        <v>558</v>
      </c>
      <c r="AD8" s="139" t="s">
        <v>559</v>
      </c>
      <c r="AE8" s="140"/>
      <c r="AF8" s="140"/>
      <c r="AG8" s="140"/>
      <c r="AH8" s="140"/>
      <c r="AI8" s="140"/>
      <c r="AJ8" s="140"/>
      <c r="AK8" s="141"/>
      <c r="AL8" s="142"/>
      <c r="AM8" s="142"/>
      <c r="AO8" s="42"/>
      <c r="AP8" s="42"/>
      <c r="AQ8" s="42"/>
      <c r="AR8" s="42"/>
      <c r="AS8" s="42"/>
      <c r="AT8" s="42"/>
      <c r="AU8" s="42"/>
      <c r="AV8" s="42"/>
      <c r="AW8" s="42"/>
      <c r="AX8" s="42"/>
      <c r="AY8" s="42"/>
      <c r="AZ8" s="42"/>
      <c r="BA8" s="42"/>
      <c r="BB8" s="41"/>
      <c r="BC8" s="42"/>
      <c r="BD8" s="42"/>
      <c r="BE8" s="42"/>
      <c r="BF8" s="42"/>
      <c r="BG8" s="42"/>
      <c r="BH8" s="42"/>
      <c r="BI8" s="42"/>
      <c r="BJ8" s="42"/>
      <c r="BK8" s="42"/>
      <c r="BL8" s="42"/>
      <c r="BM8" s="42"/>
      <c r="BN8" s="42"/>
      <c r="BO8" s="42"/>
      <c r="BP8" s="41"/>
      <c r="BQ8" s="42"/>
      <c r="BR8" s="42"/>
      <c r="BS8" s="42"/>
      <c r="BT8" s="42"/>
      <c r="BU8" s="42"/>
      <c r="BV8" s="42"/>
      <c r="BW8" s="42"/>
      <c r="BX8" s="42"/>
      <c r="BY8" s="42"/>
      <c r="BZ8" s="42"/>
      <c r="CA8" s="42"/>
      <c r="CB8" s="42"/>
      <c r="CC8" s="42"/>
      <c r="CD8" s="41"/>
      <c r="CE8" s="42"/>
      <c r="CF8" s="42"/>
      <c r="CG8" s="42"/>
      <c r="CH8" s="42"/>
      <c r="CI8" s="42"/>
      <c r="CJ8" s="42"/>
      <c r="CK8" s="42"/>
      <c r="CL8" s="42"/>
      <c r="CM8" s="42"/>
      <c r="CN8" s="42"/>
      <c r="CO8" s="42"/>
      <c r="CP8" s="42"/>
      <c r="CQ8" s="42"/>
      <c r="CR8" s="41"/>
      <c r="CS8" s="130"/>
      <c r="CT8" s="130"/>
      <c r="CU8" s="130"/>
      <c r="CV8" s="130"/>
      <c r="CW8" s="130"/>
      <c r="CX8" s="130"/>
      <c r="CY8" s="130"/>
      <c r="CZ8" s="130"/>
      <c r="DA8" s="130"/>
      <c r="DB8" s="130"/>
      <c r="DC8" s="130"/>
      <c r="DD8" s="130"/>
      <c r="DE8" s="130"/>
    </row>
    <row r="9" spans="1:146" ht="15.75" customHeight="1" x14ac:dyDescent="0.2">
      <c r="A9" s="360" t="s">
        <v>560</v>
      </c>
      <c r="B9" s="360"/>
      <c r="C9" s="360"/>
      <c r="D9" s="143" t="e" cm="1">
        <f t="array" aca="1" ref="D9" ca="1">IF($E9="","",INDIRECT("'"&amp;$E9&amp;"'!$A$27"))</f>
        <v>#REF!</v>
      </c>
      <c r="E9" s="316" t="s">
        <v>561</v>
      </c>
      <c r="F9" s="316"/>
      <c r="G9" s="355" t="e" cm="1">
        <f t="array" aca="1" ref="G9" ca="1">IF($E9="","",
IF($A$25="mm",INDIRECT("'"&amp;$E9&amp;"'!$AK$82"),INDIRECT("'"&amp;$E9&amp;"'!$AK$83")))</f>
        <v>#REF!</v>
      </c>
      <c r="H9" s="356"/>
      <c r="I9" s="356" t="e" cm="1">
        <f t="array" aca="1" ref="I9" ca="1">IF($E9="","",
IF($A$25="mm",INDIRECT("'"&amp;$E9&amp;"'!$AK$85"),INDIRECT("'"&amp;$E9&amp;"'!$AK$86")))</f>
        <v>#REF!</v>
      </c>
      <c r="J9" s="356"/>
      <c r="K9" s="356" t="e" cm="1">
        <f t="array" aca="1" ref="K9" ca="1">IF($E9="","",
IF($A$25="mm",INDIRECT("'"&amp;$E9&amp;"'!$AY$62"),INDIRECT("'"&amp;$E9&amp;"'!$AY$63")))</f>
        <v>#REF!</v>
      </c>
      <c r="L9" s="356"/>
      <c r="M9" s="128" t="e" cm="1">
        <f t="array" aca="1" ref="M9" ca="1">IF($E9="","",
ROUND(IF($A$25="mm",1,1/25.4)*INDIRECT("'"&amp;$E9&amp;"'!$AK$61"),3))</f>
        <v>#REF!</v>
      </c>
      <c r="N9" s="128" t="e" cm="1">
        <f t="array" aca="1" ref="N9" ca="1">IF($E9="","",
ROUND(IF($A$25="mm",1,1/25.4)*INDIRECT("'"&amp;$E9&amp;"'!$AK$62"),3))</f>
        <v>#REF!</v>
      </c>
      <c r="O9" s="128" t="e" cm="1">
        <f t="array" aca="1" ref="O9" ca="1">IF($E9="","",
ROUND(IF($A$25="mm",1,1/25.4)*INDIRECT("'"&amp;$E9&amp;"'!$AK$63"),3))</f>
        <v>#REF!</v>
      </c>
      <c r="P9" s="128"/>
      <c r="Q9" s="144" t="s">
        <v>562</v>
      </c>
      <c r="R9" s="137"/>
      <c r="S9" s="144"/>
      <c r="T9" s="144"/>
      <c r="U9" s="144"/>
      <c r="V9" s="144"/>
      <c r="W9" s="144"/>
      <c r="X9" s="144"/>
      <c r="Y9" s="144"/>
      <c r="Z9" s="144"/>
      <c r="AA9" s="144"/>
      <c r="AB9" s="11"/>
      <c r="AC9" s="25" t="s">
        <v>563</v>
      </c>
      <c r="AD9" s="49"/>
      <c r="AE9" s="49"/>
      <c r="AF9" s="49"/>
      <c r="AG9" s="49"/>
      <c r="AH9" s="49"/>
      <c r="AI9" s="49"/>
      <c r="AJ9" s="11"/>
      <c r="AK9" s="48"/>
      <c r="AL9" s="22"/>
      <c r="AM9" s="22"/>
      <c r="AO9" s="294" t="s">
        <v>564</v>
      </c>
      <c r="AP9" s="294"/>
      <c r="AQ9" s="294"/>
      <c r="AR9" s="294"/>
      <c r="AS9" s="294"/>
      <c r="AT9" s="294"/>
      <c r="AU9" s="294"/>
      <c r="AV9" s="294"/>
      <c r="AW9" s="294"/>
      <c r="AX9" s="294"/>
      <c r="AY9" s="294"/>
      <c r="AZ9" s="294"/>
      <c r="BA9" s="294"/>
      <c r="BB9" s="41"/>
      <c r="BC9" s="294" t="s">
        <v>565</v>
      </c>
      <c r="BD9" s="294"/>
      <c r="BE9" s="294"/>
      <c r="BF9" s="294"/>
      <c r="BG9" s="294"/>
      <c r="BH9" s="294"/>
      <c r="BI9" s="294"/>
      <c r="BJ9" s="294"/>
      <c r="BK9" s="294"/>
      <c r="BL9" s="294"/>
      <c r="BM9" s="294"/>
      <c r="BN9" s="294"/>
      <c r="BO9" s="294"/>
      <c r="BP9" s="41"/>
      <c r="BQ9" s="294" t="s">
        <v>565</v>
      </c>
      <c r="BR9" s="294"/>
      <c r="BS9" s="294"/>
      <c r="BT9" s="294"/>
      <c r="BU9" s="294"/>
      <c r="BV9" s="294"/>
      <c r="BW9" s="294"/>
      <c r="BX9" s="294"/>
      <c r="BY9" s="294"/>
      <c r="BZ9" s="294"/>
      <c r="CA9" s="294"/>
      <c r="CB9" s="294"/>
      <c r="CC9" s="294"/>
      <c r="CD9" s="41"/>
      <c r="CE9" s="294" t="s">
        <v>565</v>
      </c>
      <c r="CF9" s="294"/>
      <c r="CG9" s="294"/>
      <c r="CH9" s="294"/>
      <c r="CI9" s="294"/>
      <c r="CJ9" s="294"/>
      <c r="CK9" s="294"/>
      <c r="CL9" s="294"/>
      <c r="CM9" s="294"/>
      <c r="CN9" s="294"/>
      <c r="CO9" s="294"/>
      <c r="CP9" s="294"/>
      <c r="CQ9" s="294"/>
      <c r="CR9" s="41"/>
      <c r="CS9" s="145"/>
      <c r="CT9" s="145"/>
      <c r="CU9" s="145"/>
      <c r="CV9" s="145"/>
      <c r="CW9" s="145"/>
      <c r="CX9" s="145"/>
      <c r="CY9" s="145"/>
      <c r="CZ9" s="145"/>
      <c r="DA9" s="145"/>
      <c r="DB9" s="145"/>
      <c r="DC9" s="145"/>
      <c r="DD9" s="145"/>
      <c r="DE9" s="145"/>
    </row>
    <row r="10" spans="1:146" ht="15.75" customHeight="1" x14ac:dyDescent="0.2">
      <c r="A10" s="360"/>
      <c r="B10" s="360"/>
      <c r="C10" s="360"/>
      <c r="D10" s="143" t="str" cm="1">
        <f t="array" aca="1" ref="D10" ca="1">IF($E10="","",INDIRECT("'"&amp;$E10&amp;"'!$A$27"))</f>
        <v/>
      </c>
      <c r="E10" s="316"/>
      <c r="F10" s="316"/>
      <c r="G10" s="357" t="str" cm="1">
        <f t="array" aca="1" ref="G10" ca="1">IF($E10="","",
IF($A$25="mm",INDIRECT("'"&amp;$E10&amp;"'!$AK$82"),INDIRECT("'"&amp;$E10&amp;"'!$AK$83")))</f>
        <v/>
      </c>
      <c r="H10" s="358"/>
      <c r="I10" s="358" t="str" cm="1">
        <f t="array" aca="1" ref="I10" ca="1">IF($E10="","",
IF($A$25="mm",INDIRECT("'"&amp;$E10&amp;"'!$AK$85"),INDIRECT("'"&amp;$E10&amp;"'!$AK$86")))</f>
        <v/>
      </c>
      <c r="J10" s="358"/>
      <c r="K10" s="358" t="str" cm="1">
        <f t="array" aca="1" ref="K10" ca="1">IF($E10="","",
IF($A$25="mm",INDIRECT("'"&amp;$E10&amp;"'!$AY$62"),INDIRECT("'"&amp;$E10&amp;"'!$AY$63")))</f>
        <v/>
      </c>
      <c r="L10" s="358"/>
      <c r="M10" s="146" t="str" cm="1">
        <f t="array" aca="1" ref="M10" ca="1">IF($E10="","",
ROUND(IF($A$25="mm",1,1/25.4)*INDIRECT("'"&amp;$E10&amp;"'!$AK$61"),3))</f>
        <v/>
      </c>
      <c r="N10" s="146" t="str" cm="1">
        <f t="array" aca="1" ref="N10" ca="1">IF($E10="","",
ROUND(IF($A$25="mm",1,1/25.4)*INDIRECT("'"&amp;$E10&amp;"'!$AK$62"),3))</f>
        <v/>
      </c>
      <c r="O10" s="146" t="str" cm="1">
        <f t="array" aca="1" ref="O10" ca="1">IF($E10="","",
ROUND(IF($A$25="mm",1,1/25.4)*INDIRECT("'"&amp;$E10&amp;"'!$AK$63"),3))</f>
        <v/>
      </c>
      <c r="P10" s="128"/>
      <c r="Q10" s="147" t="s">
        <v>566</v>
      </c>
      <c r="R10" s="135"/>
      <c r="S10" s="147"/>
      <c r="T10" s="147"/>
      <c r="U10" s="147"/>
      <c r="V10" s="147"/>
      <c r="W10" s="147"/>
      <c r="X10" s="147"/>
      <c r="Y10" s="147"/>
      <c r="Z10" s="147"/>
      <c r="AA10" s="147"/>
      <c r="AB10" s="11"/>
      <c r="AC10" s="129" t="s">
        <v>496</v>
      </c>
      <c r="AD10" s="129" t="s">
        <v>567</v>
      </c>
      <c r="AE10" s="148"/>
      <c r="AF10" s="148"/>
      <c r="AG10" s="148"/>
      <c r="AH10" s="148"/>
      <c r="AI10" s="148"/>
      <c r="AJ10" s="148"/>
      <c r="AK10" s="149"/>
      <c r="AL10" s="65"/>
      <c r="AM10" s="65"/>
      <c r="AO10" s="294"/>
      <c r="AP10" s="294"/>
      <c r="AQ10" s="294"/>
      <c r="AR10" s="294"/>
      <c r="AS10" s="294"/>
      <c r="AT10" s="294"/>
      <c r="AU10" s="294"/>
      <c r="AV10" s="294"/>
      <c r="AW10" s="294"/>
      <c r="AX10" s="294"/>
      <c r="AY10" s="294"/>
      <c r="AZ10" s="294"/>
      <c r="BA10" s="294"/>
      <c r="BB10" s="41"/>
      <c r="BC10" s="294"/>
      <c r="BD10" s="294"/>
      <c r="BE10" s="294"/>
      <c r="BF10" s="294"/>
      <c r="BG10" s="294"/>
      <c r="BH10" s="294"/>
      <c r="BI10" s="294"/>
      <c r="BJ10" s="294"/>
      <c r="BK10" s="294"/>
      <c r="BL10" s="294"/>
      <c r="BM10" s="294"/>
      <c r="BN10" s="294"/>
      <c r="BO10" s="294"/>
      <c r="BP10" s="41"/>
      <c r="BQ10" s="294"/>
      <c r="BR10" s="294"/>
      <c r="BS10" s="294"/>
      <c r="BT10" s="294"/>
      <c r="BU10" s="294"/>
      <c r="BV10" s="294"/>
      <c r="BW10" s="294"/>
      <c r="BX10" s="294"/>
      <c r="BY10" s="294"/>
      <c r="BZ10" s="294"/>
      <c r="CA10" s="294"/>
      <c r="CB10" s="294"/>
      <c r="CC10" s="294"/>
      <c r="CD10" s="41"/>
      <c r="CE10" s="294"/>
      <c r="CF10" s="294"/>
      <c r="CG10" s="294"/>
      <c r="CH10" s="294"/>
      <c r="CI10" s="294"/>
      <c r="CJ10" s="294"/>
      <c r="CK10" s="294"/>
      <c r="CL10" s="294"/>
      <c r="CM10" s="294"/>
      <c r="CN10" s="294"/>
      <c r="CO10" s="294"/>
      <c r="CP10" s="294"/>
      <c r="CQ10" s="294"/>
      <c r="CR10" s="41"/>
      <c r="CS10" s="145"/>
      <c r="CT10" s="145"/>
      <c r="CU10" s="145"/>
      <c r="CV10" s="145"/>
      <c r="CW10" s="145"/>
      <c r="CX10" s="145"/>
      <c r="CY10" s="145"/>
      <c r="CZ10" s="145"/>
      <c r="DA10" s="145"/>
      <c r="DB10" s="145"/>
      <c r="DC10" s="145"/>
      <c r="DD10" s="145"/>
      <c r="DE10" s="145"/>
    </row>
    <row r="11" spans="1:146" ht="15.75" customHeight="1" x14ac:dyDescent="0.2">
      <c r="A11" s="360"/>
      <c r="B11" s="360"/>
      <c r="C11" s="360"/>
      <c r="D11" s="143" t="str" cm="1">
        <f t="array" aca="1" ref="D11" ca="1">IF($E11="","",INDIRECT("'"&amp;$E11&amp;"'!$A$27"))</f>
        <v/>
      </c>
      <c r="E11" s="316"/>
      <c r="F11" s="316"/>
      <c r="G11" s="355" t="str" cm="1">
        <f t="array" aca="1" ref="G11" ca="1">IF($E11="","",
IF($A$25="mm",INDIRECT("'"&amp;$E11&amp;"'!$AK$82"),INDIRECT("'"&amp;$E11&amp;"'!$AK$83")))</f>
        <v/>
      </c>
      <c r="H11" s="356"/>
      <c r="I11" s="356" t="str" cm="1">
        <f t="array" aca="1" ref="I11" ca="1">IF($E11="","",
IF($A$25="mm",INDIRECT("'"&amp;$E11&amp;"'!$AK$85"),INDIRECT("'"&amp;$E11&amp;"'!$AK$86")))</f>
        <v/>
      </c>
      <c r="J11" s="356"/>
      <c r="K11" s="356" t="str" cm="1">
        <f t="array" aca="1" ref="K11" ca="1">IF($E11="","",
IF($A$25="mm",INDIRECT("'"&amp;$E11&amp;"'!$AY$62"),INDIRECT("'"&amp;$E11&amp;"'!$AY$63")))</f>
        <v/>
      </c>
      <c r="L11" s="356"/>
      <c r="M11" s="128" t="str" cm="1">
        <f t="array" aca="1" ref="M11" ca="1">IF($E11="","",
ROUND(IF($A$25="mm",1,1/25.4)*INDIRECT("'"&amp;$E11&amp;"'!$AK$61"),3))</f>
        <v/>
      </c>
      <c r="N11" s="128" t="str" cm="1">
        <f t="array" aca="1" ref="N11" ca="1">IF($E11="","",
ROUND(IF($A$25="mm",1,1/25.4)*INDIRECT("'"&amp;$E11&amp;"'!$AK$62"),3))</f>
        <v/>
      </c>
      <c r="O11" s="128" t="str" cm="1">
        <f t="array" aca="1" ref="O11" ca="1">IF($E11="","",
ROUND(IF($A$25="mm",1,1/25.4)*INDIRECT("'"&amp;$E11&amp;"'!$AK$63"),3))</f>
        <v/>
      </c>
      <c r="P11" s="37" t="s">
        <v>568</v>
      </c>
      <c r="Q11" s="31" t="s">
        <v>569</v>
      </c>
      <c r="S11" s="23"/>
      <c r="T11" s="23"/>
      <c r="U11" s="23"/>
      <c r="V11" s="23"/>
      <c r="W11" s="23"/>
      <c r="X11" s="23"/>
      <c r="Y11" s="23"/>
      <c r="Z11" s="23"/>
      <c r="AA11" s="23"/>
      <c r="AC11" s="129" t="s">
        <v>570</v>
      </c>
      <c r="AD11" s="150"/>
      <c r="AE11" s="150"/>
      <c r="AF11" s="150"/>
      <c r="AG11" s="150"/>
      <c r="AH11" s="150"/>
      <c r="AI11" s="150"/>
      <c r="AJ11" s="148"/>
      <c r="AK11" s="149"/>
      <c r="AL11" s="65"/>
      <c r="AM11" s="65"/>
      <c r="AO11" s="294" t="s">
        <v>571</v>
      </c>
      <c r="AP11" s="294"/>
      <c r="AQ11" s="294"/>
      <c r="AR11" s="294"/>
      <c r="AS11" s="294"/>
      <c r="AT11" s="294"/>
      <c r="AU11" s="294"/>
      <c r="AV11" s="294"/>
      <c r="AW11" s="294"/>
      <c r="AX11" s="294"/>
      <c r="AY11" s="294"/>
      <c r="AZ11" s="294"/>
      <c r="BA11" s="294"/>
      <c r="BB11" s="41"/>
      <c r="BC11" s="294" t="s">
        <v>572</v>
      </c>
      <c r="BD11" s="294"/>
      <c r="BE11" s="294"/>
      <c r="BF11" s="294"/>
      <c r="BG11" s="294"/>
      <c r="BH11" s="294"/>
      <c r="BI11" s="294"/>
      <c r="BJ11" s="294"/>
      <c r="BK11" s="294"/>
      <c r="BL11" s="294"/>
      <c r="BM11" s="294"/>
      <c r="BN11" s="294"/>
      <c r="BO11" s="294"/>
      <c r="BP11" s="41"/>
      <c r="BQ11" s="294" t="s">
        <v>572</v>
      </c>
      <c r="BR11" s="294"/>
      <c r="BS11" s="294"/>
      <c r="BT11" s="294"/>
      <c r="BU11" s="294"/>
      <c r="BV11" s="294"/>
      <c r="BW11" s="294"/>
      <c r="BX11" s="294"/>
      <c r="BY11" s="294"/>
      <c r="BZ11" s="294"/>
      <c r="CA11" s="294"/>
      <c r="CB11" s="294"/>
      <c r="CC11" s="294"/>
      <c r="CD11" s="41"/>
      <c r="CE11" s="294" t="s">
        <v>572</v>
      </c>
      <c r="CF11" s="294"/>
      <c r="CG11" s="294"/>
      <c r="CH11" s="294"/>
      <c r="CI11" s="294"/>
      <c r="CJ11" s="294"/>
      <c r="CK11" s="294"/>
      <c r="CL11" s="294"/>
      <c r="CM11" s="294"/>
      <c r="CN11" s="294"/>
      <c r="CO11" s="294"/>
      <c r="CP11" s="294"/>
      <c r="CQ11" s="294"/>
      <c r="CR11" s="41"/>
      <c r="CS11" s="145"/>
      <c r="CT11" s="145"/>
      <c r="CU11" s="145"/>
      <c r="CV11" s="145"/>
      <c r="CW11" s="145"/>
      <c r="CX11" s="145"/>
      <c r="CY11" s="145"/>
      <c r="CZ11" s="145"/>
      <c r="DA11" s="145"/>
      <c r="DB11" s="145"/>
      <c r="DC11" s="145"/>
      <c r="DD11" s="145"/>
      <c r="DE11" s="145"/>
    </row>
    <row r="12" spans="1:146" ht="15.75" customHeight="1" x14ac:dyDescent="0.2">
      <c r="A12" s="360"/>
      <c r="B12" s="360"/>
      <c r="C12" s="360"/>
      <c r="D12" s="143" t="str" cm="1">
        <f t="array" aca="1" ref="D12" ca="1">IF($E12="","",INDIRECT("'"&amp;$E12&amp;"'!$A$27"))</f>
        <v/>
      </c>
      <c r="E12" s="316"/>
      <c r="F12" s="316"/>
      <c r="G12" s="357" t="str" cm="1">
        <f t="array" aca="1" ref="G12" ca="1">IF($E12="","",
IF($A$25="mm",INDIRECT("'"&amp;$E12&amp;"'!$AK$82"),INDIRECT("'"&amp;$E12&amp;"'!$AK$83")))</f>
        <v/>
      </c>
      <c r="H12" s="358"/>
      <c r="I12" s="358" t="str" cm="1">
        <f t="array" aca="1" ref="I12" ca="1">IF($E12="","",
IF($A$25="mm",INDIRECT("'"&amp;$E12&amp;"'!$AK$85"),INDIRECT("'"&amp;$E12&amp;"'!$AK$86")))</f>
        <v/>
      </c>
      <c r="J12" s="358"/>
      <c r="K12" s="358" t="str" cm="1">
        <f t="array" aca="1" ref="K12" ca="1">IF($E12="","",
IF($A$25="mm",INDIRECT("'"&amp;$E12&amp;"'!$AY$62"),INDIRECT("'"&amp;$E12&amp;"'!$AY$63")))</f>
        <v/>
      </c>
      <c r="L12" s="358"/>
      <c r="M12" s="146" t="str" cm="1">
        <f t="array" aca="1" ref="M12" ca="1">IF($E12="","",
ROUND(IF($A$25="mm",1,1/25.4)*INDIRECT("'"&amp;$E12&amp;"'!$AK$61"),3))</f>
        <v/>
      </c>
      <c r="N12" s="146" t="str" cm="1">
        <f t="array" aca="1" ref="N12" ca="1">IF($E12="","",
ROUND(IF($A$25="mm",1,1/25.4)*INDIRECT("'"&amp;$E12&amp;"'!$AK$62"),3))</f>
        <v/>
      </c>
      <c r="O12" s="146" t="str" cm="1">
        <f t="array" aca="1" ref="O12" ca="1">IF($E12="","",
ROUND(IF($A$25="mm",1,1/25.4)*INDIRECT("'"&amp;$E12&amp;"'!$AK$63"),3))</f>
        <v/>
      </c>
      <c r="P12" s="37"/>
      <c r="Q12" s="23" t="s">
        <v>573</v>
      </c>
      <c r="S12" s="23"/>
      <c r="T12" s="23"/>
      <c r="U12" s="23"/>
      <c r="V12" s="23"/>
      <c r="W12" s="23"/>
      <c r="X12" s="23"/>
      <c r="Y12" s="23"/>
      <c r="Z12" s="23"/>
      <c r="AA12" s="23"/>
      <c r="AC12" s="135" t="s">
        <v>574</v>
      </c>
      <c r="AD12" s="133"/>
      <c r="AE12" s="133"/>
      <c r="AF12" s="133"/>
      <c r="AG12" s="133"/>
      <c r="AH12" s="133"/>
      <c r="AI12" s="133"/>
      <c r="AJ12" s="133"/>
      <c r="AK12" s="134"/>
      <c r="AL12" s="132"/>
      <c r="AM12" s="132"/>
      <c r="AN12" s="21"/>
      <c r="AO12" s="294"/>
      <c r="AP12" s="294"/>
      <c r="AQ12" s="294"/>
      <c r="AR12" s="294"/>
      <c r="AS12" s="294"/>
      <c r="AT12" s="294"/>
      <c r="AU12" s="294"/>
      <c r="AV12" s="294"/>
      <c r="AW12" s="294"/>
      <c r="AX12" s="294"/>
      <c r="AY12" s="294"/>
      <c r="AZ12" s="294"/>
      <c r="BA12" s="294"/>
      <c r="BB12" s="41"/>
      <c r="BC12" s="294"/>
      <c r="BD12" s="294"/>
      <c r="BE12" s="294"/>
      <c r="BF12" s="294"/>
      <c r="BG12" s="294"/>
      <c r="BH12" s="294"/>
      <c r="BI12" s="294"/>
      <c r="BJ12" s="294"/>
      <c r="BK12" s="294"/>
      <c r="BL12" s="294"/>
      <c r="BM12" s="294"/>
      <c r="BN12" s="294"/>
      <c r="BO12" s="294"/>
      <c r="BP12" s="41"/>
      <c r="BQ12" s="294"/>
      <c r="BR12" s="294"/>
      <c r="BS12" s="294"/>
      <c r="BT12" s="294"/>
      <c r="BU12" s="294"/>
      <c r="BV12" s="294"/>
      <c r="BW12" s="294"/>
      <c r="BX12" s="294"/>
      <c r="BY12" s="294"/>
      <c r="BZ12" s="294"/>
      <c r="CA12" s="294"/>
      <c r="CB12" s="294"/>
      <c r="CC12" s="294"/>
      <c r="CD12" s="41"/>
      <c r="CE12" s="294"/>
      <c r="CF12" s="294"/>
      <c r="CG12" s="294"/>
      <c r="CH12" s="294"/>
      <c r="CI12" s="294"/>
      <c r="CJ12" s="294"/>
      <c r="CK12" s="294"/>
      <c r="CL12" s="294"/>
      <c r="CM12" s="294"/>
      <c r="CN12" s="294"/>
      <c r="CO12" s="294"/>
      <c r="CP12" s="294"/>
      <c r="CQ12" s="294"/>
      <c r="CR12" s="41"/>
      <c r="CS12" s="145"/>
      <c r="CT12" s="145"/>
      <c r="CU12" s="145"/>
      <c r="CV12" s="145"/>
      <c r="CW12" s="145"/>
      <c r="CX12" s="145"/>
      <c r="CY12" s="145"/>
      <c r="CZ12" s="145"/>
      <c r="DA12" s="145"/>
      <c r="DB12" s="145"/>
      <c r="DC12" s="145"/>
      <c r="DD12" s="145"/>
      <c r="DE12" s="145"/>
    </row>
    <row r="13" spans="1:146" ht="15.75" customHeight="1" x14ac:dyDescent="0.2">
      <c r="A13" s="360"/>
      <c r="B13" s="360"/>
      <c r="C13" s="360"/>
      <c r="D13" s="143" t="str" cm="1">
        <f t="array" aca="1" ref="D13" ca="1">IF($E13="","",INDIRECT("'"&amp;$E13&amp;"'!$A$27"))</f>
        <v/>
      </c>
      <c r="E13" s="316"/>
      <c r="F13" s="316"/>
      <c r="G13" s="355" t="str" cm="1">
        <f t="array" aca="1" ref="G13" ca="1">IF($E13="","",
IF($A$25="mm",INDIRECT("'"&amp;$E13&amp;"'!$AK$82"),INDIRECT("'"&amp;$E13&amp;"'!$AK$83")))</f>
        <v/>
      </c>
      <c r="H13" s="356"/>
      <c r="I13" s="356" t="str" cm="1">
        <f t="array" aca="1" ref="I13" ca="1">IF($E13="","",
IF($A$25="mm",INDIRECT("'"&amp;$E13&amp;"'!$AK$85"),INDIRECT("'"&amp;$E13&amp;"'!$AK$86")))</f>
        <v/>
      </c>
      <c r="J13" s="356"/>
      <c r="K13" s="356" t="str" cm="1">
        <f t="array" aca="1" ref="K13" ca="1">IF($E13="","",
IF($A$25="mm",INDIRECT("'"&amp;$E13&amp;"'!$AY$62"),INDIRECT("'"&amp;$E13&amp;"'!$AY$63")))</f>
        <v/>
      </c>
      <c r="L13" s="356"/>
      <c r="M13" s="128" t="str" cm="1">
        <f t="array" aca="1" ref="M13" ca="1">IF($E13="","",
ROUND(IF($A$25="mm",1,1/25.4)*INDIRECT("'"&amp;$E13&amp;"'!$AK$61"),3))</f>
        <v/>
      </c>
      <c r="N13" s="128" t="str" cm="1">
        <f t="array" aca="1" ref="N13" ca="1">IF($E13="","",
ROUND(IF($A$25="mm",1,1/25.4)*INDIRECT("'"&amp;$E13&amp;"'!$AK$62"),3))</f>
        <v/>
      </c>
      <c r="O13" s="128" t="str" cm="1">
        <f t="array" aca="1" ref="O13" ca="1">IF($E13="","",
ROUND(IF($A$25="mm",1,1/25.4)*INDIRECT("'"&amp;$E13&amp;"'!$AK$63"),3))</f>
        <v/>
      </c>
      <c r="P13" s="128"/>
      <c r="Q13" s="21" t="s">
        <v>575</v>
      </c>
      <c r="S13" s="21"/>
      <c r="T13" s="21"/>
      <c r="U13" s="21"/>
      <c r="V13" s="21"/>
      <c r="W13" s="21"/>
      <c r="X13" s="21"/>
      <c r="Y13" s="21"/>
      <c r="Z13" s="21"/>
      <c r="AA13" s="21"/>
      <c r="AC13" s="25" t="s">
        <v>576</v>
      </c>
      <c r="AD13" s="49"/>
      <c r="AE13" s="49"/>
      <c r="AF13" s="49"/>
      <c r="AG13" s="49"/>
      <c r="AH13" s="49"/>
      <c r="AI13" s="49"/>
      <c r="AJ13" s="11"/>
      <c r="AK13" s="48"/>
      <c r="AL13" s="22"/>
      <c r="AM13" s="22"/>
      <c r="AN13" s="22"/>
      <c r="AO13" s="294" t="s">
        <v>577</v>
      </c>
      <c r="AP13" s="294"/>
      <c r="AQ13" s="294"/>
      <c r="AR13" s="294"/>
      <c r="AS13" s="294"/>
      <c r="AT13" s="294"/>
      <c r="AU13" s="294"/>
      <c r="AV13" s="294"/>
      <c r="AW13" s="294"/>
      <c r="AX13" s="294"/>
      <c r="AY13" s="294"/>
      <c r="AZ13" s="294"/>
      <c r="BA13" s="294"/>
      <c r="BB13" s="41"/>
      <c r="BC13" s="294" t="s">
        <v>578</v>
      </c>
      <c r="BD13" s="294"/>
      <c r="BE13" s="294"/>
      <c r="BF13" s="294"/>
      <c r="BG13" s="294"/>
      <c r="BH13" s="294"/>
      <c r="BI13" s="294"/>
      <c r="BJ13" s="294"/>
      <c r="BK13" s="294"/>
      <c r="BL13" s="294"/>
      <c r="BM13" s="294"/>
      <c r="BN13" s="294"/>
      <c r="BO13" s="294"/>
      <c r="BP13" s="41"/>
      <c r="BQ13" s="294" t="s">
        <v>578</v>
      </c>
      <c r="BR13" s="294"/>
      <c r="BS13" s="294"/>
      <c r="BT13" s="294"/>
      <c r="BU13" s="294"/>
      <c r="BV13" s="294"/>
      <c r="BW13" s="294"/>
      <c r="BX13" s="294"/>
      <c r="BY13" s="294"/>
      <c r="BZ13" s="294"/>
      <c r="CA13" s="294"/>
      <c r="CB13" s="294"/>
      <c r="CC13" s="294"/>
      <c r="CD13" s="41"/>
      <c r="CE13" s="294" t="s">
        <v>578</v>
      </c>
      <c r="CF13" s="294"/>
      <c r="CG13" s="294"/>
      <c r="CH13" s="294"/>
      <c r="CI13" s="294"/>
      <c r="CJ13" s="294"/>
      <c r="CK13" s="294"/>
      <c r="CL13" s="294"/>
      <c r="CM13" s="294"/>
      <c r="CN13" s="294"/>
      <c r="CO13" s="294"/>
      <c r="CP13" s="294"/>
      <c r="CQ13" s="294"/>
      <c r="CR13" s="41"/>
      <c r="CS13" s="145"/>
      <c r="CT13" s="145"/>
      <c r="CU13" s="145"/>
      <c r="CV13" s="145"/>
      <c r="CW13" s="145"/>
      <c r="CX13" s="145"/>
      <c r="CY13" s="145"/>
      <c r="CZ13" s="145"/>
      <c r="DA13" s="145"/>
      <c r="DB13" s="145"/>
      <c r="DC13" s="145"/>
      <c r="DD13" s="145"/>
      <c r="DE13" s="145"/>
    </row>
    <row r="14" spans="1:146" ht="15.75" customHeight="1" x14ac:dyDescent="0.2">
      <c r="A14" s="360"/>
      <c r="B14" s="360"/>
      <c r="C14" s="360"/>
      <c r="D14" s="143" t="str" cm="1">
        <f t="array" aca="1" ref="D14" ca="1">IF($E14="","",INDIRECT("'"&amp;$E14&amp;"'!$A$27"))</f>
        <v/>
      </c>
      <c r="E14" s="316"/>
      <c r="F14" s="316"/>
      <c r="G14" s="357" t="str" cm="1">
        <f t="array" aca="1" ref="G14" ca="1">IF($E14="","",
IF($A$25="mm",INDIRECT("'"&amp;$E14&amp;"'!$AK$82"),INDIRECT("'"&amp;$E14&amp;"'!$AK$83")))</f>
        <v/>
      </c>
      <c r="H14" s="358"/>
      <c r="I14" s="358" t="str" cm="1">
        <f t="array" aca="1" ref="I14" ca="1">IF($E14="","",
IF($A$25="mm",INDIRECT("'"&amp;$E14&amp;"'!$AK$85"),INDIRECT("'"&amp;$E14&amp;"'!$AK$86")))</f>
        <v/>
      </c>
      <c r="J14" s="358"/>
      <c r="K14" s="358" t="str" cm="1">
        <f t="array" aca="1" ref="K14" ca="1">IF($E14="","",
IF($A$25="mm",INDIRECT("'"&amp;$E14&amp;"'!$AY$62"),INDIRECT("'"&amp;$E14&amp;"'!$AY$63")))</f>
        <v/>
      </c>
      <c r="L14" s="358"/>
      <c r="M14" s="146" t="str" cm="1">
        <f t="array" aca="1" ref="M14" ca="1">IF($E14="","",
ROUND(IF($A$25="mm",1,1/25.4)*INDIRECT("'"&amp;$E14&amp;"'!$AK$61"),3))</f>
        <v/>
      </c>
      <c r="N14" s="146" t="str" cm="1">
        <f t="array" aca="1" ref="N14" ca="1">IF($E14="","",
ROUND(IF($A$25="mm",1,1/25.4)*INDIRECT("'"&amp;$E14&amp;"'!$AK$62"),3))</f>
        <v/>
      </c>
      <c r="O14" s="146" t="str" cm="1">
        <f t="array" aca="1" ref="O14" ca="1">IF($E14="","",
ROUND(IF($A$25="mm",1,1/25.4)*INDIRECT("'"&amp;$E14&amp;"'!$AK$63"),3))</f>
        <v/>
      </c>
      <c r="P14" s="128"/>
      <c r="Q14" s="23" t="s">
        <v>579</v>
      </c>
      <c r="S14" s="23"/>
      <c r="T14" s="23"/>
      <c r="U14" s="23"/>
      <c r="V14" s="23"/>
      <c r="W14" s="23"/>
      <c r="X14" s="23"/>
      <c r="Y14" s="23"/>
      <c r="Z14" s="23"/>
      <c r="AA14" s="23"/>
      <c r="AC14" s="25" t="s">
        <v>580</v>
      </c>
      <c r="AD14" s="11"/>
      <c r="AE14" s="11"/>
      <c r="AF14" s="11"/>
      <c r="AG14" s="11"/>
      <c r="AH14" s="11"/>
      <c r="AI14" s="11"/>
      <c r="AJ14" s="11"/>
      <c r="AK14" s="48"/>
      <c r="AL14" s="23"/>
      <c r="AM14" s="23"/>
      <c r="AN14" s="30"/>
      <c r="AO14" s="294"/>
      <c r="AP14" s="294"/>
      <c r="AQ14" s="294"/>
      <c r="AR14" s="294"/>
      <c r="AS14" s="294"/>
      <c r="AT14" s="294"/>
      <c r="AU14" s="294"/>
      <c r="AV14" s="294"/>
      <c r="AW14" s="294"/>
      <c r="AX14" s="294"/>
      <c r="AY14" s="294"/>
      <c r="AZ14" s="294"/>
      <c r="BA14" s="294"/>
      <c r="BB14" s="41"/>
      <c r="BC14" s="294"/>
      <c r="BD14" s="294"/>
      <c r="BE14" s="294"/>
      <c r="BF14" s="294"/>
      <c r="BG14" s="294"/>
      <c r="BH14" s="294"/>
      <c r="BI14" s="294"/>
      <c r="BJ14" s="294"/>
      <c r="BK14" s="294"/>
      <c r="BL14" s="294"/>
      <c r="BM14" s="294"/>
      <c r="BN14" s="294"/>
      <c r="BO14" s="294"/>
      <c r="BP14" s="41"/>
      <c r="BQ14" s="294"/>
      <c r="BR14" s="294"/>
      <c r="BS14" s="294"/>
      <c r="BT14" s="294"/>
      <c r="BU14" s="294"/>
      <c r="BV14" s="294"/>
      <c r="BW14" s="294"/>
      <c r="BX14" s="294"/>
      <c r="BY14" s="294"/>
      <c r="BZ14" s="294"/>
      <c r="CA14" s="294"/>
      <c r="CB14" s="294"/>
      <c r="CC14" s="294"/>
      <c r="CD14" s="41"/>
      <c r="CE14" s="294"/>
      <c r="CF14" s="294"/>
      <c r="CG14" s="294"/>
      <c r="CH14" s="294"/>
      <c r="CI14" s="294"/>
      <c r="CJ14" s="294"/>
      <c r="CK14" s="294"/>
      <c r="CL14" s="294"/>
      <c r="CM14" s="294"/>
      <c r="CN14" s="294"/>
      <c r="CO14" s="294"/>
      <c r="CP14" s="294"/>
      <c r="CQ14" s="294"/>
      <c r="CR14" s="41"/>
      <c r="CS14" s="145"/>
      <c r="CT14" s="145"/>
      <c r="CU14" s="145"/>
      <c r="CV14" s="145"/>
      <c r="CW14" s="145"/>
      <c r="CX14" s="145"/>
      <c r="CY14" s="145"/>
      <c r="CZ14" s="145"/>
      <c r="DA14" s="145"/>
      <c r="DB14" s="145"/>
      <c r="DC14" s="145"/>
      <c r="DD14" s="145"/>
      <c r="DE14" s="145"/>
    </row>
    <row r="15" spans="1:146" ht="15.75" customHeight="1" x14ac:dyDescent="0.2">
      <c r="A15" s="360"/>
      <c r="B15" s="360"/>
      <c r="C15" s="360"/>
      <c r="D15" s="143" t="str" cm="1">
        <f t="array" aca="1" ref="D15" ca="1">IF($E15="","",INDIRECT("'"&amp;$E15&amp;"'!$A$27"))</f>
        <v/>
      </c>
      <c r="E15" s="316"/>
      <c r="F15" s="316"/>
      <c r="G15" s="355" t="str" cm="1">
        <f t="array" aca="1" ref="G15" ca="1">IF($E15="","",
IF($A$25="mm",INDIRECT("'"&amp;$E15&amp;"'!$AK$82"),INDIRECT("'"&amp;$E15&amp;"'!$AK$83")))</f>
        <v/>
      </c>
      <c r="H15" s="356"/>
      <c r="I15" s="356" t="str" cm="1">
        <f t="array" aca="1" ref="I15" ca="1">IF($E15="","",
IF($A$25="mm",INDIRECT("'"&amp;$E15&amp;"'!$AK$85"),INDIRECT("'"&amp;$E15&amp;"'!$AK$86")))</f>
        <v/>
      </c>
      <c r="J15" s="356"/>
      <c r="K15" s="356" t="str" cm="1">
        <f t="array" aca="1" ref="K15" ca="1">IF($E15="","",
IF($A$25="mm",INDIRECT("'"&amp;$E15&amp;"'!$AY$62"),INDIRECT("'"&amp;$E15&amp;"'!$AY$63")))</f>
        <v/>
      </c>
      <c r="L15" s="356"/>
      <c r="M15" s="128" t="str" cm="1">
        <f t="array" aca="1" ref="M15" ca="1">IF($E15="","",
ROUND(IF($A$25="mm",1,1/25.4)*INDIRECT("'"&amp;$E15&amp;"'!$AK$61"),3))</f>
        <v/>
      </c>
      <c r="N15" s="128" t="str" cm="1">
        <f t="array" aca="1" ref="N15" ca="1">IF($E15="","",
ROUND(IF($A$25="mm",1,1/25.4)*INDIRECT("'"&amp;$E15&amp;"'!$AK$62"),3))</f>
        <v/>
      </c>
      <c r="O15" s="128" t="str" cm="1">
        <f t="array" aca="1" ref="O15" ca="1">IF($E15="","",
ROUND(IF($A$25="mm",1,1/25.4)*INDIRECT("'"&amp;$E15&amp;"'!$AK$63"),3))</f>
        <v/>
      </c>
      <c r="P15" s="128"/>
      <c r="Q15" s="21" t="s">
        <v>581</v>
      </c>
      <c r="S15" s="21"/>
      <c r="T15" s="21"/>
      <c r="U15" s="21"/>
      <c r="V15" s="21"/>
      <c r="W15" s="21"/>
      <c r="X15" s="21"/>
      <c r="Y15" s="21"/>
      <c r="Z15" s="21"/>
      <c r="AA15" s="21"/>
      <c r="AB15" s="11"/>
      <c r="AC15" s="25" t="s">
        <v>582</v>
      </c>
      <c r="AD15" s="49"/>
      <c r="AE15" s="49"/>
      <c r="AF15" s="49"/>
      <c r="AG15" s="49"/>
      <c r="AH15" s="49"/>
      <c r="AI15" s="49"/>
      <c r="AJ15" s="11"/>
      <c r="AK15" s="48"/>
      <c r="AL15" s="23"/>
      <c r="AM15" s="23"/>
      <c r="AN15" s="30"/>
      <c r="AO15" s="10"/>
      <c r="AP15" s="10"/>
      <c r="AQ15" s="10"/>
      <c r="AR15" s="10"/>
      <c r="AS15" s="10"/>
      <c r="AT15" s="10"/>
      <c r="AU15" s="10"/>
      <c r="AV15" s="10"/>
      <c r="AW15" s="10"/>
      <c r="AX15" s="10"/>
      <c r="AY15" s="10"/>
      <c r="AZ15" s="10"/>
      <c r="BA15" s="10"/>
      <c r="BB15" s="41"/>
      <c r="BC15" s="10"/>
      <c r="BD15" s="10"/>
      <c r="BE15" s="10"/>
      <c r="BF15" s="10"/>
      <c r="BG15" s="10"/>
      <c r="BH15" s="10"/>
      <c r="BI15" s="10"/>
      <c r="BJ15" s="10"/>
      <c r="BK15" s="10"/>
      <c r="BL15" s="10"/>
      <c r="BM15" s="10"/>
      <c r="BN15" s="10"/>
      <c r="BO15" s="10"/>
      <c r="BP15" s="41"/>
      <c r="BQ15" s="10"/>
      <c r="BR15" s="10"/>
      <c r="BS15" s="10"/>
      <c r="BT15" s="10"/>
      <c r="BU15" s="10"/>
      <c r="BV15" s="10"/>
      <c r="BW15" s="10"/>
      <c r="BX15" s="10"/>
      <c r="BY15" s="10"/>
      <c r="BZ15" s="10"/>
      <c r="CA15" s="10"/>
      <c r="CB15" s="10"/>
      <c r="CC15" s="10"/>
      <c r="CD15" s="41"/>
      <c r="CE15" s="10"/>
      <c r="CF15" s="10"/>
      <c r="CG15" s="10"/>
      <c r="CH15" s="10"/>
      <c r="CI15" s="10"/>
      <c r="CJ15" s="10"/>
      <c r="CK15" s="10"/>
      <c r="CL15" s="10"/>
      <c r="CM15" s="10"/>
      <c r="CN15" s="10"/>
      <c r="CO15" s="10"/>
      <c r="CP15" s="10"/>
      <c r="CQ15" s="10"/>
      <c r="CR15" s="41"/>
      <c r="CS15" s="145"/>
      <c r="CT15" s="145"/>
      <c r="CU15" s="145"/>
      <c r="CV15" s="145"/>
      <c r="CW15" s="145"/>
      <c r="CX15" s="145"/>
      <c r="CY15" s="145"/>
      <c r="CZ15" s="145"/>
      <c r="DA15" s="145"/>
      <c r="DB15" s="145"/>
      <c r="DC15" s="145"/>
      <c r="DD15" s="145"/>
      <c r="DE15" s="145"/>
    </row>
    <row r="16" spans="1:146" ht="15.75" customHeight="1" x14ac:dyDescent="0.2">
      <c r="A16" s="35" t="str" cm="1">
        <f t="array" aca="1" ref="A16" ca="1">IF(ISREF(INDIRECT("'F.3.1-4 Tube Chassis"&amp;"'!G8")),INDIRECT("'F.3.1-4 Tube Chassis"&amp;"'!G8"),INDIRECT("'F.3.1-5 Tube Chassis"&amp;"'!G8"))</f>
        <v>IC - Internal Combustion</v>
      </c>
      <c r="B16" s="11"/>
      <c r="D16" s="143" t="str" cm="1">
        <f t="array" aca="1" ref="D16" ca="1">IF($E16="","",INDIRECT("'"&amp;$E16&amp;"'!$A$27"))</f>
        <v/>
      </c>
      <c r="E16" s="316"/>
      <c r="F16" s="316"/>
      <c r="G16" s="357" t="str" cm="1">
        <f t="array" aca="1" ref="G16" ca="1">IF($E16="","",
IF($A$25="mm",INDIRECT("'"&amp;$E16&amp;"'!$AK$82"),INDIRECT("'"&amp;$E16&amp;"'!$AK$83")))</f>
        <v/>
      </c>
      <c r="H16" s="358"/>
      <c r="I16" s="358" t="str" cm="1">
        <f t="array" aca="1" ref="I16" ca="1">IF($E16="","",
IF($A$25="mm",INDIRECT("'"&amp;$E16&amp;"'!$AK$85"),INDIRECT("'"&amp;$E16&amp;"'!$AK$86")))</f>
        <v/>
      </c>
      <c r="J16" s="358"/>
      <c r="K16" s="358" t="str" cm="1">
        <f t="array" aca="1" ref="K16" ca="1">IF($E16="","",
IF($A$25="mm",INDIRECT("'"&amp;$E16&amp;"'!$AY$62"),INDIRECT("'"&amp;$E16&amp;"'!$AY$63")))</f>
        <v/>
      </c>
      <c r="L16" s="358"/>
      <c r="M16" s="146" t="str" cm="1">
        <f t="array" aca="1" ref="M16" ca="1">IF($E16="","",
ROUND(IF($A$25="mm",1,1/25.4)*INDIRECT("'"&amp;$E16&amp;"'!$AK$61"),3))</f>
        <v/>
      </c>
      <c r="N16" s="146" t="str" cm="1">
        <f t="array" aca="1" ref="N16" ca="1">IF($E16="","",
ROUND(IF($A$25="mm",1,1/25.4)*INDIRECT("'"&amp;$E16&amp;"'!$AK$62"),3))</f>
        <v/>
      </c>
      <c r="O16" s="146" t="str" cm="1">
        <f t="array" aca="1" ref="O16" ca="1">IF($E16="","",
ROUND(IF($A$25="mm",1,1/25.4)*INDIRECT("'"&amp;$E16&amp;"'!$AK$63"),3))</f>
        <v/>
      </c>
      <c r="P16" s="128"/>
      <c r="Q16" s="144" t="s">
        <v>583</v>
      </c>
      <c r="R16" s="151"/>
      <c r="S16" s="137"/>
      <c r="T16" s="144"/>
      <c r="U16" s="144"/>
      <c r="V16" s="144"/>
      <c r="W16" s="144"/>
      <c r="X16" s="144"/>
      <c r="Y16" s="144"/>
      <c r="Z16" s="144"/>
      <c r="AA16" s="144"/>
      <c r="AB16" s="11"/>
      <c r="AC16" s="25" t="s">
        <v>584</v>
      </c>
      <c r="AE16" s="25"/>
      <c r="AF16" s="25"/>
      <c r="AL16" s="23"/>
      <c r="AM16" s="23"/>
      <c r="AN16" s="30"/>
      <c r="AO16" s="10"/>
      <c r="AP16" s="10"/>
      <c r="AQ16" s="10"/>
      <c r="AR16" s="10"/>
      <c r="AS16" s="10"/>
      <c r="AT16" s="10"/>
      <c r="AU16" s="10"/>
      <c r="AV16" s="10"/>
      <c r="AW16" s="10"/>
      <c r="AX16" s="10"/>
      <c r="AY16" s="10"/>
      <c r="AZ16" s="10"/>
      <c r="BA16" s="10"/>
      <c r="BB16" s="41"/>
      <c r="BC16" s="10"/>
      <c r="BD16" s="10"/>
      <c r="BE16" s="10"/>
      <c r="BF16" s="10"/>
      <c r="BG16" s="10"/>
      <c r="BH16" s="10"/>
      <c r="BI16" s="10"/>
      <c r="BJ16" s="10"/>
      <c r="BK16" s="10"/>
      <c r="BL16" s="10"/>
      <c r="BM16" s="10"/>
      <c r="BN16" s="10"/>
      <c r="BO16" s="10"/>
      <c r="BP16" s="41"/>
      <c r="BQ16" s="10"/>
      <c r="BR16" s="10"/>
      <c r="BS16" s="10"/>
      <c r="BT16" s="10"/>
      <c r="BU16" s="10"/>
      <c r="BV16" s="10"/>
      <c r="BW16" s="10"/>
      <c r="BX16" s="10"/>
      <c r="BY16" s="10"/>
      <c r="BZ16" s="10"/>
      <c r="CA16" s="10"/>
      <c r="CB16" s="10"/>
      <c r="CC16" s="10"/>
      <c r="CD16" s="41"/>
      <c r="CE16" s="10"/>
      <c r="CF16" s="10"/>
      <c r="CG16" s="10"/>
      <c r="CH16" s="10"/>
      <c r="CI16" s="10"/>
      <c r="CJ16" s="10"/>
      <c r="CK16" s="10"/>
      <c r="CL16" s="10"/>
      <c r="CM16" s="10"/>
      <c r="CN16" s="10"/>
      <c r="CO16" s="10"/>
      <c r="CP16" s="10"/>
      <c r="CQ16" s="10"/>
      <c r="CR16" s="41"/>
      <c r="CS16" s="145"/>
      <c r="CT16" s="145"/>
      <c r="CU16" s="145"/>
      <c r="CV16" s="145"/>
      <c r="CW16" s="145"/>
      <c r="CX16" s="145"/>
      <c r="CY16" s="145"/>
      <c r="CZ16" s="145"/>
      <c r="DA16" s="145"/>
      <c r="DB16" s="145"/>
      <c r="DC16" s="145"/>
      <c r="DD16" s="145"/>
      <c r="DE16" s="145"/>
    </row>
    <row r="17" spans="1:120" ht="15.75" customHeight="1" x14ac:dyDescent="0.2">
      <c r="A17" s="328" t="str">
        <f ca="1">IF(A16="IC - Internal Combustion","N/A",
IF(OR(F21="BLANK",R21="BLANK",COUNTIF(A56:DH57,"BLANK")),"BLANK",
IF(COUNTIF(A56:DH57,"REJECT"),"REJECT",
IF(COUNTIF(A56:DH57,"CHECK"),"CHECK","EQ"))))</f>
        <v>N/A</v>
      </c>
      <c r="B17" s="328"/>
      <c r="C17" s="328"/>
      <c r="D17" s="143" t="str" cm="1">
        <f t="array" aca="1" ref="D17" ca="1">IF($E17="","",INDIRECT("'"&amp;$E17&amp;"'!$A$27"))</f>
        <v/>
      </c>
      <c r="E17" s="316"/>
      <c r="F17" s="316"/>
      <c r="G17" s="355" t="str" cm="1">
        <f t="array" aca="1" ref="G17" ca="1">IF($E17="","",
IF($A$25="mm",INDIRECT("'"&amp;$E17&amp;"'!$AK$82"),INDIRECT("'"&amp;$E17&amp;"'!$AK$83")))</f>
        <v/>
      </c>
      <c r="H17" s="356"/>
      <c r="I17" s="356" t="str" cm="1">
        <f t="array" aca="1" ref="I17" ca="1">IF($E17="","",
IF($A$25="mm",INDIRECT("'"&amp;$E17&amp;"'!$AK$85"),INDIRECT("'"&amp;$E17&amp;"'!$AK$86")))</f>
        <v/>
      </c>
      <c r="J17" s="356"/>
      <c r="K17" s="356" t="str" cm="1">
        <f t="array" aca="1" ref="K17" ca="1">IF($E17="","",
IF($A$25="mm",INDIRECT("'"&amp;$E17&amp;"'!$AY$62"),INDIRECT("'"&amp;$E17&amp;"'!$AY$63")))</f>
        <v/>
      </c>
      <c r="L17" s="356"/>
      <c r="M17" s="128" t="str" cm="1">
        <f t="array" aca="1" ref="M17" ca="1">IF($E17="","",
ROUND(IF($A$25="mm",1,1/25.4)*INDIRECT("'"&amp;$E17&amp;"'!$AK$61"),3))</f>
        <v/>
      </c>
      <c r="N17" s="128" t="str" cm="1">
        <f t="array" aca="1" ref="N17" ca="1">IF($E17="","",
ROUND(IF($A$25="mm",1,1/25.4)*INDIRECT("'"&amp;$E17&amp;"'!$AK$62"),3))</f>
        <v/>
      </c>
      <c r="O17" s="128" t="str" cm="1">
        <f t="array" aca="1" ref="O17" ca="1">IF($E17="","",
ROUND(IF($A$25="mm",1,1/25.4)*INDIRECT("'"&amp;$E17&amp;"'!$AK$63"),3))</f>
        <v/>
      </c>
      <c r="P17" s="128"/>
      <c r="Q17" s="30" t="s">
        <v>585</v>
      </c>
      <c r="S17" s="30"/>
      <c r="T17" s="30"/>
      <c r="U17" s="30"/>
      <c r="V17" s="30"/>
      <c r="W17" s="30"/>
      <c r="X17" s="30"/>
      <c r="Y17" s="30"/>
      <c r="Z17" s="30"/>
      <c r="AA17" s="30"/>
      <c r="AC17" s="152" t="s">
        <v>586</v>
      </c>
      <c r="AD17" s="152" t="s">
        <v>587</v>
      </c>
      <c r="AE17" s="153"/>
      <c r="AF17" s="153"/>
      <c r="AG17" s="153"/>
      <c r="AH17" s="153"/>
      <c r="AI17" s="153"/>
      <c r="AJ17" s="153"/>
      <c r="AK17" s="154"/>
      <c r="AL17" s="155"/>
      <c r="AM17" s="155"/>
      <c r="AN17" s="30"/>
      <c r="AO17" s="42"/>
      <c r="AP17" s="42"/>
      <c r="AQ17" s="42"/>
      <c r="AR17" s="42"/>
      <c r="AS17" s="42"/>
      <c r="AT17" s="42"/>
      <c r="AU17" s="42"/>
      <c r="AV17" s="42"/>
      <c r="AW17" s="42"/>
      <c r="AX17" s="42"/>
      <c r="AY17" s="42"/>
      <c r="AZ17" s="42"/>
      <c r="BA17" s="42"/>
      <c r="BB17" s="41"/>
      <c r="BC17" s="42"/>
      <c r="BD17" s="42"/>
      <c r="BE17" s="42"/>
      <c r="BF17" s="42"/>
      <c r="BG17" s="42"/>
      <c r="BH17" s="42"/>
      <c r="BI17" s="42"/>
      <c r="BJ17" s="42"/>
      <c r="BK17" s="42"/>
      <c r="BL17" s="42"/>
      <c r="BM17" s="42"/>
      <c r="BN17" s="42"/>
      <c r="BO17" s="42"/>
      <c r="BP17" s="41"/>
      <c r="BQ17" s="42"/>
      <c r="BR17" s="42"/>
      <c r="BS17" s="42"/>
      <c r="BT17" s="42"/>
      <c r="BU17" s="42"/>
      <c r="BV17" s="42"/>
      <c r="BW17" s="42"/>
      <c r="BX17" s="42"/>
      <c r="BY17" s="42"/>
      <c r="BZ17" s="42"/>
      <c r="CA17" s="42"/>
      <c r="CB17" s="42"/>
      <c r="CC17" s="42"/>
      <c r="CD17" s="41"/>
      <c r="CE17" s="42"/>
      <c r="CF17" s="42"/>
      <c r="CG17" s="42"/>
      <c r="CH17" s="42"/>
      <c r="CI17" s="42"/>
      <c r="CJ17" s="42"/>
      <c r="CK17" s="42"/>
      <c r="CL17" s="42"/>
      <c r="CM17" s="42"/>
      <c r="CN17" s="42"/>
      <c r="CO17" s="42"/>
      <c r="CP17" s="42"/>
      <c r="CQ17" s="42"/>
      <c r="CR17" s="41"/>
      <c r="CS17" s="130"/>
      <c r="CT17" s="130"/>
      <c r="CU17" s="130"/>
      <c r="CV17" s="130"/>
      <c r="CW17" s="130"/>
      <c r="CX17" s="130"/>
      <c r="CY17" s="130"/>
      <c r="CZ17" s="130"/>
      <c r="DA17" s="130"/>
      <c r="DB17" s="130"/>
      <c r="DC17" s="130"/>
      <c r="DD17" s="130"/>
      <c r="DE17" s="130"/>
    </row>
    <row r="18" spans="1:120" ht="15.75" customHeight="1" x14ac:dyDescent="0.2">
      <c r="A18" s="328"/>
      <c r="B18" s="328"/>
      <c r="C18" s="328"/>
      <c r="D18" s="143" t="str" cm="1">
        <f t="array" aca="1" ref="D18" ca="1">IF($E18="","",INDIRECT("'"&amp;$E18&amp;"'!$A$27"))</f>
        <v/>
      </c>
      <c r="E18" s="316"/>
      <c r="F18" s="316"/>
      <c r="G18" s="357" t="str" cm="1">
        <f t="array" aca="1" ref="G18" ca="1">IF($E18="","",
IF($A$25="mm",INDIRECT("'"&amp;$E18&amp;"'!$AK$82"),INDIRECT("'"&amp;$E18&amp;"'!$AK$83")))</f>
        <v/>
      </c>
      <c r="H18" s="358"/>
      <c r="I18" s="358" t="str" cm="1">
        <f t="array" aca="1" ref="I18" ca="1">IF($E18="","",
IF($A$25="mm",INDIRECT("'"&amp;$E18&amp;"'!$AK$85"),INDIRECT("'"&amp;$E18&amp;"'!$AK$86")))</f>
        <v/>
      </c>
      <c r="J18" s="358"/>
      <c r="K18" s="358" t="str" cm="1">
        <f t="array" aca="1" ref="K18" ca="1">IF($E18="","",
IF($A$25="mm",INDIRECT("'"&amp;$E18&amp;"'!$AY$62"),INDIRECT("'"&amp;$E18&amp;"'!$AY$63")))</f>
        <v/>
      </c>
      <c r="L18" s="358"/>
      <c r="M18" s="146" t="str" cm="1">
        <f t="array" aca="1" ref="M18" ca="1">IF($E18="","",
ROUND(IF($A$25="mm",1,1/25.4)*INDIRECT("'"&amp;$E18&amp;"'!$AK$61"),3))</f>
        <v/>
      </c>
      <c r="N18" s="146" t="str" cm="1">
        <f t="array" aca="1" ref="N18" ca="1">IF($E18="","",
ROUND(IF($A$25="mm",1,1/25.4)*INDIRECT("'"&amp;$E18&amp;"'!$AK$62"),3))</f>
        <v/>
      </c>
      <c r="O18" s="146" t="str" cm="1">
        <f t="array" aca="1" ref="O18" ca="1">IF($E18="","",
ROUND(IF($A$25="mm",1,1/25.4)*INDIRECT("'"&amp;$E18&amp;"'!$AK$63"),3))</f>
        <v/>
      </c>
      <c r="P18" s="128"/>
      <c r="Q18" s="30" t="s">
        <v>588</v>
      </c>
      <c r="S18" s="30"/>
      <c r="T18" s="30"/>
      <c r="U18" s="30"/>
      <c r="V18" s="30"/>
      <c r="W18" s="30"/>
      <c r="X18" s="30"/>
      <c r="Y18" s="30"/>
      <c r="Z18" s="30"/>
      <c r="AA18" s="30"/>
      <c r="AC18" s="156" t="s">
        <v>589</v>
      </c>
      <c r="AD18" s="157"/>
      <c r="AE18" s="157"/>
      <c r="AF18" s="157"/>
      <c r="AG18" s="157"/>
      <c r="AH18" s="157"/>
      <c r="AI18" s="157"/>
      <c r="AJ18" s="158"/>
      <c r="AK18" s="159"/>
      <c r="AL18" s="160"/>
      <c r="AM18" s="160"/>
      <c r="AN18" s="30"/>
      <c r="AO18" s="42"/>
      <c r="AP18" s="42"/>
      <c r="AQ18" s="42"/>
      <c r="AR18" s="42"/>
      <c r="AS18" s="42"/>
      <c r="AT18" s="42"/>
      <c r="AU18" s="42"/>
      <c r="AV18" s="42"/>
      <c r="AW18" s="42"/>
      <c r="AX18" s="42"/>
      <c r="AY18" s="42"/>
      <c r="AZ18" s="42"/>
      <c r="BA18" s="42"/>
      <c r="BB18" s="41"/>
      <c r="BC18" s="42"/>
      <c r="BD18" s="42"/>
      <c r="BE18" s="42"/>
      <c r="BF18" s="42"/>
      <c r="BG18" s="42"/>
      <c r="BH18" s="42"/>
      <c r="BI18" s="42"/>
      <c r="BJ18" s="42"/>
      <c r="BK18" s="42"/>
      <c r="BL18" s="42"/>
      <c r="BM18" s="42"/>
      <c r="BN18" s="42"/>
      <c r="BO18" s="42"/>
      <c r="BP18" s="41"/>
      <c r="BQ18" s="42"/>
      <c r="BR18" s="42"/>
      <c r="BS18" s="42"/>
      <c r="BT18" s="42"/>
      <c r="BU18" s="42"/>
      <c r="BV18" s="42"/>
      <c r="BW18" s="42"/>
      <c r="BX18" s="42"/>
      <c r="BY18" s="42"/>
      <c r="BZ18" s="42"/>
      <c r="CA18" s="42"/>
      <c r="CB18" s="42"/>
      <c r="CC18" s="42"/>
      <c r="CD18" s="41"/>
      <c r="CE18" s="42"/>
      <c r="CF18" s="42"/>
      <c r="CG18" s="42"/>
      <c r="CH18" s="42"/>
      <c r="CI18" s="42"/>
      <c r="CJ18" s="42"/>
      <c r="CK18" s="42"/>
      <c r="CL18" s="42"/>
      <c r="CM18" s="42"/>
      <c r="CN18" s="42"/>
      <c r="CO18" s="42"/>
      <c r="CP18" s="42"/>
      <c r="CQ18" s="42"/>
      <c r="CR18" s="41"/>
      <c r="CS18" s="130"/>
      <c r="CT18" s="130"/>
      <c r="CU18" s="130"/>
      <c r="CV18" s="130"/>
      <c r="CW18" s="130"/>
      <c r="CX18" s="130"/>
      <c r="CY18" s="130"/>
      <c r="CZ18" s="130"/>
      <c r="DA18" s="130"/>
      <c r="DB18" s="130"/>
      <c r="DC18" s="130"/>
      <c r="DD18" s="130"/>
      <c r="DE18" s="130"/>
    </row>
    <row r="19" spans="1:120" ht="15.75" customHeight="1" x14ac:dyDescent="0.2">
      <c r="A19" s="328"/>
      <c r="B19" s="328"/>
      <c r="C19" s="328"/>
      <c r="D19" s="143" t="str" cm="1">
        <f t="array" aca="1" ref="D19" ca="1">IF($E19="","",INDIRECT("'"&amp;$E19&amp;"'!$A$27"))</f>
        <v/>
      </c>
      <c r="E19" s="316"/>
      <c r="F19" s="316"/>
      <c r="G19" s="355" t="str" cm="1">
        <f t="array" aca="1" ref="G19" ca="1">IF($E19="","",
IF($A$25="mm",INDIRECT("'"&amp;$E19&amp;"'!$AK$82"),INDIRECT("'"&amp;$E19&amp;"'!$AK$83")))</f>
        <v/>
      </c>
      <c r="H19" s="356"/>
      <c r="I19" s="356" t="str" cm="1">
        <f t="array" aca="1" ref="I19" ca="1">IF($E19="","",
IF($A$25="mm",INDIRECT("'"&amp;$E19&amp;"'!$AK$85"),INDIRECT("'"&amp;$E19&amp;"'!$AK$86")))</f>
        <v/>
      </c>
      <c r="J19" s="356"/>
      <c r="K19" s="356" t="str" cm="1">
        <f t="array" aca="1" ref="K19" ca="1">IF($E19="","",
IF($A$25="mm",INDIRECT("'"&amp;$E19&amp;"'!$AY$62"),INDIRECT("'"&amp;$E19&amp;"'!$AY$63")))</f>
        <v/>
      </c>
      <c r="L19" s="356"/>
      <c r="M19" s="128" t="str" cm="1">
        <f t="array" aca="1" ref="M19" ca="1">IF($E19="","",
ROUND(IF($A$25="mm",1,1/25.4)*INDIRECT("'"&amp;$E19&amp;"'!$AK$61"),3))</f>
        <v/>
      </c>
      <c r="N19" s="128" t="str" cm="1">
        <f t="array" aca="1" ref="N19" ca="1">IF($E19="","",
ROUND(IF($A$25="mm",1,1/25.4)*INDIRECT("'"&amp;$E19&amp;"'!$AK$62"),3))</f>
        <v/>
      </c>
      <c r="O19" s="128" t="str" cm="1">
        <f t="array" aca="1" ref="O19" ca="1">IF($E19="","",
ROUND(IF($A$25="mm",1,1/25.4)*INDIRECT("'"&amp;$E19&amp;"'!$AK$63"),3))</f>
        <v/>
      </c>
      <c r="P19" s="128"/>
      <c r="Q19" s="30" t="s">
        <v>590</v>
      </c>
      <c r="R19" s="35"/>
      <c r="S19" s="30"/>
      <c r="T19" s="30"/>
      <c r="U19" s="30"/>
      <c r="V19" s="30"/>
      <c r="W19" s="30"/>
      <c r="X19" s="30"/>
      <c r="Y19" s="30"/>
      <c r="Z19" s="30"/>
      <c r="AA19" s="30"/>
      <c r="AC19" s="35" t="s">
        <v>591</v>
      </c>
      <c r="AD19" s="11"/>
      <c r="AE19" s="11"/>
      <c r="AF19" s="11"/>
      <c r="AG19" s="11"/>
      <c r="AH19" s="11"/>
      <c r="AI19" s="11"/>
      <c r="AJ19" s="12"/>
      <c r="AK19" s="22"/>
      <c r="AL19" s="21"/>
      <c r="AM19" s="21"/>
      <c r="AN19" s="30"/>
      <c r="AO19" s="42"/>
      <c r="AP19" s="42"/>
      <c r="AQ19" s="42"/>
      <c r="AR19" s="42"/>
      <c r="AS19" s="42"/>
      <c r="AT19" s="42"/>
      <c r="AU19" s="42"/>
      <c r="AV19" s="42"/>
      <c r="AW19" s="42"/>
      <c r="AX19" s="42"/>
      <c r="AY19" s="42"/>
      <c r="AZ19" s="42"/>
      <c r="BA19" s="42"/>
      <c r="BB19" s="41"/>
      <c r="BC19" s="42"/>
      <c r="BD19" s="42"/>
      <c r="BE19" s="42"/>
      <c r="BF19" s="42"/>
      <c r="BG19" s="42"/>
      <c r="BH19" s="42"/>
      <c r="BI19" s="42"/>
      <c r="BJ19" s="42"/>
      <c r="BK19" s="42"/>
      <c r="BL19" s="42"/>
      <c r="BM19" s="42"/>
      <c r="BN19" s="42"/>
      <c r="BO19" s="42"/>
      <c r="BP19" s="41"/>
      <c r="BQ19" s="42"/>
      <c r="BR19" s="42"/>
      <c r="BS19" s="42"/>
      <c r="BT19" s="42"/>
      <c r="BU19" s="42"/>
      <c r="BV19" s="42"/>
      <c r="BW19" s="42"/>
      <c r="BX19" s="42"/>
      <c r="BY19" s="42"/>
      <c r="BZ19" s="42"/>
      <c r="CA19" s="42"/>
      <c r="CB19" s="42"/>
      <c r="CC19" s="42"/>
      <c r="CD19" s="41"/>
      <c r="CE19" s="42"/>
      <c r="CF19" s="42"/>
      <c r="CG19" s="42"/>
      <c r="CH19" s="42"/>
      <c r="CI19" s="42"/>
      <c r="CJ19" s="42"/>
      <c r="CK19" s="42"/>
      <c r="CL19" s="42"/>
      <c r="CM19" s="42"/>
      <c r="CN19" s="42"/>
      <c r="CO19" s="42"/>
      <c r="CP19" s="42"/>
      <c r="CQ19" s="42"/>
      <c r="CR19" s="41"/>
      <c r="CS19" s="130"/>
      <c r="CT19" s="130"/>
      <c r="CU19" s="130"/>
      <c r="CV19" s="130"/>
      <c r="CW19" s="130"/>
      <c r="CX19" s="130"/>
      <c r="CY19" s="130"/>
      <c r="CZ19" s="130"/>
      <c r="DA19" s="130"/>
      <c r="DB19" s="130"/>
      <c r="DC19" s="130"/>
      <c r="DD19" s="130"/>
      <c r="DE19" s="130"/>
    </row>
    <row r="20" spans="1:120" ht="15.75" customHeight="1" x14ac:dyDescent="0.2">
      <c r="A20" s="328"/>
      <c r="B20" s="328"/>
      <c r="C20" s="328"/>
      <c r="D20" s="145"/>
      <c r="J20" s="11" t="s">
        <v>592</v>
      </c>
      <c r="O20" s="161"/>
      <c r="P20" s="22"/>
      <c r="Q20" s="136" t="s">
        <v>593</v>
      </c>
      <c r="R20" s="162"/>
      <c r="S20" s="136"/>
      <c r="T20" s="136"/>
      <c r="U20" s="136"/>
      <c r="V20" s="136"/>
      <c r="W20" s="136"/>
      <c r="X20" s="136"/>
      <c r="Y20" s="136"/>
      <c r="Z20" s="136"/>
      <c r="AA20" s="136"/>
      <c r="AC20" s="137" t="s">
        <v>594</v>
      </c>
      <c r="AD20" s="163"/>
      <c r="AE20" s="163"/>
      <c r="AF20" s="163"/>
      <c r="AG20" s="163"/>
      <c r="AH20" s="163"/>
      <c r="AI20" s="163"/>
      <c r="AJ20" s="151"/>
      <c r="AK20" s="144"/>
      <c r="AL20" s="144"/>
      <c r="AM20" s="144"/>
      <c r="AN20" s="22"/>
      <c r="AO20" s="42"/>
      <c r="AP20" s="42"/>
      <c r="AQ20" s="42"/>
      <c r="AR20" s="42"/>
      <c r="AS20" s="42"/>
      <c r="AT20" s="42"/>
      <c r="AU20" s="42"/>
      <c r="AV20" s="42"/>
      <c r="AW20" s="42"/>
      <c r="AX20" s="42"/>
      <c r="AY20" s="42"/>
      <c r="AZ20" s="42"/>
      <c r="BA20" s="42"/>
      <c r="BB20" s="41"/>
      <c r="BC20" s="42"/>
      <c r="BD20" s="42"/>
      <c r="BE20" s="42"/>
      <c r="BF20" s="42"/>
      <c r="BG20" s="42"/>
      <c r="BH20" s="42"/>
      <c r="BI20" s="42"/>
      <c r="BJ20" s="42"/>
      <c r="BK20" s="42"/>
      <c r="BL20" s="42"/>
      <c r="BM20" s="42"/>
      <c r="BN20" s="42"/>
      <c r="BO20" s="42"/>
      <c r="BP20" s="41"/>
      <c r="BQ20" s="42"/>
      <c r="BR20" s="42"/>
      <c r="BS20" s="42"/>
      <c r="BT20" s="42"/>
      <c r="BU20" s="42"/>
      <c r="BV20" s="42"/>
      <c r="BW20" s="42"/>
      <c r="BX20" s="42"/>
      <c r="BY20" s="42"/>
      <c r="BZ20" s="42"/>
      <c r="CA20" s="42"/>
      <c r="CB20" s="42"/>
      <c r="CC20" s="42"/>
      <c r="CD20" s="41"/>
      <c r="CE20" s="42"/>
      <c r="CF20" s="42"/>
      <c r="CG20" s="42"/>
      <c r="CH20" s="42"/>
      <c r="CI20" s="42"/>
      <c r="CJ20" s="42"/>
      <c r="CK20" s="42"/>
      <c r="CL20" s="42"/>
      <c r="CM20" s="42"/>
      <c r="CN20" s="42"/>
      <c r="CO20" s="42"/>
      <c r="CP20" s="42"/>
      <c r="CQ20" s="42"/>
      <c r="CR20" s="41"/>
      <c r="CS20" s="130"/>
      <c r="CT20" s="130"/>
      <c r="CU20" s="130"/>
      <c r="CV20" s="130"/>
      <c r="CW20" s="130"/>
      <c r="CX20" s="130"/>
      <c r="CY20" s="130"/>
      <c r="CZ20" s="130"/>
      <c r="DA20" s="130"/>
      <c r="DB20" s="130"/>
      <c r="DC20" s="130"/>
      <c r="DD20" s="130"/>
      <c r="DE20" s="130"/>
    </row>
    <row r="21" spans="1:120" ht="15.75" customHeight="1" thickBot="1" x14ac:dyDescent="0.25">
      <c r="A21" s="328"/>
      <c r="B21" s="328"/>
      <c r="C21" s="328"/>
      <c r="D21" s="145"/>
      <c r="F21" s="295" t="str">
        <f>IF(COUNTIF(N22:N23,"BLANK"),"BLANK",IF(COUNTIF(N22:N23,"REJECT"),"REJECT",IF(COUNTIF(N22:N23,"CHECK"),"CHECK","EQ")))</f>
        <v>BLANK</v>
      </c>
      <c r="G21" s="295"/>
      <c r="H21" s="295"/>
      <c r="I21" s="295"/>
      <c r="J21" s="295"/>
      <c r="K21" s="295"/>
      <c r="L21" s="295"/>
      <c r="M21" s="295"/>
      <c r="N21" s="295"/>
      <c r="O21" s="161"/>
      <c r="P21" s="30"/>
      <c r="Q21" s="30"/>
      <c r="R21" s="295" t="str">
        <f>IF(COUNTIF(AA22:AA25,"BLANK"),"BLANK",IF(COUNTIF(AA22:AA25,"REJECT"),"REJECT",IF(COUNTIF(AA22:AA25,"CHECK"),"CHECK","EQ")))</f>
        <v>BLANK</v>
      </c>
      <c r="S21" s="295"/>
      <c r="T21" s="295"/>
      <c r="U21" s="295"/>
      <c r="V21" s="295"/>
      <c r="W21" s="295"/>
      <c r="X21" s="295"/>
      <c r="Y21" s="295"/>
      <c r="Z21" s="295"/>
      <c r="AA21" s="295"/>
      <c r="AE21" s="25"/>
      <c r="AF21" s="25"/>
      <c r="AM21" s="30"/>
      <c r="AN21" s="30"/>
      <c r="AO21" s="42"/>
      <c r="AP21" s="42"/>
      <c r="AQ21" s="42"/>
      <c r="AR21" s="42"/>
      <c r="AS21" s="42"/>
      <c r="AT21" s="42"/>
      <c r="AU21" s="42"/>
      <c r="AV21" s="42"/>
      <c r="AW21" s="42"/>
      <c r="AX21" s="42"/>
      <c r="AY21" s="42"/>
      <c r="AZ21" s="42"/>
      <c r="BA21" s="42"/>
      <c r="BB21" s="41"/>
      <c r="BC21" s="42"/>
      <c r="BD21" s="42"/>
      <c r="BE21" s="42"/>
      <c r="BF21" s="42"/>
      <c r="BG21" s="42"/>
      <c r="BH21" s="42"/>
      <c r="BI21" s="42"/>
      <c r="BJ21" s="42"/>
      <c r="BK21" s="42"/>
      <c r="BL21" s="42"/>
      <c r="BM21" s="42"/>
      <c r="BN21" s="42"/>
      <c r="BO21" s="42"/>
      <c r="BP21" s="41"/>
      <c r="BQ21" s="42"/>
      <c r="BR21" s="42"/>
      <c r="BS21" s="42"/>
      <c r="BT21" s="42"/>
      <c r="BU21" s="42"/>
      <c r="BV21" s="42"/>
      <c r="BW21" s="42"/>
      <c r="BX21" s="42"/>
      <c r="BY21" s="42"/>
      <c r="BZ21" s="42"/>
      <c r="CA21" s="42"/>
      <c r="CB21" s="42"/>
      <c r="CC21" s="42"/>
      <c r="CD21" s="41"/>
      <c r="CE21" s="42"/>
      <c r="CF21" s="42"/>
      <c r="CG21" s="42"/>
      <c r="CH21" s="42"/>
      <c r="CI21" s="42"/>
      <c r="CJ21" s="42"/>
      <c r="CK21" s="42"/>
      <c r="CL21" s="42"/>
      <c r="CM21" s="42"/>
      <c r="CN21" s="42"/>
      <c r="CO21" s="42"/>
      <c r="CP21" s="42"/>
      <c r="CQ21" s="42"/>
      <c r="CR21" s="41"/>
      <c r="CS21" s="130"/>
      <c r="CT21" s="130"/>
      <c r="CU21" s="130"/>
      <c r="CV21" s="130"/>
      <c r="CW21" s="130"/>
      <c r="CX21" s="130"/>
      <c r="CY21" s="130"/>
      <c r="CZ21" s="130"/>
      <c r="DA21" s="130"/>
      <c r="DB21" s="130"/>
      <c r="DC21" s="130"/>
      <c r="DD21" s="130"/>
      <c r="DE21" s="130"/>
    </row>
    <row r="22" spans="1:120" ht="15.75" customHeight="1" thickBot="1" x14ac:dyDescent="0.25">
      <c r="A22" s="328"/>
      <c r="B22" s="328"/>
      <c r="C22" s="328"/>
      <c r="D22" s="145"/>
      <c r="F22" s="12" t="s">
        <v>595</v>
      </c>
      <c r="G22" s="12" t="s">
        <v>596</v>
      </c>
      <c r="H22" s="32" t="s">
        <v>597</v>
      </c>
      <c r="I22" s="15"/>
      <c r="J22" s="15"/>
      <c r="K22" s="15" t="s">
        <v>598</v>
      </c>
      <c r="L22" s="164"/>
      <c r="M22" s="25" t="str">
        <f>IF($A$25="mm","kg","lbs")</f>
        <v>lbs</v>
      </c>
      <c r="N22" s="11" t="str">
        <f>IF(L22="","BLANK","EQ")</f>
        <v>BLANK</v>
      </c>
      <c r="O22" s="161"/>
      <c r="P22" s="30"/>
      <c r="Q22" s="24" t="s">
        <v>599</v>
      </c>
      <c r="R22" s="15"/>
      <c r="S22" s="15"/>
      <c r="T22" s="15" t="s">
        <v>600</v>
      </c>
      <c r="U22" s="298"/>
      <c r="V22" s="300"/>
      <c r="X22" s="30"/>
      <c r="Y22" s="30"/>
      <c r="Z22" s="30"/>
      <c r="AA22" s="11" t="str">
        <f>IF(U22="","BLANK","EQ")</f>
        <v>BLANK</v>
      </c>
      <c r="AC22" s="35" t="s">
        <v>601</v>
      </c>
      <c r="AE22" s="25"/>
      <c r="AF22" s="25"/>
      <c r="AM22" s="30"/>
      <c r="AN22" s="30"/>
      <c r="AO22" s="42"/>
      <c r="AP22" s="42"/>
      <c r="AQ22" s="42"/>
      <c r="AR22" s="42"/>
      <c r="AS22" s="42"/>
      <c r="AT22" s="42"/>
      <c r="AU22" s="42"/>
      <c r="AV22" s="42"/>
      <c r="AW22" s="42"/>
      <c r="AX22" s="42"/>
      <c r="AY22" s="42"/>
      <c r="AZ22" s="42"/>
      <c r="BA22" s="42"/>
      <c r="BB22" s="41"/>
      <c r="BC22" s="42"/>
      <c r="BD22" s="42"/>
      <c r="BE22" s="42"/>
      <c r="BF22" s="42"/>
      <c r="BG22" s="42"/>
      <c r="BH22" s="42"/>
      <c r="BI22" s="42"/>
      <c r="BJ22" s="42"/>
      <c r="BK22" s="42"/>
      <c r="BL22" s="42"/>
      <c r="BM22" s="42"/>
      <c r="BN22" s="42"/>
      <c r="BO22" s="42"/>
      <c r="BP22" s="41"/>
      <c r="BQ22" s="42"/>
      <c r="BR22" s="42"/>
      <c r="BS22" s="42"/>
      <c r="BT22" s="42"/>
      <c r="BU22" s="42"/>
      <c r="BV22" s="42"/>
      <c r="BW22" s="42"/>
      <c r="BX22" s="42"/>
      <c r="BY22" s="42"/>
      <c r="BZ22" s="42"/>
      <c r="CA22" s="42"/>
      <c r="CB22" s="42"/>
      <c r="CC22" s="42"/>
      <c r="CD22" s="41"/>
      <c r="CE22" s="42"/>
      <c r="CF22" s="42"/>
      <c r="CG22" s="42"/>
      <c r="CH22" s="42"/>
      <c r="CI22" s="42"/>
      <c r="CJ22" s="42"/>
      <c r="CK22" s="42"/>
      <c r="CL22" s="42"/>
      <c r="CM22" s="42"/>
      <c r="CN22" s="42"/>
      <c r="CO22" s="42"/>
      <c r="CP22" s="42"/>
      <c r="CQ22" s="42"/>
      <c r="CR22" s="41"/>
      <c r="CS22" s="130"/>
      <c r="CT22" s="130"/>
      <c r="CU22" s="130"/>
      <c r="CV22" s="130"/>
      <c r="CW22" s="130"/>
      <c r="CX22" s="130"/>
      <c r="CY22" s="130"/>
      <c r="CZ22" s="130"/>
      <c r="DA22" s="130"/>
      <c r="DB22" s="130"/>
      <c r="DC22" s="130"/>
      <c r="DD22" s="130"/>
      <c r="DE22" s="130"/>
    </row>
    <row r="23" spans="1:120" ht="15.75" customHeight="1" thickBot="1" x14ac:dyDescent="0.25">
      <c r="A23" s="328"/>
      <c r="B23" s="328"/>
      <c r="C23" s="328"/>
      <c r="D23" s="145"/>
      <c r="F23" s="11">
        <f>G80*G79</f>
        <v>0</v>
      </c>
      <c r="G23" s="11">
        <f>G81*G83+F23</f>
        <v>0</v>
      </c>
      <c r="H23" s="11">
        <f>G73*G74*G67/1000</f>
        <v>0</v>
      </c>
      <c r="I23" s="15"/>
      <c r="J23" s="15"/>
      <c r="K23" s="15" t="s">
        <v>602</v>
      </c>
      <c r="L23" s="16"/>
      <c r="M23" s="25" t="str">
        <f>IF($A$25="mm","kg","lbs")</f>
        <v>lbs</v>
      </c>
      <c r="N23" s="11" t="str">
        <f>IF(L23="","BLANK",IF(L23&lt;L22,"REJECT","EQ"))</f>
        <v>BLANK</v>
      </c>
      <c r="O23" s="161"/>
      <c r="P23" s="30"/>
      <c r="Q23" s="30"/>
      <c r="R23" s="15"/>
      <c r="S23" s="15"/>
      <c r="T23" s="15" t="s">
        <v>603</v>
      </c>
      <c r="U23" s="11">
        <f>IF(U22="Corner Attachment",L24,L25)</f>
        <v>3371</v>
      </c>
      <c r="V23" s="25" t="str">
        <f>IF($A$25="mm","N","lbs")</f>
        <v>lbs</v>
      </c>
      <c r="X23" s="30"/>
      <c r="Y23" s="30"/>
      <c r="Z23" s="30"/>
      <c r="AA23" s="11" t="str">
        <f t="shared" ref="AA23:AA25" si="1">IF(U23="","BLANK","EQ")</f>
        <v>EQ</v>
      </c>
      <c r="AC23" s="25" t="s">
        <v>604</v>
      </c>
      <c r="AE23" s="25"/>
      <c r="AF23" s="25"/>
      <c r="AM23" s="30"/>
      <c r="AN23" s="30"/>
      <c r="AO23" s="42"/>
      <c r="AP23" s="42"/>
      <c r="AQ23" s="42"/>
      <c r="AR23" s="42"/>
      <c r="AS23" s="42"/>
      <c r="AT23" s="42"/>
      <c r="AU23" s="42"/>
      <c r="AV23" s="42"/>
      <c r="AW23" s="42"/>
      <c r="AX23" s="42"/>
      <c r="AY23" s="42"/>
      <c r="AZ23" s="42"/>
      <c r="BA23" s="42"/>
      <c r="BB23" s="41"/>
      <c r="BC23" s="42"/>
      <c r="BD23" s="42"/>
      <c r="BE23" s="42"/>
      <c r="BF23" s="42"/>
      <c r="BG23" s="42"/>
      <c r="BH23" s="42"/>
      <c r="BI23" s="42"/>
      <c r="BJ23" s="42"/>
      <c r="BK23" s="42"/>
      <c r="BL23" s="42"/>
      <c r="BM23" s="42"/>
      <c r="BN23" s="42"/>
      <c r="BO23" s="42"/>
      <c r="BP23" s="41"/>
      <c r="BQ23" s="42"/>
      <c r="BR23" s="42"/>
      <c r="BS23" s="42"/>
      <c r="BT23" s="42"/>
      <c r="BU23" s="42"/>
      <c r="BV23" s="42"/>
      <c r="BW23" s="42"/>
      <c r="BX23" s="42"/>
      <c r="BY23" s="42"/>
      <c r="BZ23" s="42"/>
      <c r="CA23" s="42"/>
      <c r="CB23" s="42"/>
      <c r="CC23" s="42"/>
      <c r="CD23" s="41"/>
      <c r="CE23" s="42"/>
      <c r="CF23" s="42"/>
      <c r="CG23" s="42"/>
      <c r="CH23" s="42"/>
      <c r="CI23" s="42"/>
      <c r="CJ23" s="42"/>
      <c r="CK23" s="42"/>
      <c r="CL23" s="42"/>
      <c r="CM23" s="42"/>
      <c r="CN23" s="42"/>
      <c r="CO23" s="42"/>
      <c r="CP23" s="42"/>
      <c r="CQ23" s="42"/>
      <c r="CR23" s="41"/>
      <c r="CS23" s="130"/>
      <c r="CT23" s="130"/>
      <c r="CU23" s="130"/>
      <c r="CV23" s="130"/>
      <c r="CW23" s="130"/>
      <c r="CX23" s="130"/>
      <c r="CY23" s="130"/>
      <c r="CZ23" s="130"/>
      <c r="DA23" s="130"/>
      <c r="DB23" s="130"/>
      <c r="DC23" s="130"/>
      <c r="DD23" s="130"/>
      <c r="DE23" s="130"/>
    </row>
    <row r="24" spans="1:120" ht="15.75" customHeight="1" thickBot="1" x14ac:dyDescent="0.25">
      <c r="A24" s="328"/>
      <c r="B24" s="328"/>
      <c r="C24" s="328"/>
      <c r="D24" s="44"/>
      <c r="F24" s="35" t="s">
        <v>605</v>
      </c>
      <c r="G24" s="15"/>
      <c r="H24" s="15"/>
      <c r="I24" s="15"/>
      <c r="J24" s="15"/>
      <c r="K24" s="15" t="s">
        <v>606</v>
      </c>
      <c r="L24" s="11">
        <f>IF($A$25="mm",L23*40*9.81/4,L23*40/4)</f>
        <v>0</v>
      </c>
      <c r="M24" s="25" t="str">
        <f>IF($A$25="mm","N","lbs")</f>
        <v>lbs</v>
      </c>
      <c r="N24" s="25" t="s">
        <v>607</v>
      </c>
      <c r="O24" s="44"/>
      <c r="P24" s="30"/>
      <c r="Q24" s="30"/>
      <c r="R24" s="15"/>
      <c r="S24" s="15"/>
      <c r="T24" s="15" t="s">
        <v>608</v>
      </c>
      <c r="U24" s="298"/>
      <c r="V24" s="300"/>
      <c r="W24" s="35" t="s">
        <v>609</v>
      </c>
      <c r="X24" s="30"/>
      <c r="Y24" s="30"/>
      <c r="Z24" s="30"/>
      <c r="AA24" s="11" t="str">
        <f t="shared" si="1"/>
        <v>BLANK</v>
      </c>
      <c r="AC24" s="25" t="s">
        <v>610</v>
      </c>
      <c r="AD24" s="44"/>
      <c r="AE24" s="44"/>
      <c r="AF24" s="44"/>
      <c r="AG24" s="44"/>
      <c r="AH24" s="44"/>
      <c r="AI24" s="44"/>
      <c r="AJ24" s="44"/>
      <c r="AK24" s="44"/>
      <c r="AM24" s="30"/>
      <c r="AN24" s="30"/>
      <c r="AO24" s="42"/>
      <c r="AP24" s="42"/>
      <c r="AQ24" s="42"/>
      <c r="AR24" s="42"/>
      <c r="AS24" s="42"/>
      <c r="AT24" s="42"/>
      <c r="AU24" s="42"/>
      <c r="AV24" s="42"/>
      <c r="AW24" s="42"/>
      <c r="AX24" s="42"/>
      <c r="AY24" s="42"/>
      <c r="AZ24" s="42"/>
      <c r="BA24" s="42"/>
      <c r="BB24" s="41"/>
      <c r="BC24" s="42"/>
      <c r="BD24" s="42"/>
      <c r="BE24" s="42"/>
      <c r="BF24" s="42"/>
      <c r="BG24" s="42"/>
      <c r="BH24" s="42"/>
      <c r="BI24" s="42"/>
      <c r="BJ24" s="42"/>
      <c r="BK24" s="42"/>
      <c r="BL24" s="42"/>
      <c r="BM24" s="42"/>
      <c r="BN24" s="42"/>
      <c r="BO24" s="42"/>
      <c r="BP24" s="41"/>
      <c r="BQ24" s="42"/>
      <c r="BR24" s="42"/>
      <c r="BS24" s="42"/>
      <c r="BT24" s="42"/>
      <c r="BU24" s="42"/>
      <c r="BV24" s="42"/>
      <c r="BW24" s="42"/>
      <c r="BX24" s="42"/>
      <c r="BY24" s="42"/>
      <c r="BZ24" s="42"/>
      <c r="CA24" s="42"/>
      <c r="CB24" s="42"/>
      <c r="CC24" s="42"/>
      <c r="CD24" s="41"/>
      <c r="CE24" s="42"/>
      <c r="CF24" s="42"/>
      <c r="CG24" s="42"/>
      <c r="CH24" s="42"/>
      <c r="CI24" s="42"/>
      <c r="CJ24" s="42"/>
      <c r="CK24" s="42"/>
      <c r="CL24" s="42"/>
      <c r="CM24" s="42"/>
      <c r="CN24" s="42"/>
      <c r="CO24" s="42"/>
      <c r="CP24" s="42"/>
      <c r="CQ24" s="42"/>
      <c r="CR24" s="41"/>
      <c r="CS24" s="130"/>
      <c r="CT24" s="130"/>
      <c r="CU24" s="130"/>
      <c r="CV24" s="130"/>
      <c r="CW24" s="130"/>
      <c r="CX24" s="130"/>
      <c r="CY24" s="130"/>
      <c r="CZ24" s="130"/>
      <c r="DA24" s="130"/>
      <c r="DB24" s="130"/>
      <c r="DC24" s="130"/>
      <c r="DD24" s="130"/>
      <c r="DE24" s="130"/>
    </row>
    <row r="25" spans="1:120" ht="15.75" customHeight="1" thickBot="1" x14ac:dyDescent="0.25">
      <c r="A25" s="353" t="str">
        <f>'F.3.1-4 Tube Chassis'!$A$25</f>
        <v>Inch</v>
      </c>
      <c r="B25" s="353"/>
      <c r="C25" s="353"/>
      <c r="D25" s="44"/>
      <c r="F25" s="35" t="s">
        <v>611</v>
      </c>
      <c r="G25" s="15"/>
      <c r="H25" s="15"/>
      <c r="I25" s="15"/>
      <c r="J25" s="15" t="s">
        <v>612</v>
      </c>
      <c r="K25" s="15" t="str">
        <f>IF($A$25="mm",
IF(L23&lt;20,"4x at",IF(L23&lt;30,"6x at",IF(L23&lt;40,"8x at","10x at"))),
IF(L23&lt;20*2.2046,"4x at",IF(L23&lt;30*2.2046,"6x at",IF(L23&lt;40*2.2046,"8x at","10x at"))))</f>
        <v>4x at</v>
      </c>
      <c r="L25" s="11">
        <f>IF($A$25="mm",15000,3371)</f>
        <v>3371</v>
      </c>
      <c r="M25" s="25" t="str">
        <f>IF($A$25="mm","N","lbs")</f>
        <v>lbs</v>
      </c>
      <c r="N25" s="25" t="s">
        <v>607</v>
      </c>
      <c r="O25" s="44"/>
      <c r="P25" s="30"/>
      <c r="Q25" s="30"/>
      <c r="R25" s="22"/>
      <c r="S25" s="22"/>
      <c r="T25" s="124" t="s">
        <v>613</v>
      </c>
      <c r="U25" s="298"/>
      <c r="V25" s="300"/>
      <c r="W25" s="35" t="s">
        <v>609</v>
      </c>
      <c r="X25" s="30"/>
      <c r="Y25" s="30"/>
      <c r="Z25" s="30"/>
      <c r="AA25" s="11" t="str">
        <f t="shared" si="1"/>
        <v>BLANK</v>
      </c>
      <c r="AC25" s="25" t="s">
        <v>614</v>
      </c>
      <c r="AD25" s="11"/>
      <c r="AE25" s="11"/>
      <c r="AF25" s="11"/>
      <c r="AG25" s="11"/>
      <c r="AH25" s="11"/>
      <c r="AI25" s="11"/>
      <c r="AJ25" s="11"/>
      <c r="AK25" s="11"/>
      <c r="AL25" s="30"/>
      <c r="AM25" s="30"/>
      <c r="AN25" s="30"/>
      <c r="AO25" s="42"/>
      <c r="AP25" s="42"/>
      <c r="AQ25" s="42"/>
      <c r="AR25" s="42"/>
      <c r="AS25" s="42"/>
      <c r="AT25" s="42"/>
      <c r="AU25" s="42"/>
      <c r="AV25" s="42"/>
      <c r="AW25" s="42"/>
      <c r="AX25" s="42"/>
      <c r="AY25" s="42"/>
      <c r="AZ25" s="42"/>
      <c r="BA25" s="42"/>
      <c r="BB25" s="41"/>
      <c r="BC25" s="42"/>
      <c r="BD25" s="42"/>
      <c r="BE25" s="42"/>
      <c r="BF25" s="42"/>
      <c r="BG25" s="42"/>
      <c r="BH25" s="42"/>
      <c r="BI25" s="42"/>
      <c r="BJ25" s="42"/>
      <c r="BK25" s="42"/>
      <c r="BL25" s="42"/>
      <c r="BM25" s="42"/>
      <c r="BN25" s="42"/>
      <c r="BO25" s="42"/>
      <c r="BP25" s="41"/>
      <c r="BQ25" s="42"/>
      <c r="BR25" s="42"/>
      <c r="BS25" s="42"/>
      <c r="BT25" s="42"/>
      <c r="BU25" s="42"/>
      <c r="BV25" s="42"/>
      <c r="BW25" s="42"/>
      <c r="BX25" s="42"/>
      <c r="BY25" s="42"/>
      <c r="BZ25" s="42"/>
      <c r="CA25" s="42"/>
      <c r="CB25" s="42"/>
      <c r="CC25" s="42"/>
      <c r="CD25" s="41"/>
      <c r="CE25" s="42"/>
      <c r="CF25" s="42"/>
      <c r="CG25" s="42"/>
      <c r="CH25" s="42"/>
      <c r="CI25" s="42"/>
      <c r="CJ25" s="42"/>
      <c r="CK25" s="42"/>
      <c r="CL25" s="42"/>
      <c r="CM25" s="42"/>
      <c r="CN25" s="42"/>
      <c r="CO25" s="42"/>
      <c r="CP25" s="42"/>
      <c r="CQ25" s="42"/>
      <c r="CR25" s="41"/>
      <c r="CS25" s="130"/>
      <c r="CT25" s="130"/>
      <c r="CU25" s="130"/>
      <c r="CV25" s="130"/>
      <c r="CW25" s="130"/>
      <c r="CX25" s="130"/>
      <c r="CY25" s="130"/>
      <c r="CZ25" s="130"/>
      <c r="DA25" s="130"/>
      <c r="DB25" s="130"/>
      <c r="DC25" s="130"/>
      <c r="DD25" s="130"/>
      <c r="DE25" s="130"/>
    </row>
    <row r="26" spans="1:120" ht="15.75" customHeight="1" x14ac:dyDescent="0.2">
      <c r="A26" s="353"/>
      <c r="B26" s="353"/>
      <c r="C26" s="353"/>
      <c r="D26" s="165"/>
      <c r="O26" s="165"/>
      <c r="P26" s="30"/>
      <c r="Q26" s="30"/>
      <c r="S26" s="30"/>
      <c r="T26" s="30"/>
      <c r="U26" s="30"/>
      <c r="V26" s="30"/>
      <c r="W26" s="30"/>
      <c r="X26" s="30"/>
      <c r="Y26" s="30"/>
      <c r="Z26" s="30"/>
      <c r="AA26" s="30"/>
      <c r="AE26" s="11"/>
      <c r="AF26" s="11"/>
      <c r="AG26" s="11"/>
      <c r="AH26" s="11"/>
      <c r="AI26" s="11"/>
      <c r="AJ26" s="12"/>
      <c r="AK26" s="48"/>
      <c r="AL26" s="30"/>
      <c r="AM26" s="30"/>
      <c r="AN26" s="30"/>
      <c r="AO26" s="42"/>
      <c r="AP26" s="42"/>
      <c r="AQ26" s="42"/>
      <c r="AR26" s="42"/>
      <c r="AS26" s="42"/>
      <c r="AT26" s="42"/>
      <c r="AU26" s="42"/>
      <c r="AV26" s="42"/>
      <c r="AW26" s="42"/>
      <c r="AX26" s="42"/>
      <c r="AY26" s="42"/>
      <c r="AZ26" s="42"/>
      <c r="BA26" s="42"/>
      <c r="BB26" s="41"/>
      <c r="BC26" s="42"/>
      <c r="BD26" s="42"/>
      <c r="BE26" s="42"/>
      <c r="BF26" s="42"/>
      <c r="BG26" s="42"/>
      <c r="BH26" s="42"/>
      <c r="BI26" s="42"/>
      <c r="BJ26" s="42"/>
      <c r="BK26" s="42"/>
      <c r="BL26" s="42"/>
      <c r="BM26" s="42"/>
      <c r="BN26" s="42"/>
      <c r="BO26" s="42"/>
      <c r="BP26" s="41"/>
      <c r="BQ26" s="42"/>
      <c r="BR26" s="42"/>
      <c r="BS26" s="42"/>
      <c r="BT26" s="42"/>
      <c r="BU26" s="42"/>
      <c r="BV26" s="42"/>
      <c r="BW26" s="42"/>
      <c r="BX26" s="42"/>
      <c r="BY26" s="42"/>
      <c r="BZ26" s="42"/>
      <c r="CA26" s="42"/>
      <c r="CB26" s="42"/>
      <c r="CC26" s="42"/>
      <c r="CD26" s="41"/>
      <c r="CE26" s="42"/>
      <c r="CF26" s="42"/>
      <c r="CG26" s="42"/>
      <c r="CH26" s="42"/>
      <c r="CI26" s="42"/>
      <c r="CJ26" s="42"/>
      <c r="CK26" s="42"/>
      <c r="CL26" s="42"/>
      <c r="CM26" s="42"/>
      <c r="CN26" s="42"/>
      <c r="CO26" s="42"/>
      <c r="CP26" s="42"/>
      <c r="CQ26" s="42"/>
      <c r="CR26" s="41"/>
      <c r="CS26" s="130"/>
      <c r="CT26" s="130"/>
      <c r="CU26" s="130"/>
      <c r="CV26" s="130"/>
      <c r="CW26" s="130"/>
      <c r="CX26" s="130"/>
      <c r="CY26" s="130"/>
      <c r="CZ26" s="130"/>
      <c r="DA26" s="130"/>
      <c r="DB26" s="130"/>
      <c r="DC26" s="130"/>
      <c r="DD26" s="130"/>
      <c r="DE26" s="130"/>
    </row>
    <row r="27" spans="1:120" ht="15" customHeight="1" x14ac:dyDescent="0.2">
      <c r="A27" s="41"/>
      <c r="B27" s="41"/>
      <c r="C27" s="41"/>
      <c r="D27" s="41"/>
      <c r="E27" s="41"/>
      <c r="F27" s="41"/>
      <c r="G27" s="41"/>
      <c r="H27" s="41"/>
      <c r="I27" s="41"/>
      <c r="J27" s="38"/>
      <c r="K27" s="41"/>
      <c r="L27" s="41"/>
      <c r="M27" s="41"/>
      <c r="N27" s="41"/>
      <c r="O27" s="41"/>
      <c r="P27" s="41"/>
      <c r="Q27" s="41"/>
      <c r="R27" s="41"/>
      <c r="S27" s="41"/>
      <c r="T27" s="38"/>
      <c r="U27" s="38"/>
      <c r="V27" s="38"/>
      <c r="W27" s="38"/>
      <c r="X27" s="38"/>
      <c r="Y27" s="38"/>
      <c r="Z27" s="38"/>
      <c r="AA27" s="38"/>
      <c r="AB27" s="38"/>
      <c r="AC27" s="38"/>
      <c r="AD27" s="38"/>
      <c r="AE27" s="39"/>
      <c r="AF27" s="40"/>
      <c r="AG27" s="41"/>
      <c r="AH27" s="41"/>
      <c r="AI27" s="41"/>
      <c r="AJ27" s="41"/>
      <c r="AK27" s="41"/>
      <c r="AL27" s="41"/>
      <c r="AM27" s="41"/>
      <c r="AN27" s="38"/>
      <c r="AO27" s="41"/>
      <c r="AP27" s="41"/>
      <c r="AQ27" s="41"/>
      <c r="AR27" s="41"/>
      <c r="AS27" s="41"/>
      <c r="AT27" s="41"/>
      <c r="AU27" s="41"/>
      <c r="AV27" s="41"/>
      <c r="AW27" s="41"/>
      <c r="AX27" s="38"/>
      <c r="AY27" s="41"/>
      <c r="AZ27" s="41"/>
      <c r="BA27" s="41"/>
      <c r="BB27" s="41"/>
      <c r="BC27" s="41"/>
      <c r="BD27" s="41"/>
      <c r="BE27" s="41"/>
      <c r="BF27" s="41"/>
      <c r="BG27" s="41"/>
      <c r="BH27" s="38"/>
      <c r="BI27" s="41"/>
      <c r="BJ27" s="41"/>
      <c r="BK27" s="41"/>
      <c r="BL27" s="41"/>
      <c r="BM27" s="41"/>
      <c r="BN27" s="41"/>
      <c r="BO27" s="41"/>
      <c r="BP27" s="41"/>
      <c r="BQ27" s="41"/>
      <c r="BR27" s="41"/>
      <c r="BS27" s="38"/>
      <c r="BT27" s="38"/>
      <c r="BU27" s="38"/>
      <c r="BV27" s="38"/>
      <c r="BW27" s="38"/>
      <c r="BX27" s="38"/>
      <c r="BY27" s="38"/>
      <c r="BZ27" s="38"/>
      <c r="CA27" s="38"/>
      <c r="CB27" s="38"/>
      <c r="CC27" s="39"/>
      <c r="CD27" s="40"/>
      <c r="CE27" s="41"/>
      <c r="CF27" s="41"/>
      <c r="CG27" s="41"/>
      <c r="CH27" s="41"/>
      <c r="CI27" s="41"/>
      <c r="CJ27" s="41"/>
      <c r="CK27" s="41"/>
      <c r="CL27" s="38"/>
      <c r="CM27" s="41"/>
      <c r="CN27" s="41"/>
      <c r="CO27" s="41"/>
      <c r="CP27" s="41"/>
      <c r="CQ27" s="41"/>
      <c r="CR27" s="41"/>
      <c r="CS27" s="41"/>
      <c r="CT27" s="41"/>
      <c r="CU27" s="41"/>
      <c r="CV27" s="38"/>
      <c r="CW27" s="41"/>
      <c r="CX27" s="41"/>
      <c r="CY27" s="41"/>
      <c r="CZ27" s="41"/>
      <c r="DA27" s="41"/>
      <c r="DB27" s="41"/>
      <c r="DC27" s="41"/>
      <c r="DD27" s="41"/>
      <c r="DE27" s="41"/>
      <c r="DF27" s="38"/>
      <c r="DG27" s="41"/>
      <c r="DH27" s="41"/>
      <c r="DI27" s="41"/>
      <c r="DJ27" s="41"/>
      <c r="DK27" s="41"/>
      <c r="DL27" s="41"/>
      <c r="DM27" s="41"/>
      <c r="DN27" s="41"/>
      <c r="DO27" s="41"/>
      <c r="DP27" s="41"/>
    </row>
    <row r="28" spans="1:120" ht="15" customHeight="1" x14ac:dyDescent="0.2">
      <c r="A28" s="42"/>
      <c r="B28" s="42"/>
      <c r="C28" s="42"/>
      <c r="D28" s="42"/>
      <c r="E28" s="42"/>
      <c r="F28" s="42"/>
      <c r="G28" s="42"/>
      <c r="H28" s="42"/>
      <c r="I28" s="42"/>
      <c r="J28" s="38"/>
      <c r="K28" s="42"/>
      <c r="L28" s="42"/>
      <c r="M28" s="42"/>
      <c r="N28" s="42"/>
      <c r="O28" s="42"/>
      <c r="P28" s="42"/>
      <c r="Q28" s="42"/>
      <c r="R28" s="42"/>
      <c r="S28" s="42"/>
      <c r="T28" s="38"/>
      <c r="U28" s="10"/>
      <c r="V28" s="10"/>
      <c r="W28" s="10"/>
      <c r="X28" s="10"/>
      <c r="Y28" s="10"/>
      <c r="Z28" s="10"/>
      <c r="AA28" s="10"/>
      <c r="AB28" s="10"/>
      <c r="AC28" s="10"/>
      <c r="AD28" s="38"/>
      <c r="AE28" s="10"/>
      <c r="AF28" s="10"/>
      <c r="AG28" s="10"/>
      <c r="AH28" s="10"/>
      <c r="AI28" s="10"/>
      <c r="AJ28" s="10"/>
      <c r="AK28" s="10"/>
      <c r="AL28" s="10"/>
      <c r="AM28" s="10"/>
      <c r="AN28" s="38"/>
      <c r="AO28" s="10"/>
      <c r="AP28" s="10"/>
      <c r="AQ28" s="10"/>
      <c r="AR28" s="10"/>
      <c r="AS28" s="10"/>
      <c r="AT28" s="10"/>
      <c r="AU28" s="10"/>
      <c r="AV28" s="10"/>
      <c r="AW28" s="10"/>
      <c r="AX28" s="38"/>
      <c r="AY28" s="42"/>
      <c r="AZ28" s="42"/>
      <c r="BA28" s="42"/>
      <c r="BB28" s="42"/>
      <c r="BC28" s="42"/>
      <c r="BD28" s="42"/>
      <c r="BE28" s="42"/>
      <c r="BF28" s="42"/>
      <c r="BG28" s="42"/>
      <c r="BH28" s="38"/>
      <c r="BI28" s="42"/>
      <c r="BJ28" s="42"/>
      <c r="BK28" s="42"/>
      <c r="BL28" s="42"/>
      <c r="BM28" s="42"/>
      <c r="BN28" s="42"/>
      <c r="BO28" s="42"/>
      <c r="BP28" s="42"/>
      <c r="BQ28" s="42"/>
      <c r="BR28" s="41"/>
      <c r="BS28" s="10"/>
      <c r="BT28" s="10"/>
      <c r="BU28" s="10"/>
      <c r="BV28" s="10"/>
      <c r="BW28" s="10"/>
      <c r="BX28" s="10"/>
      <c r="BY28" s="10"/>
      <c r="BZ28" s="10"/>
      <c r="CA28" s="10"/>
      <c r="CB28" s="38"/>
      <c r="CC28" s="10"/>
      <c r="CD28" s="10"/>
      <c r="CE28" s="10"/>
      <c r="CF28" s="10"/>
      <c r="CG28" s="10"/>
      <c r="CH28" s="10"/>
      <c r="CI28" s="10"/>
      <c r="CJ28" s="10"/>
      <c r="CK28" s="10"/>
      <c r="CL28" s="38"/>
      <c r="CM28" s="10"/>
      <c r="CN28" s="10"/>
      <c r="CO28" s="10"/>
      <c r="CP28" s="10"/>
      <c r="CQ28" s="10"/>
      <c r="CR28" s="10"/>
      <c r="CS28" s="10"/>
      <c r="CT28" s="10"/>
      <c r="CU28" s="10"/>
      <c r="CV28" s="38"/>
      <c r="CW28" s="42"/>
      <c r="CX28" s="42"/>
      <c r="CY28" s="42"/>
      <c r="CZ28" s="42"/>
      <c r="DA28" s="42"/>
      <c r="DB28" s="42"/>
      <c r="DC28" s="42"/>
      <c r="DD28" s="42"/>
      <c r="DE28" s="42"/>
      <c r="DF28" s="38"/>
      <c r="DG28" s="42"/>
      <c r="DH28" s="42"/>
      <c r="DI28" s="42"/>
      <c r="DJ28" s="42"/>
      <c r="DK28" s="42"/>
      <c r="DL28" s="42"/>
      <c r="DM28" s="42"/>
      <c r="DN28" s="42"/>
      <c r="DO28" s="42"/>
      <c r="DP28" s="41"/>
    </row>
    <row r="29" spans="1:120" ht="15" customHeight="1" x14ac:dyDescent="0.2">
      <c r="A29" s="42"/>
      <c r="B29" s="42"/>
      <c r="C29" s="42"/>
      <c r="D29" s="42"/>
      <c r="E29" s="42"/>
      <c r="F29" s="42"/>
      <c r="G29" s="42"/>
      <c r="H29" s="42"/>
      <c r="I29" s="42"/>
      <c r="J29" s="38"/>
      <c r="K29" s="42"/>
      <c r="L29" s="42"/>
      <c r="M29" s="42"/>
      <c r="N29" s="42"/>
      <c r="O29" s="42"/>
      <c r="P29" s="42"/>
      <c r="Q29" s="42"/>
      <c r="R29" s="42"/>
      <c r="S29" s="42"/>
      <c r="T29" s="38"/>
      <c r="U29" s="10"/>
      <c r="V29" s="10"/>
      <c r="W29" s="10"/>
      <c r="X29" s="10"/>
      <c r="Y29" s="10"/>
      <c r="Z29" s="10"/>
      <c r="AA29" s="10"/>
      <c r="AB29" s="10"/>
      <c r="AC29" s="10"/>
      <c r="AD29" s="38"/>
      <c r="AE29" s="10"/>
      <c r="AF29" s="10"/>
      <c r="AG29" s="10"/>
      <c r="AH29" s="10"/>
      <c r="AI29" s="10"/>
      <c r="AJ29" s="10"/>
      <c r="AK29" s="10"/>
      <c r="AL29" s="10"/>
      <c r="AM29" s="10"/>
      <c r="AN29" s="38"/>
      <c r="AO29" s="10"/>
      <c r="AP29" s="10"/>
      <c r="AQ29" s="10"/>
      <c r="AR29" s="10"/>
      <c r="AS29" s="10"/>
      <c r="AT29" s="10"/>
      <c r="AU29" s="10"/>
      <c r="AV29" s="10"/>
      <c r="AW29" s="10"/>
      <c r="AX29" s="38"/>
      <c r="AY29" s="42"/>
      <c r="AZ29" s="42"/>
      <c r="BA29" s="42"/>
      <c r="BB29" s="42"/>
      <c r="BC29" s="42"/>
      <c r="BD29" s="42"/>
      <c r="BE29" s="42"/>
      <c r="BF29" s="42"/>
      <c r="BG29" s="42"/>
      <c r="BH29" s="38"/>
      <c r="BI29" s="42"/>
      <c r="BJ29" s="42"/>
      <c r="BK29" s="42"/>
      <c r="BL29" s="42"/>
      <c r="BM29" s="42"/>
      <c r="BN29" s="42"/>
      <c r="BO29" s="42"/>
      <c r="BP29" s="42"/>
      <c r="BQ29" s="42"/>
      <c r="BR29" s="41"/>
      <c r="BS29" s="10"/>
      <c r="BT29" s="10"/>
      <c r="BU29" s="10"/>
      <c r="BV29" s="10"/>
      <c r="BW29" s="10"/>
      <c r="BX29" s="10"/>
      <c r="BY29" s="10"/>
      <c r="BZ29" s="10"/>
      <c r="CA29" s="10"/>
      <c r="CB29" s="38"/>
      <c r="CC29" s="10"/>
      <c r="CD29" s="10"/>
      <c r="CE29" s="10"/>
      <c r="CF29" s="10"/>
      <c r="CG29" s="10"/>
      <c r="CH29" s="10"/>
      <c r="CI29" s="10"/>
      <c r="CJ29" s="10"/>
      <c r="CK29" s="10"/>
      <c r="CL29" s="38"/>
      <c r="CM29" s="10"/>
      <c r="CN29" s="10"/>
      <c r="CO29" s="10"/>
      <c r="CP29" s="10"/>
      <c r="CQ29" s="10"/>
      <c r="CR29" s="10"/>
      <c r="CS29" s="10"/>
      <c r="CT29" s="10"/>
      <c r="CU29" s="10"/>
      <c r="CV29" s="38"/>
      <c r="CW29" s="42"/>
      <c r="CX29" s="42"/>
      <c r="CY29" s="42"/>
      <c r="CZ29" s="42"/>
      <c r="DA29" s="42"/>
      <c r="DB29" s="42"/>
      <c r="DC29" s="42"/>
      <c r="DD29" s="42"/>
      <c r="DE29" s="42"/>
      <c r="DF29" s="38"/>
      <c r="DG29" s="42"/>
      <c r="DH29" s="42"/>
      <c r="DI29" s="42"/>
      <c r="DJ29" s="42"/>
      <c r="DK29" s="42"/>
      <c r="DL29" s="42"/>
      <c r="DM29" s="42"/>
      <c r="DN29" s="42"/>
      <c r="DO29" s="42"/>
      <c r="DP29" s="41"/>
    </row>
    <row r="30" spans="1:120" ht="15" customHeight="1" x14ac:dyDescent="0.2">
      <c r="A30" s="42"/>
      <c r="B30" s="42"/>
      <c r="C30" s="42"/>
      <c r="D30" s="42"/>
      <c r="E30" s="42"/>
      <c r="F30" s="42"/>
      <c r="G30" s="42"/>
      <c r="H30" s="42"/>
      <c r="I30" s="42"/>
      <c r="J30" s="38"/>
      <c r="K30" s="42"/>
      <c r="L30" s="42"/>
      <c r="M30" s="42"/>
      <c r="N30" s="42"/>
      <c r="O30" s="42"/>
      <c r="P30" s="42"/>
      <c r="Q30" s="42"/>
      <c r="R30" s="42"/>
      <c r="S30" s="42"/>
      <c r="T30" s="38"/>
      <c r="U30" s="10"/>
      <c r="V30" s="10"/>
      <c r="W30" s="10"/>
      <c r="X30" s="10"/>
      <c r="Y30" s="10"/>
      <c r="Z30" s="10"/>
      <c r="AA30" s="10"/>
      <c r="AB30" s="10"/>
      <c r="AC30" s="10"/>
      <c r="AD30" s="38"/>
      <c r="AE30" s="10"/>
      <c r="AF30" s="10"/>
      <c r="AG30" s="10"/>
      <c r="AH30" s="10"/>
      <c r="AI30" s="10"/>
      <c r="AJ30" s="10"/>
      <c r="AK30" s="10"/>
      <c r="AL30" s="10"/>
      <c r="AM30" s="10"/>
      <c r="AN30" s="38"/>
      <c r="AO30" s="10"/>
      <c r="AP30" s="10"/>
      <c r="AQ30" s="10"/>
      <c r="AR30" s="10"/>
      <c r="AS30" s="10"/>
      <c r="AT30" s="10"/>
      <c r="AU30" s="10"/>
      <c r="AV30" s="10"/>
      <c r="AW30" s="10"/>
      <c r="AX30" s="38"/>
      <c r="AY30" s="42"/>
      <c r="AZ30" s="42"/>
      <c r="BA30" s="42"/>
      <c r="BB30" s="42"/>
      <c r="BC30" s="42"/>
      <c r="BD30" s="42"/>
      <c r="BE30" s="42"/>
      <c r="BF30" s="42"/>
      <c r="BG30" s="42"/>
      <c r="BH30" s="38"/>
      <c r="BI30" s="42"/>
      <c r="BJ30" s="42"/>
      <c r="BK30" s="42"/>
      <c r="BL30" s="42"/>
      <c r="BM30" s="42"/>
      <c r="BN30" s="42"/>
      <c r="BO30" s="42"/>
      <c r="BP30" s="42"/>
      <c r="BQ30" s="42"/>
      <c r="BR30" s="41"/>
      <c r="BS30" s="10"/>
      <c r="BT30" s="10"/>
      <c r="BU30" s="10"/>
      <c r="BV30" s="10"/>
      <c r="BW30" s="10"/>
      <c r="BX30" s="10"/>
      <c r="BY30" s="10"/>
      <c r="BZ30" s="10"/>
      <c r="CA30" s="10"/>
      <c r="CB30" s="38"/>
      <c r="CC30" s="10"/>
      <c r="CD30" s="10"/>
      <c r="CE30" s="10"/>
      <c r="CF30" s="10"/>
      <c r="CG30" s="10"/>
      <c r="CH30" s="10"/>
      <c r="CI30" s="10"/>
      <c r="CJ30" s="10"/>
      <c r="CK30" s="10"/>
      <c r="CL30" s="38"/>
      <c r="CM30" s="10"/>
      <c r="CN30" s="10"/>
      <c r="CO30" s="10"/>
      <c r="CP30" s="10"/>
      <c r="CQ30" s="10"/>
      <c r="CR30" s="10"/>
      <c r="CS30" s="10"/>
      <c r="CT30" s="10"/>
      <c r="CU30" s="10"/>
      <c r="CV30" s="38"/>
      <c r="CW30" s="42"/>
      <c r="CX30" s="42"/>
      <c r="CY30" s="42"/>
      <c r="CZ30" s="42"/>
      <c r="DA30" s="42"/>
      <c r="DB30" s="42"/>
      <c r="DC30" s="42"/>
      <c r="DD30" s="42"/>
      <c r="DE30" s="42"/>
      <c r="DF30" s="38"/>
      <c r="DG30" s="42"/>
      <c r="DH30" s="42"/>
      <c r="DI30" s="42"/>
      <c r="DJ30" s="42"/>
      <c r="DK30" s="42"/>
      <c r="DL30" s="42"/>
      <c r="DM30" s="42"/>
      <c r="DN30" s="42"/>
      <c r="DO30" s="42"/>
      <c r="DP30" s="41"/>
    </row>
    <row r="31" spans="1:120" ht="15" customHeight="1" x14ac:dyDescent="0.2">
      <c r="A31" s="42"/>
      <c r="B31" s="42"/>
      <c r="C31" s="42"/>
      <c r="D31" s="42"/>
      <c r="E31" s="42"/>
      <c r="F31" s="42"/>
      <c r="G31" s="42"/>
      <c r="H31" s="42"/>
      <c r="I31" s="42"/>
      <c r="J31" s="38"/>
      <c r="K31" s="42"/>
      <c r="L31" s="42"/>
      <c r="M31" s="42"/>
      <c r="N31" s="42"/>
      <c r="O31" s="42"/>
      <c r="P31" s="42"/>
      <c r="Q31" s="42"/>
      <c r="R31" s="42"/>
      <c r="S31" s="42"/>
      <c r="T31" s="38"/>
      <c r="U31" s="10"/>
      <c r="V31" s="10"/>
      <c r="W31" s="10"/>
      <c r="X31" s="10"/>
      <c r="Y31" s="10"/>
      <c r="Z31" s="10"/>
      <c r="AA31" s="10"/>
      <c r="AB31" s="10"/>
      <c r="AC31" s="10"/>
      <c r="AD31" s="38"/>
      <c r="AE31" s="10"/>
      <c r="AF31" s="10"/>
      <c r="AG31" s="10"/>
      <c r="AH31" s="10"/>
      <c r="AI31" s="10"/>
      <c r="AJ31" s="10"/>
      <c r="AK31" s="10"/>
      <c r="AL31" s="10"/>
      <c r="AM31" s="10"/>
      <c r="AN31" s="38"/>
      <c r="AO31" s="10"/>
      <c r="AP31" s="10"/>
      <c r="AQ31" s="10"/>
      <c r="AR31" s="10"/>
      <c r="AS31" s="10"/>
      <c r="AT31" s="10"/>
      <c r="AU31" s="10"/>
      <c r="AV31" s="10"/>
      <c r="AW31" s="10"/>
      <c r="AX31" s="38"/>
      <c r="AY31" s="42"/>
      <c r="AZ31" s="42"/>
      <c r="BA31" s="42"/>
      <c r="BB31" s="42"/>
      <c r="BC31" s="42"/>
      <c r="BD31" s="42"/>
      <c r="BE31" s="42"/>
      <c r="BF31" s="42"/>
      <c r="BG31" s="42"/>
      <c r="BH31" s="38"/>
      <c r="BI31" s="42"/>
      <c r="BJ31" s="42"/>
      <c r="BK31" s="42"/>
      <c r="BL31" s="42"/>
      <c r="BM31" s="42"/>
      <c r="BN31" s="42"/>
      <c r="BO31" s="42"/>
      <c r="BP31" s="42"/>
      <c r="BQ31" s="42"/>
      <c r="BR31" s="41"/>
      <c r="BS31" s="10"/>
      <c r="BT31" s="10"/>
      <c r="BU31" s="10"/>
      <c r="BV31" s="10"/>
      <c r="BW31" s="10"/>
      <c r="BX31" s="10"/>
      <c r="BY31" s="10"/>
      <c r="BZ31" s="10"/>
      <c r="CA31" s="10"/>
      <c r="CB31" s="38"/>
      <c r="CC31" s="10"/>
      <c r="CD31" s="10"/>
      <c r="CE31" s="10"/>
      <c r="CF31" s="10"/>
      <c r="CG31" s="10"/>
      <c r="CH31" s="10"/>
      <c r="CI31" s="10"/>
      <c r="CJ31" s="10"/>
      <c r="CK31" s="10"/>
      <c r="CL31" s="38"/>
      <c r="CM31" s="10"/>
      <c r="CN31" s="10"/>
      <c r="CO31" s="10"/>
      <c r="CP31" s="10"/>
      <c r="CQ31" s="10"/>
      <c r="CR31" s="10"/>
      <c r="CS31" s="10"/>
      <c r="CT31" s="10"/>
      <c r="CU31" s="10"/>
      <c r="CV31" s="38"/>
      <c r="CW31" s="42"/>
      <c r="CX31" s="42"/>
      <c r="CY31" s="42"/>
      <c r="CZ31" s="42"/>
      <c r="DA31" s="42"/>
      <c r="DB31" s="42"/>
      <c r="DC31" s="42"/>
      <c r="DD31" s="42"/>
      <c r="DE31" s="42"/>
      <c r="DF31" s="38"/>
      <c r="DG31" s="42"/>
      <c r="DH31" s="42"/>
      <c r="DI31" s="42"/>
      <c r="DJ31" s="42"/>
      <c r="DK31" s="42"/>
      <c r="DL31" s="42"/>
      <c r="DM31" s="42"/>
      <c r="DN31" s="42"/>
      <c r="DO31" s="42"/>
      <c r="DP31" s="41"/>
    </row>
    <row r="32" spans="1:120" ht="15" customHeight="1" x14ac:dyDescent="0.2">
      <c r="A32" s="42"/>
      <c r="B32" s="42"/>
      <c r="C32" s="42"/>
      <c r="D32" s="42"/>
      <c r="E32" s="42"/>
      <c r="F32" s="42"/>
      <c r="G32" s="42"/>
      <c r="H32" s="42"/>
      <c r="I32" s="42"/>
      <c r="J32" s="38"/>
      <c r="K32" s="42"/>
      <c r="L32" s="42"/>
      <c r="M32" s="42"/>
      <c r="N32" s="42"/>
      <c r="O32" s="42"/>
      <c r="P32" s="42"/>
      <c r="Q32" s="42"/>
      <c r="R32" s="42"/>
      <c r="S32" s="42"/>
      <c r="T32" s="38"/>
      <c r="U32" s="294" t="s">
        <v>615</v>
      </c>
      <c r="V32" s="294"/>
      <c r="W32" s="294"/>
      <c r="X32" s="294"/>
      <c r="Y32" s="294"/>
      <c r="Z32" s="294"/>
      <c r="AA32" s="294"/>
      <c r="AB32" s="294"/>
      <c r="AC32" s="294"/>
      <c r="AD32" s="38"/>
      <c r="AE32" s="10"/>
      <c r="AF32" s="10"/>
      <c r="AG32" s="10"/>
      <c r="AH32" s="10"/>
      <c r="AI32" s="10"/>
      <c r="AJ32" s="10"/>
      <c r="AK32" s="10"/>
      <c r="AL32" s="10"/>
      <c r="AM32" s="10"/>
      <c r="AN32" s="38"/>
      <c r="AO32" s="10"/>
      <c r="AP32" s="10"/>
      <c r="AQ32" s="10"/>
      <c r="AR32" s="10"/>
      <c r="AS32" s="10"/>
      <c r="AT32" s="10"/>
      <c r="AU32" s="10"/>
      <c r="AV32" s="10"/>
      <c r="AW32" s="10"/>
      <c r="AX32" s="38"/>
      <c r="AY32" s="42"/>
      <c r="AZ32" s="42"/>
      <c r="BA32" s="42"/>
      <c r="BB32" s="42"/>
      <c r="BC32" s="42"/>
      <c r="BD32" s="42"/>
      <c r="BE32" s="42"/>
      <c r="BF32" s="42"/>
      <c r="BG32" s="42"/>
      <c r="BH32" s="38"/>
      <c r="BI32" s="42"/>
      <c r="BJ32" s="42"/>
      <c r="BK32" s="42"/>
      <c r="BL32" s="42"/>
      <c r="BM32" s="42"/>
      <c r="BN32" s="42"/>
      <c r="BO32" s="42"/>
      <c r="BP32" s="42"/>
      <c r="BQ32" s="42"/>
      <c r="BR32" s="41"/>
      <c r="BS32" s="166"/>
      <c r="BT32" s="10"/>
      <c r="BU32" s="10"/>
      <c r="BV32" s="10"/>
      <c r="BW32" s="10"/>
      <c r="BX32" s="10"/>
      <c r="BY32" s="10"/>
      <c r="BZ32" s="10"/>
      <c r="CA32" s="10"/>
      <c r="CB32" s="38"/>
      <c r="CC32" s="10"/>
      <c r="CD32" s="10"/>
      <c r="CE32" s="10"/>
      <c r="CF32" s="10"/>
      <c r="CG32" s="10"/>
      <c r="CH32" s="10"/>
      <c r="CI32" s="10"/>
      <c r="CJ32" s="10"/>
      <c r="CK32" s="10"/>
      <c r="CL32" s="38"/>
      <c r="CM32" s="10"/>
      <c r="CN32" s="10"/>
      <c r="CO32" s="10"/>
      <c r="CP32" s="10"/>
      <c r="CQ32" s="10"/>
      <c r="CR32" s="10"/>
      <c r="CS32" s="10"/>
      <c r="CT32" s="10"/>
      <c r="CU32" s="10"/>
      <c r="CV32" s="38"/>
      <c r="CW32" s="42"/>
      <c r="CX32" s="42"/>
      <c r="CY32" s="42"/>
      <c r="CZ32" s="42"/>
      <c r="DA32" s="42"/>
      <c r="DB32" s="42"/>
      <c r="DC32" s="42"/>
      <c r="DD32" s="42"/>
      <c r="DE32" s="42"/>
      <c r="DF32" s="38"/>
      <c r="DG32" s="42"/>
      <c r="DH32" s="42"/>
      <c r="DI32" s="42"/>
      <c r="DJ32" s="42"/>
      <c r="DK32" s="42"/>
      <c r="DL32" s="42"/>
      <c r="DM32" s="42"/>
      <c r="DN32" s="42"/>
      <c r="DO32" s="42"/>
      <c r="DP32" s="41"/>
    </row>
    <row r="33" spans="1:120" ht="15" customHeight="1" x14ac:dyDescent="0.2">
      <c r="A33" s="42"/>
      <c r="B33" s="42"/>
      <c r="C33" s="42"/>
      <c r="D33" s="42"/>
      <c r="E33" s="42"/>
      <c r="F33" s="42"/>
      <c r="G33" s="42"/>
      <c r="H33" s="42"/>
      <c r="I33" s="42"/>
      <c r="J33" s="38"/>
      <c r="K33" s="42"/>
      <c r="L33" s="42"/>
      <c r="M33" s="42"/>
      <c r="N33" s="42"/>
      <c r="O33" s="42"/>
      <c r="P33" s="42"/>
      <c r="Q33" s="42"/>
      <c r="R33" s="42"/>
      <c r="S33" s="42"/>
      <c r="T33" s="38"/>
      <c r="U33" s="294"/>
      <c r="V33" s="294"/>
      <c r="W33" s="294"/>
      <c r="X33" s="294"/>
      <c r="Y33" s="294"/>
      <c r="Z33" s="294"/>
      <c r="AA33" s="294"/>
      <c r="AB33" s="294"/>
      <c r="AC33" s="294"/>
      <c r="AD33" s="38"/>
      <c r="AE33" s="10"/>
      <c r="AF33" s="10"/>
      <c r="AG33" s="10"/>
      <c r="AH33" s="10"/>
      <c r="AI33" s="10"/>
      <c r="AJ33" s="10"/>
      <c r="AK33" s="10"/>
      <c r="AL33" s="10"/>
      <c r="AM33" s="10"/>
      <c r="AN33" s="38"/>
      <c r="AO33" s="10"/>
      <c r="AP33" s="10"/>
      <c r="AQ33" s="10"/>
      <c r="AR33" s="10"/>
      <c r="AS33" s="10"/>
      <c r="AT33" s="10"/>
      <c r="AU33" s="10"/>
      <c r="AV33" s="10"/>
      <c r="AW33" s="10"/>
      <c r="AX33" s="38"/>
      <c r="AY33" s="42"/>
      <c r="AZ33" s="42"/>
      <c r="BA33" s="42"/>
      <c r="BB33" s="42"/>
      <c r="BC33" s="42"/>
      <c r="BD33" s="42"/>
      <c r="BE33" s="42"/>
      <c r="BF33" s="42"/>
      <c r="BG33" s="42"/>
      <c r="BH33" s="38"/>
      <c r="BI33" s="42"/>
      <c r="BJ33" s="42"/>
      <c r="BK33" s="42"/>
      <c r="BL33" s="42"/>
      <c r="BM33" s="42"/>
      <c r="BN33" s="42"/>
      <c r="BO33" s="42"/>
      <c r="BP33" s="42"/>
      <c r="BQ33" s="42"/>
      <c r="BR33" s="41"/>
      <c r="BS33" s="354"/>
      <c r="BT33" s="354"/>
      <c r="BU33" s="354"/>
      <c r="BV33" s="43"/>
      <c r="BW33" s="10"/>
      <c r="BX33" s="10"/>
      <c r="BY33" s="10"/>
      <c r="BZ33" s="10"/>
      <c r="CA33" s="10"/>
      <c r="CB33" s="38"/>
      <c r="CC33" s="10"/>
      <c r="CD33" s="10"/>
      <c r="CE33" s="10"/>
      <c r="CF33" s="10"/>
      <c r="CG33" s="10"/>
      <c r="CH33" s="10"/>
      <c r="CI33" s="10"/>
      <c r="CJ33" s="10"/>
      <c r="CK33" s="10"/>
      <c r="CL33" s="38"/>
      <c r="CM33" s="10"/>
      <c r="CN33" s="10"/>
      <c r="CO33" s="10"/>
      <c r="CP33" s="10"/>
      <c r="CQ33" s="10"/>
      <c r="CR33" s="10"/>
      <c r="CS33" s="10"/>
      <c r="CT33" s="10"/>
      <c r="CU33" s="10"/>
      <c r="CV33" s="38"/>
      <c r="CW33" s="42"/>
      <c r="CX33" s="42"/>
      <c r="CY33" s="42"/>
      <c r="CZ33" s="42"/>
      <c r="DA33" s="42"/>
      <c r="DB33" s="42"/>
      <c r="DC33" s="42"/>
      <c r="DD33" s="42"/>
      <c r="DE33" s="42"/>
      <c r="DF33" s="38"/>
      <c r="DG33" s="42"/>
      <c r="DH33" s="42"/>
      <c r="DI33" s="42"/>
      <c r="DJ33" s="42"/>
      <c r="DK33" s="42"/>
      <c r="DL33" s="42"/>
      <c r="DM33" s="42"/>
      <c r="DN33" s="42"/>
      <c r="DO33" s="42"/>
      <c r="DP33" s="41"/>
    </row>
    <row r="34" spans="1:120" ht="15" customHeight="1" x14ac:dyDescent="0.2">
      <c r="A34" s="42"/>
      <c r="B34" s="42"/>
      <c r="C34" s="42"/>
      <c r="D34" s="42"/>
      <c r="E34" s="42"/>
      <c r="F34" s="42"/>
      <c r="G34" s="42"/>
      <c r="H34" s="42"/>
      <c r="I34" s="42"/>
      <c r="J34" s="38"/>
      <c r="K34" s="42"/>
      <c r="L34" s="42"/>
      <c r="M34" s="42"/>
      <c r="N34" s="42"/>
      <c r="O34" s="42"/>
      <c r="P34" s="42"/>
      <c r="Q34" s="42"/>
      <c r="R34" s="42"/>
      <c r="S34" s="42"/>
      <c r="T34" s="38"/>
      <c r="U34" s="10"/>
      <c r="V34" s="10"/>
      <c r="W34" s="10"/>
      <c r="X34" s="10"/>
      <c r="Y34" s="10"/>
      <c r="Z34" s="10"/>
      <c r="AA34" s="10"/>
      <c r="AB34" s="10"/>
      <c r="AC34" s="10"/>
      <c r="AD34" s="38"/>
      <c r="AE34" s="10"/>
      <c r="AF34" s="10"/>
      <c r="AG34" s="10"/>
      <c r="AH34" s="10"/>
      <c r="AI34" s="10"/>
      <c r="AJ34" s="10"/>
      <c r="AK34" s="10"/>
      <c r="AL34" s="10"/>
      <c r="AM34" s="10"/>
      <c r="AN34" s="38"/>
      <c r="AO34" s="10"/>
      <c r="AP34" s="10"/>
      <c r="AQ34" s="10"/>
      <c r="AR34" s="10"/>
      <c r="AS34" s="10"/>
      <c r="AT34" s="10"/>
      <c r="AU34" s="10"/>
      <c r="AV34" s="10"/>
      <c r="AW34" s="10"/>
      <c r="AX34" s="38"/>
      <c r="AY34" s="42"/>
      <c r="AZ34" s="42"/>
      <c r="BA34" s="42"/>
      <c r="BB34" s="42"/>
      <c r="BC34" s="42"/>
      <c r="BD34" s="42"/>
      <c r="BE34" s="42"/>
      <c r="BF34" s="42"/>
      <c r="BG34" s="42"/>
      <c r="BH34" s="38"/>
      <c r="BI34" s="42"/>
      <c r="BJ34" s="42"/>
      <c r="BK34" s="42"/>
      <c r="BL34" s="42"/>
      <c r="BM34" s="42"/>
      <c r="BN34" s="42"/>
      <c r="BO34" s="42"/>
      <c r="BP34" s="42"/>
      <c r="BQ34" s="42"/>
      <c r="BR34" s="41"/>
      <c r="BS34" s="10"/>
      <c r="BT34" s="10"/>
      <c r="BU34" s="10"/>
      <c r="BV34" s="10"/>
      <c r="BW34" s="10"/>
      <c r="BX34" s="10"/>
      <c r="BY34" s="10"/>
      <c r="BZ34" s="10"/>
      <c r="CA34" s="10"/>
      <c r="CB34" s="38"/>
      <c r="CC34" s="10"/>
      <c r="CD34" s="10"/>
      <c r="CE34" s="10"/>
      <c r="CF34" s="10"/>
      <c r="CG34" s="10"/>
      <c r="CH34" s="10"/>
      <c r="CI34" s="10"/>
      <c r="CJ34" s="10"/>
      <c r="CK34" s="10"/>
      <c r="CL34" s="38"/>
      <c r="CM34" s="10"/>
      <c r="CN34" s="10"/>
      <c r="CO34" s="10"/>
      <c r="CP34" s="10"/>
      <c r="CQ34" s="10"/>
      <c r="CR34" s="10"/>
      <c r="CS34" s="10"/>
      <c r="CT34" s="10"/>
      <c r="CU34" s="10"/>
      <c r="CV34" s="38"/>
      <c r="CW34" s="42"/>
      <c r="CX34" s="42"/>
      <c r="CY34" s="42"/>
      <c r="CZ34" s="42"/>
      <c r="DA34" s="42"/>
      <c r="DB34" s="42"/>
      <c r="DC34" s="42"/>
      <c r="DD34" s="42"/>
      <c r="DE34" s="42"/>
      <c r="DF34" s="38"/>
      <c r="DG34" s="42"/>
      <c r="DH34" s="42"/>
      <c r="DI34" s="42"/>
      <c r="DJ34" s="42"/>
      <c r="DK34" s="42"/>
      <c r="DL34" s="42"/>
      <c r="DM34" s="42"/>
      <c r="DN34" s="42"/>
      <c r="DO34" s="42"/>
      <c r="DP34" s="41"/>
    </row>
    <row r="35" spans="1:120" ht="15" customHeight="1" x14ac:dyDescent="0.2">
      <c r="A35" s="42"/>
      <c r="B35" s="42"/>
      <c r="C35" s="42"/>
      <c r="D35" s="42"/>
      <c r="E35" s="42"/>
      <c r="F35" s="42"/>
      <c r="G35" s="42"/>
      <c r="H35" s="42"/>
      <c r="I35" s="42"/>
      <c r="J35" s="38"/>
      <c r="K35" s="42"/>
      <c r="L35" s="42"/>
      <c r="M35" s="42"/>
      <c r="N35" s="42"/>
      <c r="O35" s="42"/>
      <c r="P35" s="42"/>
      <c r="Q35" s="42"/>
      <c r="R35" s="42"/>
      <c r="S35" s="42"/>
      <c r="T35" s="38"/>
      <c r="U35" s="10"/>
      <c r="V35" s="10"/>
      <c r="W35" s="10"/>
      <c r="X35" s="10"/>
      <c r="Y35" s="10"/>
      <c r="Z35" s="10"/>
      <c r="AA35" s="10"/>
      <c r="AB35" s="10"/>
      <c r="AC35" s="10"/>
      <c r="AD35" s="38"/>
      <c r="AE35" s="10"/>
      <c r="AF35" s="10"/>
      <c r="AG35" s="10"/>
      <c r="AH35" s="10"/>
      <c r="AI35" s="10"/>
      <c r="AJ35" s="10"/>
      <c r="AK35" s="10"/>
      <c r="AL35" s="10"/>
      <c r="AM35" s="10"/>
      <c r="AN35" s="38"/>
      <c r="AO35" s="10"/>
      <c r="AP35" s="10"/>
      <c r="AQ35" s="10"/>
      <c r="AR35" s="10"/>
      <c r="AS35" s="10"/>
      <c r="AT35" s="10"/>
      <c r="AU35" s="10"/>
      <c r="AV35" s="10"/>
      <c r="AW35" s="10"/>
      <c r="AX35" s="38"/>
      <c r="AY35" s="42"/>
      <c r="AZ35" s="42"/>
      <c r="BA35" s="42"/>
      <c r="BB35" s="42"/>
      <c r="BC35" s="42"/>
      <c r="BD35" s="42"/>
      <c r="BE35" s="42"/>
      <c r="BF35" s="42"/>
      <c r="BG35" s="42"/>
      <c r="BH35" s="38"/>
      <c r="BI35" s="42"/>
      <c r="BJ35" s="42"/>
      <c r="BK35" s="42"/>
      <c r="BL35" s="42"/>
      <c r="BM35" s="42"/>
      <c r="BN35" s="42"/>
      <c r="BO35" s="42"/>
      <c r="BP35" s="42"/>
      <c r="BQ35" s="42"/>
      <c r="BR35" s="41"/>
      <c r="BS35" s="10"/>
      <c r="BT35" s="10"/>
      <c r="BU35" s="10"/>
      <c r="BV35" s="10"/>
      <c r="BW35" s="10"/>
      <c r="BX35" s="10"/>
      <c r="BY35" s="10"/>
      <c r="BZ35" s="10"/>
      <c r="CA35" s="10"/>
      <c r="CB35" s="38"/>
      <c r="CC35" s="10"/>
      <c r="CD35" s="10"/>
      <c r="CE35" s="10"/>
      <c r="CF35" s="10"/>
      <c r="CG35" s="10"/>
      <c r="CH35" s="10"/>
      <c r="CI35" s="10"/>
      <c r="CJ35" s="10"/>
      <c r="CK35" s="10"/>
      <c r="CL35" s="38"/>
      <c r="CM35" s="10"/>
      <c r="CN35" s="10"/>
      <c r="CO35" s="10"/>
      <c r="CP35" s="10"/>
      <c r="CQ35" s="10"/>
      <c r="CR35" s="10"/>
      <c r="CS35" s="10"/>
      <c r="CT35" s="10"/>
      <c r="CU35" s="10"/>
      <c r="CV35" s="38"/>
      <c r="CW35" s="42"/>
      <c r="CX35" s="42"/>
      <c r="CY35" s="42"/>
      <c r="CZ35" s="42"/>
      <c r="DA35" s="42"/>
      <c r="DB35" s="42"/>
      <c r="DC35" s="42"/>
      <c r="DD35" s="42"/>
      <c r="DE35" s="42"/>
      <c r="DF35" s="38"/>
      <c r="DG35" s="42"/>
      <c r="DH35" s="42"/>
      <c r="DI35" s="42"/>
      <c r="DJ35" s="42"/>
      <c r="DK35" s="42"/>
      <c r="DL35" s="42"/>
      <c r="DM35" s="42"/>
      <c r="DN35" s="42"/>
      <c r="DO35" s="42"/>
      <c r="DP35" s="41"/>
    </row>
    <row r="36" spans="1:120" ht="15" customHeight="1" x14ac:dyDescent="0.2">
      <c r="A36" s="42"/>
      <c r="B36" s="42"/>
      <c r="C36" s="42"/>
      <c r="D36" s="42"/>
      <c r="E36" s="42"/>
      <c r="F36" s="42"/>
      <c r="G36" s="42"/>
      <c r="H36" s="42"/>
      <c r="I36" s="42"/>
      <c r="J36" s="38"/>
      <c r="K36" s="42"/>
      <c r="L36" s="42"/>
      <c r="M36" s="42"/>
      <c r="N36" s="42"/>
      <c r="O36" s="42"/>
      <c r="P36" s="42"/>
      <c r="Q36" s="42"/>
      <c r="R36" s="42"/>
      <c r="S36" s="42"/>
      <c r="T36" s="38"/>
      <c r="U36" s="10"/>
      <c r="V36" s="10"/>
      <c r="W36" s="10"/>
      <c r="X36" s="10"/>
      <c r="Y36" s="10"/>
      <c r="Z36" s="10"/>
      <c r="AA36" s="10"/>
      <c r="AB36" s="10"/>
      <c r="AC36" s="10"/>
      <c r="AD36" s="38"/>
      <c r="AE36" s="10"/>
      <c r="AF36" s="10"/>
      <c r="AG36" s="10"/>
      <c r="AH36" s="10"/>
      <c r="AI36" s="10"/>
      <c r="AJ36" s="10"/>
      <c r="AK36" s="10"/>
      <c r="AL36" s="10"/>
      <c r="AM36" s="10"/>
      <c r="AN36" s="38"/>
      <c r="AO36" s="10"/>
      <c r="AP36" s="10"/>
      <c r="AQ36" s="10"/>
      <c r="AR36" s="10"/>
      <c r="AS36" s="10"/>
      <c r="AT36" s="10"/>
      <c r="AU36" s="10"/>
      <c r="AV36" s="10"/>
      <c r="AW36" s="10"/>
      <c r="AX36" s="38"/>
      <c r="AY36" s="42"/>
      <c r="AZ36" s="42"/>
      <c r="BA36" s="42"/>
      <c r="BB36" s="42"/>
      <c r="BC36" s="42"/>
      <c r="BD36" s="42"/>
      <c r="BE36" s="42"/>
      <c r="BF36" s="42"/>
      <c r="BG36" s="42"/>
      <c r="BH36" s="38"/>
      <c r="BI36" s="42"/>
      <c r="BJ36" s="42"/>
      <c r="BK36" s="42"/>
      <c r="BL36" s="42"/>
      <c r="BM36" s="42"/>
      <c r="BN36" s="42"/>
      <c r="BO36" s="42"/>
      <c r="BP36" s="42"/>
      <c r="BQ36" s="42"/>
      <c r="BR36" s="41"/>
      <c r="BS36" s="10"/>
      <c r="BT36" s="10"/>
      <c r="BU36" s="10"/>
      <c r="BV36" s="10"/>
      <c r="BW36" s="10"/>
      <c r="BX36" s="10"/>
      <c r="BY36" s="10"/>
      <c r="BZ36" s="10"/>
      <c r="CA36" s="10"/>
      <c r="CB36" s="38"/>
      <c r="CC36" s="10"/>
      <c r="CD36" s="10"/>
      <c r="CE36" s="10"/>
      <c r="CF36" s="10"/>
      <c r="CG36" s="10"/>
      <c r="CH36" s="10"/>
      <c r="CI36" s="10"/>
      <c r="CJ36" s="10"/>
      <c r="CK36" s="10"/>
      <c r="CL36" s="38"/>
      <c r="CM36" s="10"/>
      <c r="CN36" s="10"/>
      <c r="CO36" s="10"/>
      <c r="CP36" s="10"/>
      <c r="CQ36" s="10"/>
      <c r="CR36" s="10"/>
      <c r="CS36" s="10"/>
      <c r="CT36" s="10"/>
      <c r="CU36" s="10"/>
      <c r="CV36" s="38"/>
      <c r="CW36" s="42"/>
      <c r="CX36" s="42"/>
      <c r="CY36" s="42"/>
      <c r="CZ36" s="42"/>
      <c r="DA36" s="42"/>
      <c r="DB36" s="42"/>
      <c r="DC36" s="42"/>
      <c r="DD36" s="42"/>
      <c r="DE36" s="42"/>
      <c r="DF36" s="38"/>
      <c r="DG36" s="42"/>
      <c r="DH36" s="42"/>
      <c r="DI36" s="42"/>
      <c r="DJ36" s="42"/>
      <c r="DK36" s="42"/>
      <c r="DL36" s="42"/>
      <c r="DM36" s="42"/>
      <c r="DN36" s="42"/>
      <c r="DO36" s="42"/>
      <c r="DP36" s="41"/>
    </row>
    <row r="37" spans="1:120" ht="15" customHeight="1" x14ac:dyDescent="0.2">
      <c r="A37" s="42"/>
      <c r="B37" s="42"/>
      <c r="C37" s="42"/>
      <c r="D37" s="42"/>
      <c r="E37" s="42"/>
      <c r="F37" s="42"/>
      <c r="G37" s="42"/>
      <c r="H37" s="42"/>
      <c r="I37" s="42"/>
      <c r="J37" s="38"/>
      <c r="K37" s="42"/>
      <c r="L37" s="42"/>
      <c r="M37" s="42"/>
      <c r="N37" s="42"/>
      <c r="O37" s="42"/>
      <c r="P37" s="42"/>
      <c r="Q37" s="42"/>
      <c r="R37" s="42"/>
      <c r="S37" s="42"/>
      <c r="T37" s="38"/>
      <c r="U37" s="10"/>
      <c r="V37" s="10"/>
      <c r="W37" s="10"/>
      <c r="X37" s="10"/>
      <c r="Y37" s="10"/>
      <c r="Z37" s="10"/>
      <c r="AA37" s="10"/>
      <c r="AB37" s="10"/>
      <c r="AC37" s="10"/>
      <c r="AD37" s="38"/>
      <c r="AE37" s="10"/>
      <c r="AF37" s="10"/>
      <c r="AG37" s="10"/>
      <c r="AH37" s="10"/>
      <c r="AI37" s="10"/>
      <c r="AJ37" s="10"/>
      <c r="AK37" s="10"/>
      <c r="AL37" s="10"/>
      <c r="AM37" s="10"/>
      <c r="AN37" s="38"/>
      <c r="AO37" s="10"/>
      <c r="AP37" s="10"/>
      <c r="AQ37" s="10"/>
      <c r="AR37" s="10"/>
      <c r="AS37" s="10"/>
      <c r="AT37" s="10"/>
      <c r="AU37" s="10"/>
      <c r="AV37" s="10"/>
      <c r="AW37" s="10"/>
      <c r="AX37" s="38"/>
      <c r="AY37" s="42"/>
      <c r="AZ37" s="42"/>
      <c r="BA37" s="42"/>
      <c r="BB37" s="42"/>
      <c r="BC37" s="42"/>
      <c r="BD37" s="42"/>
      <c r="BE37" s="42"/>
      <c r="BF37" s="42"/>
      <c r="BG37" s="42"/>
      <c r="BH37" s="38"/>
      <c r="BI37" s="42"/>
      <c r="BJ37" s="42"/>
      <c r="BK37" s="42"/>
      <c r="BL37" s="42"/>
      <c r="BM37" s="42"/>
      <c r="BN37" s="42"/>
      <c r="BO37" s="42"/>
      <c r="BP37" s="42"/>
      <c r="BQ37" s="42"/>
      <c r="BR37" s="41"/>
      <c r="BS37" s="10"/>
      <c r="BT37" s="10"/>
      <c r="BU37" s="10"/>
      <c r="BV37" s="10"/>
      <c r="BW37" s="10"/>
      <c r="BX37" s="10"/>
      <c r="BY37" s="10"/>
      <c r="BZ37" s="10"/>
      <c r="CA37" s="10"/>
      <c r="CB37" s="38"/>
      <c r="CC37" s="10"/>
      <c r="CD37" s="10"/>
      <c r="CE37" s="10"/>
      <c r="CF37" s="10"/>
      <c r="CG37" s="10"/>
      <c r="CH37" s="10"/>
      <c r="CI37" s="10"/>
      <c r="CJ37" s="10"/>
      <c r="CK37" s="10"/>
      <c r="CL37" s="38"/>
      <c r="CM37" s="10"/>
      <c r="CN37" s="10"/>
      <c r="CO37" s="10"/>
      <c r="CP37" s="10"/>
      <c r="CQ37" s="10"/>
      <c r="CR37" s="10"/>
      <c r="CS37" s="10"/>
      <c r="CT37" s="10"/>
      <c r="CU37" s="10"/>
      <c r="CV37" s="38"/>
      <c r="CW37" s="42"/>
      <c r="CX37" s="42"/>
      <c r="CY37" s="42"/>
      <c r="CZ37" s="42"/>
      <c r="DA37" s="42"/>
      <c r="DB37" s="42"/>
      <c r="DC37" s="42"/>
      <c r="DD37" s="42"/>
      <c r="DE37" s="42"/>
      <c r="DF37" s="38"/>
      <c r="DG37" s="42"/>
      <c r="DH37" s="42"/>
      <c r="DI37" s="42"/>
      <c r="DJ37" s="42"/>
      <c r="DK37" s="42"/>
      <c r="DL37" s="42"/>
      <c r="DM37" s="42"/>
      <c r="DN37" s="42"/>
      <c r="DO37" s="42"/>
      <c r="DP37" s="41"/>
    </row>
    <row r="38" spans="1:120" ht="15" customHeight="1" x14ac:dyDescent="0.2">
      <c r="A38" s="42"/>
      <c r="B38" s="42"/>
      <c r="C38" s="42"/>
      <c r="D38" s="42"/>
      <c r="E38" s="42"/>
      <c r="F38" s="42"/>
      <c r="G38" s="42"/>
      <c r="H38" s="42"/>
      <c r="I38" s="42"/>
      <c r="J38" s="38"/>
      <c r="K38" s="42"/>
      <c r="L38" s="42"/>
      <c r="M38" s="42"/>
      <c r="N38" s="42"/>
      <c r="O38" s="42"/>
      <c r="P38" s="42"/>
      <c r="Q38" s="42"/>
      <c r="R38" s="42"/>
      <c r="S38" s="42"/>
      <c r="T38" s="38"/>
      <c r="U38" s="43"/>
      <c r="V38" s="10"/>
      <c r="W38" s="10"/>
      <c r="X38" s="10"/>
      <c r="Y38" s="10"/>
      <c r="Z38" s="10"/>
      <c r="AA38" s="10"/>
      <c r="AB38" s="10"/>
      <c r="AC38" s="10"/>
      <c r="AD38" s="38"/>
      <c r="AE38" s="10"/>
      <c r="AF38" s="10"/>
      <c r="AG38" s="10"/>
      <c r="AH38" s="10"/>
      <c r="AI38" s="10"/>
      <c r="AJ38" s="10"/>
      <c r="AK38" s="10"/>
      <c r="AL38" s="10"/>
      <c r="AM38" s="10"/>
      <c r="AN38" s="38"/>
      <c r="AO38" s="10"/>
      <c r="AP38" s="10"/>
      <c r="AQ38" s="10"/>
      <c r="AR38" s="10"/>
      <c r="AS38" s="10"/>
      <c r="AT38" s="10"/>
      <c r="AU38" s="10"/>
      <c r="AV38" s="10"/>
      <c r="AW38" s="10"/>
      <c r="AX38" s="38"/>
      <c r="AY38" s="42"/>
      <c r="AZ38" s="42"/>
      <c r="BA38" s="42"/>
      <c r="BB38" s="42"/>
      <c r="BC38" s="42"/>
      <c r="BD38" s="42"/>
      <c r="BE38" s="42"/>
      <c r="BF38" s="42"/>
      <c r="BG38" s="42"/>
      <c r="BH38" s="38"/>
      <c r="BI38" s="42"/>
      <c r="BJ38" s="42"/>
      <c r="BK38" s="42"/>
      <c r="BL38" s="42"/>
      <c r="BM38" s="42"/>
      <c r="BN38" s="42"/>
      <c r="BO38" s="42"/>
      <c r="BP38" s="42"/>
      <c r="BQ38" s="42"/>
      <c r="BR38" s="41"/>
      <c r="BS38" s="43"/>
      <c r="BT38" s="10"/>
      <c r="BU38" s="10"/>
      <c r="BV38" s="10"/>
      <c r="BW38" s="10"/>
      <c r="BX38" s="10"/>
      <c r="BY38" s="10"/>
      <c r="BZ38" s="10"/>
      <c r="CA38" s="10"/>
      <c r="CB38" s="38"/>
      <c r="CC38" s="10"/>
      <c r="CD38" s="10"/>
      <c r="CE38" s="10"/>
      <c r="CF38" s="10"/>
      <c r="CG38" s="10"/>
      <c r="CH38" s="10"/>
      <c r="CI38" s="10"/>
      <c r="CJ38" s="10"/>
      <c r="CK38" s="10"/>
      <c r="CL38" s="38"/>
      <c r="CM38" s="10"/>
      <c r="CN38" s="10"/>
      <c r="CO38" s="10"/>
      <c r="CP38" s="10"/>
      <c r="CQ38" s="10"/>
      <c r="CR38" s="10"/>
      <c r="CS38" s="10"/>
      <c r="CT38" s="10"/>
      <c r="CU38" s="10"/>
      <c r="CV38" s="38"/>
      <c r="CW38" s="42"/>
      <c r="CX38" s="42"/>
      <c r="CY38" s="42"/>
      <c r="CZ38" s="42"/>
      <c r="DA38" s="42"/>
      <c r="DB38" s="42"/>
      <c r="DC38" s="42"/>
      <c r="DD38" s="42"/>
      <c r="DE38" s="42"/>
      <c r="DF38" s="38"/>
      <c r="DG38" s="42"/>
      <c r="DH38" s="42"/>
      <c r="DI38" s="42"/>
      <c r="DJ38" s="42"/>
      <c r="DK38" s="42"/>
      <c r="DL38" s="42"/>
      <c r="DM38" s="42"/>
      <c r="DN38" s="42"/>
      <c r="DO38" s="42"/>
      <c r="DP38" s="41"/>
    </row>
    <row r="39" spans="1:120" ht="15" customHeight="1" x14ac:dyDescent="0.2">
      <c r="A39" s="294" t="s">
        <v>616</v>
      </c>
      <c r="B39" s="294"/>
      <c r="C39" s="294"/>
      <c r="D39" s="294"/>
      <c r="E39" s="294"/>
      <c r="F39" s="294"/>
      <c r="G39" s="294"/>
      <c r="H39" s="294"/>
      <c r="I39" s="294"/>
      <c r="J39" s="38"/>
      <c r="K39" s="294" t="s">
        <v>617</v>
      </c>
      <c r="L39" s="294"/>
      <c r="M39" s="294"/>
      <c r="N39" s="294"/>
      <c r="O39" s="294"/>
      <c r="P39" s="294"/>
      <c r="Q39" s="294"/>
      <c r="R39" s="294"/>
      <c r="S39" s="294"/>
      <c r="T39" s="38"/>
      <c r="U39" s="294" t="str">
        <f>IF($U$22="Mass Based","Accumulator Mount 1",
IF($U$24="Front/Rear","Top Left Accumulator Mount",
IF($U$24="Top/Bottom","Front Left Accumulator Mount",
"Top Front Accumulator Mount")))</f>
        <v>Top Front Accumulator Mount</v>
      </c>
      <c r="V39" s="294"/>
      <c r="W39" s="294"/>
      <c r="X39" s="294"/>
      <c r="Y39" s="294"/>
      <c r="Z39" s="294"/>
      <c r="AA39" s="294"/>
      <c r="AB39" s="294"/>
      <c r="AC39" s="294"/>
      <c r="AD39" s="38"/>
      <c r="AE39" s="294" t="str">
        <f>IF($U$22="Mass Based","Accumulator Mount 2",
IF($U$24="Front/Rear","Top Right Accumulator Mount",
IF($U$24="Top/Bottom","Front Right Accumulator Mount",
"Top Rear Accumulator Mount")))</f>
        <v>Top Rear Accumulator Mount</v>
      </c>
      <c r="AF39" s="294"/>
      <c r="AG39" s="294"/>
      <c r="AH39" s="294"/>
      <c r="AI39" s="294"/>
      <c r="AJ39" s="294"/>
      <c r="AK39" s="294"/>
      <c r="AL39" s="294"/>
      <c r="AM39" s="294"/>
      <c r="AN39" s="38"/>
      <c r="AO39" s="294" t="str">
        <f>IF($U$22="Mass Based","Accumulator Mount 3",
IF($U$24="Front/Rear","Bottom Left Accumulator Mount",
IF($U$24="Top/Bottom","Rear Left Accumulator Mount",
"Bottom Front Accumulator Mount")))</f>
        <v>Bottom Front Accumulator Mount</v>
      </c>
      <c r="AP39" s="294"/>
      <c r="AQ39" s="294"/>
      <c r="AR39" s="294"/>
      <c r="AS39" s="294"/>
      <c r="AT39" s="294"/>
      <c r="AU39" s="294"/>
      <c r="AV39" s="294"/>
      <c r="AW39" s="294"/>
      <c r="AX39" s="38"/>
      <c r="AY39" s="294" t="str">
        <f>IF($U$22="Mass Based","Accumulator Mount 4",
IF($U$24="Front/Rear","Bottom Right Accumulator Mount",
IF($U$24="Top/Bottom","Rear Right Accumulator Mount",
"Bottom Rear Accumulator Mount")))</f>
        <v>Bottom Rear Accumulator Mount</v>
      </c>
      <c r="AZ39" s="294"/>
      <c r="BA39" s="294"/>
      <c r="BB39" s="294"/>
      <c r="BC39" s="294"/>
      <c r="BD39" s="294"/>
      <c r="BE39" s="294"/>
      <c r="BF39" s="294"/>
      <c r="BG39" s="294"/>
      <c r="BH39" s="38"/>
      <c r="BI39" s="294" t="s">
        <v>618</v>
      </c>
      <c r="BJ39" s="294"/>
      <c r="BK39" s="294"/>
      <c r="BL39" s="294"/>
      <c r="BM39" s="294"/>
      <c r="BN39" s="294"/>
      <c r="BO39" s="294"/>
      <c r="BP39" s="294"/>
      <c r="BQ39" s="294"/>
      <c r="BR39" s="41"/>
      <c r="BS39" s="294" t="str">
        <f>IF($U$22="Mass Based","Chassis Mount 1",
IF($U$25="Front/Rear","Top Left Chassis Mount",
IF($U$25="Top/Bottom","Front Left Chassis Mount",
"Top Front Chassis Mount")))</f>
        <v>Top Front Chassis Mount</v>
      </c>
      <c r="BT39" s="294"/>
      <c r="BU39" s="294"/>
      <c r="BV39" s="294"/>
      <c r="BW39" s="294"/>
      <c r="BX39" s="294"/>
      <c r="BY39" s="294"/>
      <c r="BZ39" s="294"/>
      <c r="CA39" s="294"/>
      <c r="CB39" s="38"/>
      <c r="CC39" s="294" t="str">
        <f>IF($U$22="Mass Based","Chassis Mount 2",
IF($U$25="Front/Rear","Top Right Chassis Mount",
IF($U$25="Top/Bottom","Front Right Chassis Mount",
"Top Rear Chassis Mount")))</f>
        <v>Top Rear Chassis Mount</v>
      </c>
      <c r="CD39" s="294"/>
      <c r="CE39" s="294"/>
      <c r="CF39" s="294"/>
      <c r="CG39" s="294"/>
      <c r="CH39" s="294"/>
      <c r="CI39" s="294"/>
      <c r="CJ39" s="294"/>
      <c r="CK39" s="294"/>
      <c r="CL39" s="38"/>
      <c r="CM39" s="294" t="str">
        <f>IF($U$22="Mass Based","Chassis Mount 3",
IF($U$25="Front/Rear","Bottom Left Chassis Mount",
IF($U$25="Top/Bottom","Rear Left Chassis Mount",
"Bottom Front Chassis Mount")))</f>
        <v>Bottom Front Chassis Mount</v>
      </c>
      <c r="CN39" s="294"/>
      <c r="CO39" s="294"/>
      <c r="CP39" s="294"/>
      <c r="CQ39" s="294"/>
      <c r="CR39" s="294"/>
      <c r="CS39" s="294"/>
      <c r="CT39" s="294"/>
      <c r="CU39" s="294"/>
      <c r="CV39" s="38"/>
      <c r="CW39" s="294" t="str">
        <f>IF($U$22="Mass Based","Chassis Mount 4",
IF($U$25="Front/Rear","Bottom Right Chassis Mount",
IF($U$25="Top/Bottom","Rear Right Chassis Mount",
"Bottom Rear Chassis Mount")))</f>
        <v>Bottom Rear Chassis Mount</v>
      </c>
      <c r="CX39" s="294"/>
      <c r="CY39" s="294"/>
      <c r="CZ39" s="294"/>
      <c r="DA39" s="294"/>
      <c r="DB39" s="294"/>
      <c r="DC39" s="294"/>
      <c r="DD39" s="294"/>
      <c r="DE39" s="294"/>
      <c r="DF39" s="38"/>
      <c r="DG39" s="294" t="s">
        <v>619</v>
      </c>
      <c r="DH39" s="294"/>
      <c r="DI39" s="294"/>
      <c r="DJ39" s="294"/>
      <c r="DK39" s="294"/>
      <c r="DL39" s="294"/>
      <c r="DM39" s="294"/>
      <c r="DN39" s="294"/>
      <c r="DO39" s="294"/>
      <c r="DP39" s="41"/>
    </row>
    <row r="40" spans="1:120" ht="15" customHeight="1" x14ac:dyDescent="0.2">
      <c r="A40" s="294"/>
      <c r="B40" s="294"/>
      <c r="C40" s="294"/>
      <c r="D40" s="294"/>
      <c r="E40" s="294"/>
      <c r="F40" s="294"/>
      <c r="G40" s="294"/>
      <c r="H40" s="294"/>
      <c r="I40" s="294"/>
      <c r="J40" s="38"/>
      <c r="K40" s="294"/>
      <c r="L40" s="294"/>
      <c r="M40" s="294"/>
      <c r="N40" s="294"/>
      <c r="O40" s="294"/>
      <c r="P40" s="294"/>
      <c r="Q40" s="294"/>
      <c r="R40" s="294"/>
      <c r="S40" s="294"/>
      <c r="T40" s="38"/>
      <c r="U40" s="294"/>
      <c r="V40" s="294"/>
      <c r="W40" s="294"/>
      <c r="X40" s="294"/>
      <c r="Y40" s="294"/>
      <c r="Z40" s="294"/>
      <c r="AA40" s="294"/>
      <c r="AB40" s="294"/>
      <c r="AC40" s="294"/>
      <c r="AD40" s="38"/>
      <c r="AE40" s="294"/>
      <c r="AF40" s="294"/>
      <c r="AG40" s="294"/>
      <c r="AH40" s="294"/>
      <c r="AI40" s="294"/>
      <c r="AJ40" s="294"/>
      <c r="AK40" s="294"/>
      <c r="AL40" s="294"/>
      <c r="AM40" s="294"/>
      <c r="AN40" s="38"/>
      <c r="AO40" s="294"/>
      <c r="AP40" s="294"/>
      <c r="AQ40" s="294"/>
      <c r="AR40" s="294"/>
      <c r="AS40" s="294"/>
      <c r="AT40" s="294"/>
      <c r="AU40" s="294"/>
      <c r="AV40" s="294"/>
      <c r="AW40" s="294"/>
      <c r="AX40" s="38"/>
      <c r="AY40" s="294"/>
      <c r="AZ40" s="294"/>
      <c r="BA40" s="294"/>
      <c r="BB40" s="294"/>
      <c r="BC40" s="294"/>
      <c r="BD40" s="294"/>
      <c r="BE40" s="294"/>
      <c r="BF40" s="294"/>
      <c r="BG40" s="294"/>
      <c r="BH40" s="38"/>
      <c r="BI40" s="294"/>
      <c r="BJ40" s="294"/>
      <c r="BK40" s="294"/>
      <c r="BL40" s="294"/>
      <c r="BM40" s="294"/>
      <c r="BN40" s="294"/>
      <c r="BO40" s="294"/>
      <c r="BP40" s="294"/>
      <c r="BQ40" s="294"/>
      <c r="BR40" s="41"/>
      <c r="BS40" s="294"/>
      <c r="BT40" s="294"/>
      <c r="BU40" s="294"/>
      <c r="BV40" s="294"/>
      <c r="BW40" s="294"/>
      <c r="BX40" s="294"/>
      <c r="BY40" s="294"/>
      <c r="BZ40" s="294"/>
      <c r="CA40" s="294"/>
      <c r="CB40" s="38"/>
      <c r="CC40" s="294"/>
      <c r="CD40" s="294"/>
      <c r="CE40" s="294"/>
      <c r="CF40" s="294"/>
      <c r="CG40" s="294"/>
      <c r="CH40" s="294"/>
      <c r="CI40" s="294"/>
      <c r="CJ40" s="294"/>
      <c r="CK40" s="294"/>
      <c r="CL40" s="38"/>
      <c r="CM40" s="294"/>
      <c r="CN40" s="294"/>
      <c r="CO40" s="294"/>
      <c r="CP40" s="294"/>
      <c r="CQ40" s="294"/>
      <c r="CR40" s="294"/>
      <c r="CS40" s="294"/>
      <c r="CT40" s="294"/>
      <c r="CU40" s="294"/>
      <c r="CV40" s="38"/>
      <c r="CW40" s="294"/>
      <c r="CX40" s="294"/>
      <c r="CY40" s="294"/>
      <c r="CZ40" s="294"/>
      <c r="DA40" s="294"/>
      <c r="DB40" s="294"/>
      <c r="DC40" s="294"/>
      <c r="DD40" s="294"/>
      <c r="DE40" s="294"/>
      <c r="DF40" s="38"/>
      <c r="DG40" s="294"/>
      <c r="DH40" s="294"/>
      <c r="DI40" s="294"/>
      <c r="DJ40" s="294"/>
      <c r="DK40" s="294"/>
      <c r="DL40" s="294"/>
      <c r="DM40" s="294"/>
      <c r="DN40" s="294"/>
      <c r="DO40" s="294"/>
      <c r="DP40" s="41"/>
    </row>
    <row r="41" spans="1:120" ht="15" customHeight="1" x14ac:dyDescent="0.2">
      <c r="A41" s="10"/>
      <c r="B41" s="10"/>
      <c r="C41" s="10"/>
      <c r="D41" s="10"/>
      <c r="E41" s="10"/>
      <c r="F41" s="10"/>
      <c r="G41" s="10"/>
      <c r="H41" s="10"/>
      <c r="I41" s="10"/>
      <c r="J41" s="38"/>
      <c r="K41" s="42"/>
      <c r="L41" s="42" t="s">
        <v>620</v>
      </c>
      <c r="M41" s="42"/>
      <c r="N41" s="42"/>
      <c r="O41" s="42"/>
      <c r="P41" s="42"/>
      <c r="Q41" s="42"/>
      <c r="R41" s="42"/>
      <c r="S41" s="42"/>
      <c r="T41" s="38"/>
      <c r="U41" s="10"/>
      <c r="V41" s="10"/>
      <c r="W41" s="10"/>
      <c r="X41" s="10"/>
      <c r="Y41" s="10"/>
      <c r="Z41" s="10"/>
      <c r="AA41" s="10"/>
      <c r="AB41" s="10"/>
      <c r="AC41" s="10"/>
      <c r="AD41" s="38"/>
      <c r="AE41" s="10"/>
      <c r="AF41" s="10"/>
      <c r="AG41" s="10"/>
      <c r="AH41" s="10"/>
      <c r="AI41" s="10"/>
      <c r="AJ41" s="10"/>
      <c r="AK41" s="10"/>
      <c r="AL41" s="10"/>
      <c r="AM41" s="10"/>
      <c r="AN41" s="38"/>
      <c r="AO41" s="294"/>
      <c r="AP41" s="294"/>
      <c r="AQ41" s="294"/>
      <c r="AR41" s="294"/>
      <c r="AS41" s="294"/>
      <c r="AT41" s="294"/>
      <c r="AU41" s="294"/>
      <c r="AV41" s="294"/>
      <c r="AW41" s="294"/>
      <c r="AX41" s="38"/>
      <c r="AY41" s="10"/>
      <c r="AZ41" s="10"/>
      <c r="BA41" s="10"/>
      <c r="BB41" s="10"/>
      <c r="BC41" s="10"/>
      <c r="BD41" s="10"/>
      <c r="BE41" s="10"/>
      <c r="BF41" s="10"/>
      <c r="BG41" s="10"/>
      <c r="BH41" s="38"/>
      <c r="BI41" s="42"/>
      <c r="BJ41" s="42"/>
      <c r="BK41" s="42"/>
      <c r="BL41" s="42"/>
      <c r="BM41" s="42"/>
      <c r="BN41" s="42"/>
      <c r="BO41" s="42"/>
      <c r="BP41" s="42"/>
      <c r="BQ41" s="42"/>
      <c r="BR41" s="41"/>
      <c r="BS41" s="10"/>
      <c r="BT41" s="10"/>
      <c r="BU41" s="10"/>
      <c r="BV41" s="10"/>
      <c r="BW41" s="10"/>
      <c r="BX41" s="10"/>
      <c r="BY41" s="10"/>
      <c r="BZ41" s="10"/>
      <c r="CA41" s="10"/>
      <c r="CB41" s="38"/>
      <c r="CC41" s="10"/>
      <c r="CD41" s="10"/>
      <c r="CE41" s="10"/>
      <c r="CF41" s="10"/>
      <c r="CG41" s="10"/>
      <c r="CH41" s="10"/>
      <c r="CI41" s="10"/>
      <c r="CJ41" s="10"/>
      <c r="CK41" s="10"/>
      <c r="CL41" s="38"/>
      <c r="CM41" s="294"/>
      <c r="CN41" s="294"/>
      <c r="CO41" s="294"/>
      <c r="CP41" s="294"/>
      <c r="CQ41" s="294"/>
      <c r="CR41" s="294"/>
      <c r="CS41" s="294"/>
      <c r="CT41" s="294"/>
      <c r="CU41" s="294"/>
      <c r="CV41" s="38"/>
      <c r="CW41" s="10"/>
      <c r="CX41" s="10"/>
      <c r="CY41" s="10"/>
      <c r="CZ41" s="10"/>
      <c r="DA41" s="10"/>
      <c r="DB41" s="10"/>
      <c r="DC41" s="10"/>
      <c r="DD41" s="10"/>
      <c r="DE41" s="10"/>
      <c r="DF41" s="38"/>
      <c r="DG41" s="42"/>
      <c r="DH41" s="42"/>
      <c r="DI41" s="42"/>
      <c r="DJ41" s="42"/>
      <c r="DK41" s="42"/>
      <c r="DL41" s="42"/>
      <c r="DM41" s="42"/>
      <c r="DN41" s="42"/>
      <c r="DO41" s="42"/>
      <c r="DP41" s="41"/>
    </row>
    <row r="42" spans="1:120" ht="15" customHeight="1" x14ac:dyDescent="0.2">
      <c r="A42" s="10"/>
      <c r="B42" s="10"/>
      <c r="C42" s="10"/>
      <c r="D42" s="10"/>
      <c r="E42" s="10"/>
      <c r="F42" s="10"/>
      <c r="G42" s="10"/>
      <c r="H42" s="10"/>
      <c r="I42" s="10"/>
      <c r="J42" s="38"/>
      <c r="K42" s="42"/>
      <c r="L42" s="42"/>
      <c r="M42" s="42"/>
      <c r="N42" s="42"/>
      <c r="O42" s="42"/>
      <c r="P42" s="42"/>
      <c r="Q42" s="42"/>
      <c r="R42" s="42"/>
      <c r="S42" s="42"/>
      <c r="T42" s="38"/>
      <c r="U42" s="10"/>
      <c r="V42" s="10"/>
      <c r="W42" s="10"/>
      <c r="X42" s="10"/>
      <c r="Y42" s="10"/>
      <c r="Z42" s="10"/>
      <c r="AA42" s="10"/>
      <c r="AB42" s="10"/>
      <c r="AC42" s="10"/>
      <c r="AD42" s="38"/>
      <c r="AE42" s="10"/>
      <c r="AF42" s="10"/>
      <c r="AG42" s="10"/>
      <c r="AH42" s="10"/>
      <c r="AI42" s="10"/>
      <c r="AJ42" s="10"/>
      <c r="AK42" s="10"/>
      <c r="AL42" s="10"/>
      <c r="AM42" s="10"/>
      <c r="AN42" s="38"/>
      <c r="AO42" s="294"/>
      <c r="AP42" s="294"/>
      <c r="AQ42" s="294"/>
      <c r="AR42" s="294"/>
      <c r="AS42" s="294"/>
      <c r="AT42" s="294"/>
      <c r="AU42" s="294"/>
      <c r="AV42" s="294"/>
      <c r="AW42" s="294"/>
      <c r="AX42" s="38"/>
      <c r="AY42" s="10"/>
      <c r="AZ42" s="10"/>
      <c r="BA42" s="10"/>
      <c r="BB42" s="10"/>
      <c r="BC42" s="10"/>
      <c r="BD42" s="10"/>
      <c r="BE42" s="10"/>
      <c r="BF42" s="10"/>
      <c r="BG42" s="10"/>
      <c r="BH42" s="38"/>
      <c r="BI42" s="42"/>
      <c r="BJ42" s="42"/>
      <c r="BK42" s="42"/>
      <c r="BL42" s="42"/>
      <c r="BM42" s="42"/>
      <c r="BN42" s="42"/>
      <c r="BO42" s="42"/>
      <c r="BP42" s="42"/>
      <c r="BQ42" s="42"/>
      <c r="BR42" s="41"/>
      <c r="BS42" s="10"/>
      <c r="BT42" s="10"/>
      <c r="BU42" s="10"/>
      <c r="BV42" s="10"/>
      <c r="BW42" s="10"/>
      <c r="BX42" s="10"/>
      <c r="BY42" s="10"/>
      <c r="BZ42" s="10"/>
      <c r="CA42" s="10"/>
      <c r="CB42" s="38"/>
      <c r="CC42" s="10"/>
      <c r="CD42" s="10"/>
      <c r="CE42" s="10"/>
      <c r="CF42" s="10"/>
      <c r="CG42" s="10"/>
      <c r="CH42" s="10"/>
      <c r="CI42" s="10"/>
      <c r="CJ42" s="10"/>
      <c r="CK42" s="10"/>
      <c r="CL42" s="38"/>
      <c r="CM42" s="294"/>
      <c r="CN42" s="294"/>
      <c r="CO42" s="294"/>
      <c r="CP42" s="294"/>
      <c r="CQ42" s="294"/>
      <c r="CR42" s="294"/>
      <c r="CS42" s="294"/>
      <c r="CT42" s="294"/>
      <c r="CU42" s="294"/>
      <c r="CV42" s="38"/>
      <c r="CW42" s="10"/>
      <c r="CX42" s="10"/>
      <c r="CY42" s="10"/>
      <c r="CZ42" s="10"/>
      <c r="DA42" s="10"/>
      <c r="DB42" s="10"/>
      <c r="DC42" s="10"/>
      <c r="DD42" s="10"/>
      <c r="DE42" s="10"/>
      <c r="DF42" s="38"/>
      <c r="DG42" s="42"/>
      <c r="DH42" s="42"/>
      <c r="DI42" s="42"/>
      <c r="DJ42" s="42"/>
      <c r="DK42" s="42"/>
      <c r="DL42" s="42"/>
      <c r="DM42" s="42"/>
      <c r="DN42" s="42"/>
      <c r="DO42" s="42"/>
      <c r="DP42" s="41"/>
    </row>
    <row r="43" spans="1:120" ht="15" customHeight="1" x14ac:dyDescent="0.2">
      <c r="A43" s="42"/>
      <c r="B43" s="42"/>
      <c r="C43" s="42"/>
      <c r="D43" s="42"/>
      <c r="E43" s="42"/>
      <c r="F43" s="42"/>
      <c r="G43" s="42"/>
      <c r="H43" s="42"/>
      <c r="I43" s="42"/>
      <c r="J43" s="38"/>
      <c r="K43" s="42"/>
      <c r="L43" s="42"/>
      <c r="M43" s="42"/>
      <c r="N43" s="42"/>
      <c r="O43" s="42"/>
      <c r="P43" s="42"/>
      <c r="Q43" s="42"/>
      <c r="R43" s="42"/>
      <c r="S43" s="42"/>
      <c r="T43" s="38"/>
      <c r="U43" s="10"/>
      <c r="V43" s="10"/>
      <c r="W43" s="10"/>
      <c r="X43" s="10"/>
      <c r="Y43" s="10"/>
      <c r="Z43" s="10"/>
      <c r="AA43" s="10"/>
      <c r="AB43" s="10"/>
      <c r="AC43" s="10"/>
      <c r="AD43" s="38"/>
      <c r="AE43" s="10"/>
      <c r="AF43" s="10"/>
      <c r="AG43" s="10"/>
      <c r="AH43" s="10"/>
      <c r="AI43" s="10"/>
      <c r="AJ43" s="10"/>
      <c r="AK43" s="10"/>
      <c r="AL43" s="10"/>
      <c r="AM43" s="10"/>
      <c r="AN43" s="38"/>
      <c r="AO43" s="10"/>
      <c r="AP43" s="10"/>
      <c r="AQ43" s="10"/>
      <c r="AR43" s="10"/>
      <c r="AS43" s="10"/>
      <c r="AT43" s="10"/>
      <c r="AU43" s="10"/>
      <c r="AV43" s="10"/>
      <c r="AW43" s="10"/>
      <c r="AX43" s="38"/>
      <c r="AY43" s="42"/>
      <c r="AZ43" s="42"/>
      <c r="BA43" s="42"/>
      <c r="BB43" s="42"/>
      <c r="BC43" s="42"/>
      <c r="BD43" s="42"/>
      <c r="BE43" s="42"/>
      <c r="BF43" s="42"/>
      <c r="BG43" s="42"/>
      <c r="BH43" s="38"/>
      <c r="BI43" s="42"/>
      <c r="BJ43" s="42"/>
      <c r="BK43" s="42"/>
      <c r="BL43" s="42"/>
      <c r="BM43" s="42"/>
      <c r="BN43" s="42"/>
      <c r="BO43" s="42"/>
      <c r="BP43" s="42"/>
      <c r="BQ43" s="42"/>
      <c r="BR43" s="41"/>
      <c r="BS43" s="10"/>
      <c r="BT43" s="10"/>
      <c r="BU43" s="10"/>
      <c r="BV43" s="10"/>
      <c r="BW43" s="10"/>
      <c r="BX43" s="10"/>
      <c r="BY43" s="10"/>
      <c r="BZ43" s="10"/>
      <c r="CA43" s="10"/>
      <c r="CB43" s="38"/>
      <c r="CC43" s="10"/>
      <c r="CD43" s="10"/>
      <c r="CE43" s="10"/>
      <c r="CF43" s="10"/>
      <c r="CG43" s="10"/>
      <c r="CH43" s="10"/>
      <c r="CI43" s="10"/>
      <c r="CJ43" s="10"/>
      <c r="CK43" s="10"/>
      <c r="CL43" s="38"/>
      <c r="CM43" s="10"/>
      <c r="CN43" s="10"/>
      <c r="CO43" s="10"/>
      <c r="CP43" s="10"/>
      <c r="CQ43" s="10"/>
      <c r="CR43" s="10"/>
      <c r="CS43" s="10"/>
      <c r="CT43" s="10"/>
      <c r="CU43" s="10"/>
      <c r="CV43" s="38"/>
      <c r="CW43" s="42"/>
      <c r="CX43" s="42"/>
      <c r="CY43" s="42"/>
      <c r="CZ43" s="42"/>
      <c r="DA43" s="42"/>
      <c r="DB43" s="42"/>
      <c r="DC43" s="42"/>
      <c r="DD43" s="42"/>
      <c r="DE43" s="42"/>
      <c r="DF43" s="38"/>
      <c r="DG43" s="42"/>
      <c r="DH43" s="42"/>
      <c r="DI43" s="42"/>
      <c r="DJ43" s="42"/>
      <c r="DK43" s="42"/>
      <c r="DL43" s="42"/>
      <c r="DM43" s="42"/>
      <c r="DN43" s="42"/>
      <c r="DO43" s="42"/>
      <c r="DP43" s="41"/>
    </row>
    <row r="44" spans="1:120" ht="15" customHeight="1" x14ac:dyDescent="0.2">
      <c r="A44" s="42"/>
      <c r="B44" s="42" t="s">
        <v>621</v>
      </c>
      <c r="C44" s="42"/>
      <c r="D44" s="42"/>
      <c r="E44" s="42"/>
      <c r="F44" s="42"/>
      <c r="G44" s="42"/>
      <c r="H44" s="42"/>
      <c r="I44" s="42"/>
      <c r="J44" s="38"/>
      <c r="K44" s="42"/>
      <c r="L44" s="42"/>
      <c r="M44" s="42"/>
      <c r="N44" s="42"/>
      <c r="O44" s="42"/>
      <c r="P44" s="42"/>
      <c r="Q44" s="42"/>
      <c r="R44" s="42"/>
      <c r="S44" s="42"/>
      <c r="T44" s="38"/>
      <c r="U44" s="10"/>
      <c r="V44" s="10"/>
      <c r="W44" s="10"/>
      <c r="X44" s="10"/>
      <c r="Y44" s="10"/>
      <c r="Z44" s="10"/>
      <c r="AA44" s="10"/>
      <c r="AB44" s="10"/>
      <c r="AC44" s="10"/>
      <c r="AD44" s="38"/>
      <c r="AE44" s="10"/>
      <c r="AF44" s="10"/>
      <c r="AG44" s="10"/>
      <c r="AH44" s="10"/>
      <c r="AI44" s="10"/>
      <c r="AJ44" s="10"/>
      <c r="AK44" s="10"/>
      <c r="AL44" s="10"/>
      <c r="AM44" s="10"/>
      <c r="AN44" s="38"/>
      <c r="AO44" s="10"/>
      <c r="AP44" s="10"/>
      <c r="AQ44" s="10"/>
      <c r="AR44" s="10"/>
      <c r="AS44" s="10"/>
      <c r="AT44" s="10"/>
      <c r="AU44" s="10"/>
      <c r="AV44" s="10"/>
      <c r="AW44" s="10"/>
      <c r="AX44" s="38"/>
      <c r="AY44" s="42"/>
      <c r="AZ44" s="42"/>
      <c r="BA44" s="42"/>
      <c r="BB44" s="42"/>
      <c r="BC44" s="42"/>
      <c r="BD44" s="42"/>
      <c r="BE44" s="42"/>
      <c r="BF44" s="42"/>
      <c r="BG44" s="42"/>
      <c r="BH44" s="38"/>
      <c r="BI44" s="42"/>
      <c r="BJ44" s="42"/>
      <c r="BK44" s="42"/>
      <c r="BL44" s="42"/>
      <c r="BM44" s="42"/>
      <c r="BN44" s="42"/>
      <c r="BO44" s="42"/>
      <c r="BP44" s="42"/>
      <c r="BQ44" s="42"/>
      <c r="BR44" s="41"/>
      <c r="BS44" s="10"/>
      <c r="BT44" s="10"/>
      <c r="BU44" s="10"/>
      <c r="BV44" s="10"/>
      <c r="BW44" s="10"/>
      <c r="BX44" s="10"/>
      <c r="BY44" s="10"/>
      <c r="BZ44" s="10"/>
      <c r="CA44" s="10"/>
      <c r="CB44" s="38"/>
      <c r="CC44" s="10"/>
      <c r="CD44" s="10"/>
      <c r="CE44" s="10"/>
      <c r="CF44" s="10"/>
      <c r="CG44" s="10"/>
      <c r="CH44" s="10"/>
      <c r="CI44" s="10"/>
      <c r="CJ44" s="10"/>
      <c r="CK44" s="10"/>
      <c r="CL44" s="38"/>
      <c r="CM44" s="10"/>
      <c r="CN44" s="10"/>
      <c r="CO44" s="10"/>
      <c r="CP44" s="10"/>
      <c r="CQ44" s="10"/>
      <c r="CR44" s="10"/>
      <c r="CS44" s="10"/>
      <c r="CT44" s="10"/>
      <c r="CU44" s="10"/>
      <c r="CV44" s="38"/>
      <c r="CW44" s="42"/>
      <c r="CX44" s="42"/>
      <c r="CY44" s="42"/>
      <c r="CZ44" s="42"/>
      <c r="DA44" s="42"/>
      <c r="DB44" s="42"/>
      <c r="DC44" s="42"/>
      <c r="DD44" s="42"/>
      <c r="DE44" s="42"/>
      <c r="DF44" s="38"/>
      <c r="DG44" s="42"/>
      <c r="DH44" s="42"/>
      <c r="DI44" s="42"/>
      <c r="DJ44" s="42"/>
      <c r="DK44" s="42"/>
      <c r="DL44" s="42"/>
      <c r="DM44" s="42"/>
      <c r="DN44" s="42"/>
      <c r="DO44" s="42"/>
      <c r="DP44" s="41"/>
    </row>
    <row r="45" spans="1:120" ht="15" customHeight="1" x14ac:dyDescent="0.2">
      <c r="A45" s="42"/>
      <c r="B45" s="42" t="s">
        <v>622</v>
      </c>
      <c r="C45" s="42"/>
      <c r="D45" s="42"/>
      <c r="E45" s="42"/>
      <c r="F45" s="42"/>
      <c r="G45" s="42"/>
      <c r="H45" s="42"/>
      <c r="I45" s="42"/>
      <c r="J45" s="38"/>
      <c r="K45" s="42"/>
      <c r="L45" s="42" t="s">
        <v>623</v>
      </c>
      <c r="M45" s="42"/>
      <c r="N45" s="42"/>
      <c r="O45" s="42"/>
      <c r="P45" s="42"/>
      <c r="Q45" s="42"/>
      <c r="R45" s="42"/>
      <c r="S45" s="42"/>
      <c r="T45" s="38"/>
      <c r="U45" s="10"/>
      <c r="V45" s="10"/>
      <c r="W45" s="10"/>
      <c r="X45" s="10"/>
      <c r="Y45" s="10"/>
      <c r="Z45" s="10"/>
      <c r="AA45" s="10"/>
      <c r="AB45" s="10"/>
      <c r="AC45" s="10"/>
      <c r="AD45" s="38"/>
      <c r="AE45" s="10"/>
      <c r="AF45" s="10"/>
      <c r="AG45" s="10"/>
      <c r="AH45" s="10"/>
      <c r="AI45" s="10"/>
      <c r="AJ45" s="10"/>
      <c r="AK45" s="10"/>
      <c r="AL45" s="10"/>
      <c r="AM45" s="10"/>
      <c r="AN45" s="38"/>
      <c r="AO45" s="10"/>
      <c r="AP45" s="10"/>
      <c r="AQ45" s="10"/>
      <c r="AR45" s="10"/>
      <c r="AS45" s="10"/>
      <c r="AT45" s="10"/>
      <c r="AU45" s="10"/>
      <c r="AV45" s="10"/>
      <c r="AW45" s="10"/>
      <c r="AX45" s="38"/>
      <c r="AY45" s="42"/>
      <c r="AZ45" s="42"/>
      <c r="BA45" s="42"/>
      <c r="BB45" s="42"/>
      <c r="BC45" s="42"/>
      <c r="BD45" s="42"/>
      <c r="BE45" s="42"/>
      <c r="BF45" s="42"/>
      <c r="BG45" s="42"/>
      <c r="BH45" s="38"/>
      <c r="BI45" s="42"/>
      <c r="BJ45" s="42"/>
      <c r="BK45" s="42"/>
      <c r="BL45" s="42"/>
      <c r="BM45" s="42"/>
      <c r="BN45" s="42"/>
      <c r="BO45" s="42"/>
      <c r="BP45" s="42"/>
      <c r="BQ45" s="42"/>
      <c r="BR45" s="41"/>
      <c r="BS45" s="10"/>
      <c r="BT45" s="10"/>
      <c r="BU45" s="10"/>
      <c r="BV45" s="10"/>
      <c r="BW45" s="10"/>
      <c r="BX45" s="10"/>
      <c r="BY45" s="10"/>
      <c r="BZ45" s="10"/>
      <c r="CA45" s="10"/>
      <c r="CB45" s="38"/>
      <c r="CC45" s="10"/>
      <c r="CD45" s="10"/>
      <c r="CE45" s="10"/>
      <c r="CF45" s="10"/>
      <c r="CG45" s="10"/>
      <c r="CH45" s="10"/>
      <c r="CI45" s="10"/>
      <c r="CJ45" s="10"/>
      <c r="CK45" s="10"/>
      <c r="CL45" s="38"/>
      <c r="CM45" s="10"/>
      <c r="CN45" s="10"/>
      <c r="CO45" s="10"/>
      <c r="CP45" s="10"/>
      <c r="CQ45" s="10"/>
      <c r="CR45" s="10"/>
      <c r="CS45" s="10"/>
      <c r="CT45" s="10"/>
      <c r="CU45" s="10"/>
      <c r="CV45" s="38"/>
      <c r="CW45" s="42"/>
      <c r="CX45" s="42"/>
      <c r="CY45" s="42"/>
      <c r="CZ45" s="42"/>
      <c r="DA45" s="42"/>
      <c r="DB45" s="42"/>
      <c r="DC45" s="42"/>
      <c r="DD45" s="42"/>
      <c r="DE45" s="42"/>
      <c r="DF45" s="38"/>
      <c r="DG45" s="42"/>
      <c r="DH45" s="42"/>
      <c r="DI45" s="42"/>
      <c r="DJ45" s="42"/>
      <c r="DK45" s="42"/>
      <c r="DL45" s="42"/>
      <c r="DM45" s="42"/>
      <c r="DN45" s="42"/>
      <c r="DO45" s="42"/>
      <c r="DP45" s="41"/>
    </row>
    <row r="46" spans="1:120" ht="15" customHeight="1" x14ac:dyDescent="0.2">
      <c r="A46" s="42"/>
      <c r="B46" s="42" t="s">
        <v>624</v>
      </c>
      <c r="C46" s="42"/>
      <c r="D46" s="42"/>
      <c r="E46" s="42"/>
      <c r="F46" s="42"/>
      <c r="G46" s="42"/>
      <c r="H46" s="42"/>
      <c r="I46" s="42"/>
      <c r="J46" s="38"/>
      <c r="K46" s="42"/>
      <c r="L46" s="42" t="s">
        <v>625</v>
      </c>
      <c r="M46" s="42"/>
      <c r="N46" s="42"/>
      <c r="O46" s="42"/>
      <c r="P46" s="42"/>
      <c r="Q46" s="42"/>
      <c r="R46" s="42"/>
      <c r="S46" s="42"/>
      <c r="T46" s="38"/>
      <c r="U46" s="10"/>
      <c r="V46" s="10"/>
      <c r="W46" s="10"/>
      <c r="X46" s="10"/>
      <c r="Y46" s="10"/>
      <c r="Z46" s="10"/>
      <c r="AA46" s="10"/>
      <c r="AB46" s="10"/>
      <c r="AC46" s="10"/>
      <c r="AD46" s="38"/>
      <c r="AE46" s="10"/>
      <c r="AF46" s="10"/>
      <c r="AG46" s="10"/>
      <c r="AH46" s="10"/>
      <c r="AI46" s="10"/>
      <c r="AJ46" s="10"/>
      <c r="AK46" s="10"/>
      <c r="AL46" s="10"/>
      <c r="AM46" s="10"/>
      <c r="AN46" s="38"/>
      <c r="AO46" s="10"/>
      <c r="AP46" s="10"/>
      <c r="AQ46" s="10"/>
      <c r="AR46" s="10"/>
      <c r="AS46" s="10"/>
      <c r="AT46" s="10"/>
      <c r="AU46" s="10"/>
      <c r="AV46" s="10"/>
      <c r="AW46" s="10"/>
      <c r="AX46" s="38"/>
      <c r="AY46" s="42"/>
      <c r="AZ46" s="42"/>
      <c r="BA46" s="42"/>
      <c r="BB46" s="42"/>
      <c r="BC46" s="42"/>
      <c r="BD46" s="42"/>
      <c r="BE46" s="42"/>
      <c r="BF46" s="42"/>
      <c r="BG46" s="42"/>
      <c r="BH46" s="38"/>
      <c r="BI46" s="42"/>
      <c r="BJ46" s="42"/>
      <c r="BK46" s="42"/>
      <c r="BL46" s="42"/>
      <c r="BM46" s="42"/>
      <c r="BN46" s="42"/>
      <c r="BO46" s="42"/>
      <c r="BP46" s="42"/>
      <c r="BQ46" s="42"/>
      <c r="BR46" s="41"/>
      <c r="BS46" s="10"/>
      <c r="BT46" s="10"/>
      <c r="BU46" s="10"/>
      <c r="BV46" s="10"/>
      <c r="BW46" s="10"/>
      <c r="BX46" s="10"/>
      <c r="BY46" s="10"/>
      <c r="BZ46" s="10"/>
      <c r="CA46" s="10"/>
      <c r="CB46" s="38"/>
      <c r="CC46" s="10"/>
      <c r="CD46" s="10"/>
      <c r="CE46" s="10"/>
      <c r="CF46" s="10"/>
      <c r="CG46" s="10"/>
      <c r="CH46" s="10"/>
      <c r="CI46" s="10"/>
      <c r="CJ46" s="10"/>
      <c r="CK46" s="10"/>
      <c r="CL46" s="38"/>
      <c r="CM46" s="10"/>
      <c r="CN46" s="10"/>
      <c r="CO46" s="10"/>
      <c r="CP46" s="10"/>
      <c r="CQ46" s="10"/>
      <c r="CR46" s="10"/>
      <c r="CS46" s="10"/>
      <c r="CT46" s="10"/>
      <c r="CU46" s="10"/>
      <c r="CV46" s="38"/>
      <c r="CW46" s="42"/>
      <c r="CX46" s="42"/>
      <c r="CY46" s="42"/>
      <c r="CZ46" s="42"/>
      <c r="DA46" s="42"/>
      <c r="DB46" s="42"/>
      <c r="DC46" s="42"/>
      <c r="DD46" s="42"/>
      <c r="DE46" s="42"/>
      <c r="DF46" s="38"/>
      <c r="DG46" s="42"/>
      <c r="DH46" s="42"/>
      <c r="DI46" s="42"/>
      <c r="DJ46" s="42"/>
      <c r="DK46" s="42"/>
      <c r="DL46" s="42"/>
      <c r="DM46" s="42"/>
      <c r="DN46" s="42"/>
      <c r="DO46" s="42"/>
      <c r="DP46" s="41"/>
    </row>
    <row r="47" spans="1:120" ht="15" customHeight="1" x14ac:dyDescent="0.2">
      <c r="A47" s="42"/>
      <c r="B47" s="42" t="s">
        <v>620</v>
      </c>
      <c r="C47" s="42"/>
      <c r="D47" s="42"/>
      <c r="E47" s="42"/>
      <c r="F47" s="42"/>
      <c r="G47" s="42"/>
      <c r="H47" s="42"/>
      <c r="I47" s="42"/>
      <c r="J47" s="38"/>
      <c r="K47" s="42"/>
      <c r="L47" s="352" t="s">
        <v>626</v>
      </c>
      <c r="M47" s="352"/>
      <c r="N47" s="352"/>
      <c r="O47" s="352"/>
      <c r="P47" s="352"/>
      <c r="Q47" s="352"/>
      <c r="R47" s="352"/>
      <c r="S47" s="42"/>
      <c r="T47" s="38"/>
      <c r="U47" s="10"/>
      <c r="V47" s="10"/>
      <c r="W47" s="10"/>
      <c r="X47" s="10"/>
      <c r="Y47" s="10"/>
      <c r="Z47" s="10"/>
      <c r="AA47" s="10"/>
      <c r="AB47" s="10"/>
      <c r="AC47" s="10"/>
      <c r="AD47" s="38"/>
      <c r="AE47" s="10"/>
      <c r="AF47" s="10"/>
      <c r="AG47" s="10"/>
      <c r="AH47" s="10"/>
      <c r="AI47" s="10"/>
      <c r="AJ47" s="10"/>
      <c r="AK47" s="10"/>
      <c r="AL47" s="10"/>
      <c r="AM47" s="10"/>
      <c r="AN47" s="38"/>
      <c r="AO47" s="10"/>
      <c r="AP47" s="10"/>
      <c r="AQ47" s="10"/>
      <c r="AR47" s="10"/>
      <c r="AS47" s="10"/>
      <c r="AT47" s="10"/>
      <c r="AU47" s="10"/>
      <c r="AV47" s="10"/>
      <c r="AW47" s="10"/>
      <c r="AX47" s="38"/>
      <c r="AY47" s="42"/>
      <c r="AZ47" s="42"/>
      <c r="BA47" s="42"/>
      <c r="BB47" s="42"/>
      <c r="BC47" s="42"/>
      <c r="BD47" s="42"/>
      <c r="BE47" s="42"/>
      <c r="BF47" s="42"/>
      <c r="BG47" s="42"/>
      <c r="BH47" s="38"/>
      <c r="BI47" s="42"/>
      <c r="BJ47" s="352"/>
      <c r="BK47" s="352"/>
      <c r="BL47" s="352"/>
      <c r="BM47" s="352"/>
      <c r="BN47" s="352"/>
      <c r="BO47" s="352"/>
      <c r="BP47" s="352"/>
      <c r="BQ47" s="42"/>
      <c r="BR47" s="41"/>
      <c r="BS47" s="10"/>
      <c r="BT47" s="10"/>
      <c r="BU47" s="10"/>
      <c r="BV47" s="10"/>
      <c r="BW47" s="10"/>
      <c r="BX47" s="10"/>
      <c r="BY47" s="10"/>
      <c r="BZ47" s="10"/>
      <c r="CA47" s="10"/>
      <c r="CB47" s="38"/>
      <c r="CC47" s="10"/>
      <c r="CD47" s="10"/>
      <c r="CE47" s="10"/>
      <c r="CF47" s="10"/>
      <c r="CG47" s="10"/>
      <c r="CH47" s="10"/>
      <c r="CI47" s="10"/>
      <c r="CJ47" s="10"/>
      <c r="CK47" s="10"/>
      <c r="CL47" s="38"/>
      <c r="CM47" s="10"/>
      <c r="CN47" s="10"/>
      <c r="CO47" s="10"/>
      <c r="CP47" s="10"/>
      <c r="CQ47" s="10"/>
      <c r="CR47" s="10"/>
      <c r="CS47" s="10"/>
      <c r="CT47" s="10"/>
      <c r="CU47" s="10"/>
      <c r="CV47" s="38"/>
      <c r="CW47" s="42"/>
      <c r="CX47" s="42"/>
      <c r="CY47" s="42"/>
      <c r="CZ47" s="42"/>
      <c r="DA47" s="42"/>
      <c r="DB47" s="42"/>
      <c r="DC47" s="42"/>
      <c r="DD47" s="42"/>
      <c r="DE47" s="42"/>
      <c r="DF47" s="38"/>
      <c r="DG47" s="42"/>
      <c r="DH47" s="352"/>
      <c r="DI47" s="352"/>
      <c r="DJ47" s="352"/>
      <c r="DK47" s="352"/>
      <c r="DL47" s="352"/>
      <c r="DM47" s="352"/>
      <c r="DN47" s="352"/>
      <c r="DO47" s="42"/>
      <c r="DP47" s="41"/>
    </row>
    <row r="48" spans="1:120" ht="15" customHeight="1" x14ac:dyDescent="0.2">
      <c r="A48" s="42"/>
      <c r="B48" s="42"/>
      <c r="C48" s="42"/>
      <c r="D48" s="42"/>
      <c r="E48" s="42"/>
      <c r="F48" s="42"/>
      <c r="G48" s="42"/>
      <c r="H48" s="42"/>
      <c r="I48" s="42"/>
      <c r="J48" s="41"/>
      <c r="K48" s="42"/>
      <c r="L48" s="352"/>
      <c r="M48" s="352"/>
      <c r="N48" s="352"/>
      <c r="O48" s="352"/>
      <c r="P48" s="352"/>
      <c r="Q48" s="352"/>
      <c r="R48" s="352"/>
      <c r="S48" s="42"/>
      <c r="T48" s="41"/>
      <c r="U48" s="42"/>
      <c r="V48" s="42"/>
      <c r="W48" s="42"/>
      <c r="X48" s="42"/>
      <c r="Y48" s="42"/>
      <c r="Z48" s="42"/>
      <c r="AA48" s="42"/>
      <c r="AB48" s="42"/>
      <c r="AC48" s="42"/>
      <c r="AD48" s="41"/>
      <c r="AE48" s="42"/>
      <c r="AF48" s="42"/>
      <c r="AG48" s="42"/>
      <c r="AH48" s="42"/>
      <c r="AI48" s="42"/>
      <c r="AJ48" s="42"/>
      <c r="AK48" s="42"/>
      <c r="AL48" s="42"/>
      <c r="AM48" s="42"/>
      <c r="AN48" s="41"/>
      <c r="AO48" s="42"/>
      <c r="AP48" s="42"/>
      <c r="AQ48" s="42"/>
      <c r="AR48" s="42"/>
      <c r="AS48" s="42"/>
      <c r="AT48" s="42"/>
      <c r="AU48" s="42"/>
      <c r="AV48" s="42"/>
      <c r="AW48" s="42"/>
      <c r="AX48" s="41"/>
      <c r="AY48" s="42"/>
      <c r="AZ48" s="42"/>
      <c r="BA48" s="42"/>
      <c r="BB48" s="42"/>
      <c r="BC48" s="42"/>
      <c r="BD48" s="42"/>
      <c r="BE48" s="42"/>
      <c r="BF48" s="42"/>
      <c r="BG48" s="42"/>
      <c r="BH48" s="41"/>
      <c r="BI48" s="42"/>
      <c r="BJ48" s="352"/>
      <c r="BK48" s="352"/>
      <c r="BL48" s="352"/>
      <c r="BM48" s="352"/>
      <c r="BN48" s="352"/>
      <c r="BO48" s="352"/>
      <c r="BP48" s="352"/>
      <c r="BQ48" s="42"/>
      <c r="BR48" s="41"/>
      <c r="BS48" s="42"/>
      <c r="BT48" s="42"/>
      <c r="BU48" s="42"/>
      <c r="BV48" s="42"/>
      <c r="BW48" s="42"/>
      <c r="BX48" s="42"/>
      <c r="BY48" s="42"/>
      <c r="BZ48" s="42"/>
      <c r="CA48" s="42"/>
      <c r="CB48" s="41"/>
      <c r="CC48" s="42"/>
      <c r="CD48" s="42"/>
      <c r="CE48" s="42"/>
      <c r="CF48" s="42"/>
      <c r="CG48" s="42"/>
      <c r="CH48" s="42"/>
      <c r="CI48" s="42"/>
      <c r="CJ48" s="42"/>
      <c r="CK48" s="42"/>
      <c r="CL48" s="41"/>
      <c r="CM48" s="42"/>
      <c r="CN48" s="42"/>
      <c r="CO48" s="42"/>
      <c r="CP48" s="42"/>
      <c r="CQ48" s="42"/>
      <c r="CR48" s="42"/>
      <c r="CS48" s="42"/>
      <c r="CT48" s="42"/>
      <c r="CU48" s="42"/>
      <c r="CV48" s="41"/>
      <c r="CW48" s="42"/>
      <c r="CX48" s="42"/>
      <c r="CY48" s="42"/>
      <c r="CZ48" s="42"/>
      <c r="DA48" s="42"/>
      <c r="DB48" s="42"/>
      <c r="DC48" s="42"/>
      <c r="DD48" s="42"/>
      <c r="DE48" s="42"/>
      <c r="DF48" s="41"/>
      <c r="DG48" s="42"/>
      <c r="DH48" s="352"/>
      <c r="DI48" s="352"/>
      <c r="DJ48" s="352"/>
      <c r="DK48" s="352"/>
      <c r="DL48" s="352"/>
      <c r="DM48" s="352"/>
      <c r="DN48" s="352"/>
      <c r="DO48" s="42"/>
      <c r="DP48" s="41"/>
    </row>
    <row r="49" spans="1:129" ht="15" customHeight="1" x14ac:dyDescent="0.2">
      <c r="A49" s="42"/>
      <c r="B49" s="42"/>
      <c r="C49" s="42"/>
      <c r="D49" s="42"/>
      <c r="E49" s="42"/>
      <c r="F49" s="42"/>
      <c r="G49" s="42"/>
      <c r="H49" s="42"/>
      <c r="I49" s="42"/>
      <c r="J49" s="41"/>
      <c r="K49" s="42"/>
      <c r="L49" s="352" t="s">
        <v>627</v>
      </c>
      <c r="M49" s="352"/>
      <c r="N49" s="352"/>
      <c r="O49" s="352"/>
      <c r="P49" s="352"/>
      <c r="Q49" s="352"/>
      <c r="R49" s="352"/>
      <c r="S49" s="42"/>
      <c r="T49" s="41"/>
      <c r="U49" s="42"/>
      <c r="V49" s="42"/>
      <c r="W49" s="42"/>
      <c r="X49" s="42"/>
      <c r="Y49" s="42"/>
      <c r="Z49" s="42"/>
      <c r="AA49" s="42"/>
      <c r="AB49" s="42"/>
      <c r="AC49" s="42"/>
      <c r="AD49" s="41"/>
      <c r="AE49" s="42"/>
      <c r="AF49" s="42"/>
      <c r="AG49" s="42"/>
      <c r="AH49" s="42"/>
      <c r="AI49" s="42"/>
      <c r="AJ49" s="42"/>
      <c r="AK49" s="42"/>
      <c r="AL49" s="42"/>
      <c r="AM49" s="42"/>
      <c r="AN49" s="41"/>
      <c r="AO49" s="42"/>
      <c r="AP49" s="42"/>
      <c r="AQ49" s="42"/>
      <c r="AR49" s="42"/>
      <c r="AS49" s="42"/>
      <c r="AT49" s="42"/>
      <c r="AU49" s="42"/>
      <c r="AV49" s="42"/>
      <c r="AW49" s="42"/>
      <c r="AX49" s="41"/>
      <c r="AY49" s="42"/>
      <c r="AZ49" s="42"/>
      <c r="BA49" s="42"/>
      <c r="BB49" s="42"/>
      <c r="BC49" s="42"/>
      <c r="BD49" s="42"/>
      <c r="BE49" s="42"/>
      <c r="BF49" s="42"/>
      <c r="BG49" s="42"/>
      <c r="BH49" s="41"/>
      <c r="BI49" s="42"/>
      <c r="BJ49" s="352"/>
      <c r="BK49" s="352"/>
      <c r="BL49" s="352"/>
      <c r="BM49" s="352"/>
      <c r="BN49" s="352"/>
      <c r="BO49" s="352"/>
      <c r="BP49" s="352"/>
      <c r="BQ49" s="42"/>
      <c r="BR49" s="41"/>
      <c r="BS49" s="42"/>
      <c r="BT49" s="42"/>
      <c r="BU49" s="42"/>
      <c r="BV49" s="42"/>
      <c r="BW49" s="42"/>
      <c r="BX49" s="42"/>
      <c r="BY49" s="42"/>
      <c r="BZ49" s="42"/>
      <c r="CA49" s="42"/>
      <c r="CB49" s="41"/>
      <c r="CC49" s="42"/>
      <c r="CD49" s="42"/>
      <c r="CE49" s="42"/>
      <c r="CF49" s="42"/>
      <c r="CG49" s="42"/>
      <c r="CH49" s="42"/>
      <c r="CI49" s="42"/>
      <c r="CJ49" s="42"/>
      <c r="CK49" s="42"/>
      <c r="CL49" s="41"/>
      <c r="CM49" s="42"/>
      <c r="CN49" s="42"/>
      <c r="CO49" s="42"/>
      <c r="CP49" s="42"/>
      <c r="CQ49" s="42"/>
      <c r="CR49" s="42"/>
      <c r="CS49" s="42"/>
      <c r="CT49" s="42"/>
      <c r="CU49" s="42"/>
      <c r="CV49" s="41"/>
      <c r="CW49" s="42"/>
      <c r="CX49" s="42"/>
      <c r="CY49" s="42"/>
      <c r="CZ49" s="42"/>
      <c r="DA49" s="42"/>
      <c r="DB49" s="42"/>
      <c r="DC49" s="42"/>
      <c r="DD49" s="42"/>
      <c r="DE49" s="42"/>
      <c r="DF49" s="41"/>
      <c r="DG49" s="42"/>
      <c r="DH49" s="352"/>
      <c r="DI49" s="352"/>
      <c r="DJ49" s="352"/>
      <c r="DK49" s="352"/>
      <c r="DL49" s="352"/>
      <c r="DM49" s="352"/>
      <c r="DN49" s="352"/>
      <c r="DO49" s="42"/>
      <c r="DP49" s="41"/>
    </row>
    <row r="50" spans="1:129" ht="15" customHeight="1" x14ac:dyDescent="0.2">
      <c r="A50" s="42"/>
      <c r="B50" s="42"/>
      <c r="C50" s="42"/>
      <c r="D50" s="42"/>
      <c r="E50" s="42"/>
      <c r="F50" s="42"/>
      <c r="G50" s="42"/>
      <c r="H50" s="42"/>
      <c r="I50" s="42"/>
      <c r="J50" s="45"/>
      <c r="K50" s="42"/>
      <c r="L50" s="352"/>
      <c r="M50" s="352"/>
      <c r="N50" s="352"/>
      <c r="O50" s="352"/>
      <c r="P50" s="352"/>
      <c r="Q50" s="352"/>
      <c r="R50" s="352"/>
      <c r="S50" s="42"/>
      <c r="T50" s="45"/>
      <c r="U50" s="42"/>
      <c r="V50" s="42"/>
      <c r="W50" s="42"/>
      <c r="X50" s="42"/>
      <c r="Y50" s="42"/>
      <c r="Z50" s="42"/>
      <c r="AA50" s="42"/>
      <c r="AB50" s="42"/>
      <c r="AC50" s="42"/>
      <c r="AD50" s="45"/>
      <c r="AE50" s="42"/>
      <c r="AF50" s="42"/>
      <c r="AG50" s="42"/>
      <c r="AH50" s="42"/>
      <c r="AI50" s="42"/>
      <c r="AJ50" s="42"/>
      <c r="AK50" s="42"/>
      <c r="AL50" s="42"/>
      <c r="AM50" s="42"/>
      <c r="AN50" s="45"/>
      <c r="AO50" s="42"/>
      <c r="AP50" s="42"/>
      <c r="AQ50" s="42"/>
      <c r="AR50" s="42"/>
      <c r="AS50" s="42"/>
      <c r="AT50" s="42"/>
      <c r="AU50" s="42"/>
      <c r="AV50" s="42"/>
      <c r="AW50" s="42"/>
      <c r="AX50" s="45"/>
      <c r="AY50" s="42"/>
      <c r="AZ50" s="42"/>
      <c r="BA50" s="42"/>
      <c r="BB50" s="42"/>
      <c r="BC50" s="42"/>
      <c r="BD50" s="42"/>
      <c r="BE50" s="42"/>
      <c r="BF50" s="42"/>
      <c r="BG50" s="42"/>
      <c r="BH50" s="45"/>
      <c r="BI50" s="42"/>
      <c r="BJ50" s="352"/>
      <c r="BK50" s="352"/>
      <c r="BL50" s="352"/>
      <c r="BM50" s="352"/>
      <c r="BN50" s="352"/>
      <c r="BO50" s="352"/>
      <c r="BP50" s="352"/>
      <c r="BQ50" s="42"/>
      <c r="BR50" s="41"/>
      <c r="BS50" s="42"/>
      <c r="BT50" s="42"/>
      <c r="BU50" s="42"/>
      <c r="BV50" s="42"/>
      <c r="BW50" s="42"/>
      <c r="BX50" s="42"/>
      <c r="BY50" s="42"/>
      <c r="BZ50" s="42"/>
      <c r="CA50" s="42"/>
      <c r="CB50" s="45"/>
      <c r="CC50" s="42"/>
      <c r="CD50" s="42"/>
      <c r="CE50" s="42"/>
      <c r="CF50" s="42"/>
      <c r="CG50" s="42"/>
      <c r="CH50" s="42"/>
      <c r="CI50" s="42"/>
      <c r="CJ50" s="42"/>
      <c r="CK50" s="42"/>
      <c r="CL50" s="45"/>
      <c r="CM50" s="42"/>
      <c r="CN50" s="42"/>
      <c r="CO50" s="42"/>
      <c r="CP50" s="42"/>
      <c r="CQ50" s="42"/>
      <c r="CR50" s="42"/>
      <c r="CS50" s="42"/>
      <c r="CT50" s="42"/>
      <c r="CU50" s="42"/>
      <c r="CV50" s="45"/>
      <c r="CW50" s="42"/>
      <c r="CX50" s="42"/>
      <c r="CY50" s="42"/>
      <c r="CZ50" s="42"/>
      <c r="DA50" s="42"/>
      <c r="DB50" s="42"/>
      <c r="DC50" s="42"/>
      <c r="DD50" s="42"/>
      <c r="DE50" s="42"/>
      <c r="DF50" s="45"/>
      <c r="DG50" s="42"/>
      <c r="DH50" s="352"/>
      <c r="DI50" s="352"/>
      <c r="DJ50" s="352"/>
      <c r="DK50" s="352"/>
      <c r="DL50" s="352"/>
      <c r="DM50" s="352"/>
      <c r="DN50" s="352"/>
      <c r="DO50" s="42"/>
      <c r="DP50" s="41"/>
    </row>
    <row r="51" spans="1:129" ht="15" customHeight="1" x14ac:dyDescent="0.2">
      <c r="A51" s="42"/>
      <c r="B51" s="42"/>
      <c r="C51" s="42"/>
      <c r="D51" s="42"/>
      <c r="E51" s="42"/>
      <c r="F51" s="42"/>
      <c r="G51" s="42"/>
      <c r="H51" s="42"/>
      <c r="I51" s="42"/>
      <c r="J51" s="45"/>
      <c r="K51" s="42"/>
      <c r="L51" s="42"/>
      <c r="M51" s="42"/>
      <c r="N51" s="42"/>
      <c r="O51" s="42"/>
      <c r="P51" s="42"/>
      <c r="Q51" s="42"/>
      <c r="R51" s="42"/>
      <c r="S51" s="42"/>
      <c r="T51" s="45"/>
      <c r="U51" s="42"/>
      <c r="V51" s="42"/>
      <c r="W51" s="42"/>
      <c r="X51" s="42"/>
      <c r="Y51" s="42"/>
      <c r="Z51" s="42"/>
      <c r="AA51" s="42"/>
      <c r="AB51" s="42"/>
      <c r="AC51" s="42"/>
      <c r="AD51" s="45"/>
      <c r="AE51" s="42"/>
      <c r="AF51" s="42"/>
      <c r="AG51" s="42"/>
      <c r="AH51" s="42"/>
      <c r="AI51" s="42"/>
      <c r="AJ51" s="42"/>
      <c r="AK51" s="42"/>
      <c r="AL51" s="42"/>
      <c r="AM51" s="42"/>
      <c r="AN51" s="45"/>
      <c r="AO51" s="42"/>
      <c r="AP51" s="42"/>
      <c r="AQ51" s="42"/>
      <c r="AR51" s="42"/>
      <c r="AS51" s="42"/>
      <c r="AT51" s="42"/>
      <c r="AU51" s="42"/>
      <c r="AV51" s="42"/>
      <c r="AW51" s="42"/>
      <c r="AX51" s="45"/>
      <c r="AY51" s="42"/>
      <c r="AZ51" s="42"/>
      <c r="BA51" s="42"/>
      <c r="BB51" s="42"/>
      <c r="BC51" s="42"/>
      <c r="BD51" s="42"/>
      <c r="BE51" s="42"/>
      <c r="BF51" s="42"/>
      <c r="BG51" s="42"/>
      <c r="BH51" s="45"/>
      <c r="BI51" s="42"/>
      <c r="BJ51" s="42"/>
      <c r="BK51" s="42"/>
      <c r="BL51" s="42"/>
      <c r="BM51" s="42"/>
      <c r="BN51" s="42"/>
      <c r="BO51" s="42"/>
      <c r="BP51" s="42"/>
      <c r="BQ51" s="42"/>
      <c r="BR51" s="41"/>
      <c r="BS51" s="42"/>
      <c r="BT51" s="42"/>
      <c r="BU51" s="42"/>
      <c r="BV51" s="42"/>
      <c r="BW51" s="42"/>
      <c r="BX51" s="42"/>
      <c r="BY51" s="42"/>
      <c r="BZ51" s="42"/>
      <c r="CA51" s="42"/>
      <c r="CB51" s="45"/>
      <c r="CC51" s="42"/>
      <c r="CD51" s="42"/>
      <c r="CE51" s="42"/>
      <c r="CF51" s="42"/>
      <c r="CG51" s="42"/>
      <c r="CH51" s="42"/>
      <c r="CI51" s="42"/>
      <c r="CJ51" s="42"/>
      <c r="CK51" s="42"/>
      <c r="CL51" s="45"/>
      <c r="CM51" s="42"/>
      <c r="CN51" s="42"/>
      <c r="CO51" s="42"/>
      <c r="CP51" s="42"/>
      <c r="CQ51" s="42"/>
      <c r="CR51" s="42"/>
      <c r="CS51" s="42"/>
      <c r="CT51" s="42"/>
      <c r="CU51" s="42"/>
      <c r="CV51" s="45"/>
      <c r="CW51" s="42"/>
      <c r="CX51" s="42"/>
      <c r="CY51" s="42"/>
      <c r="CZ51" s="42"/>
      <c r="DA51" s="42"/>
      <c r="DB51" s="42"/>
      <c r="DC51" s="42"/>
      <c r="DD51" s="42"/>
      <c r="DE51" s="42"/>
      <c r="DF51" s="45"/>
      <c r="DG51" s="42"/>
      <c r="DH51" s="42"/>
      <c r="DI51" s="42"/>
      <c r="DJ51" s="42"/>
      <c r="DK51" s="42"/>
      <c r="DL51" s="42"/>
      <c r="DM51" s="42"/>
      <c r="DN51" s="42"/>
      <c r="DO51" s="42"/>
      <c r="DP51" s="41"/>
    </row>
    <row r="52" spans="1:129" ht="15" customHeight="1" x14ac:dyDescent="0.2">
      <c r="A52" s="42"/>
      <c r="B52" s="42"/>
      <c r="C52" s="42"/>
      <c r="D52" s="42"/>
      <c r="E52" s="42"/>
      <c r="F52" s="42"/>
      <c r="G52" s="42"/>
      <c r="H52" s="42"/>
      <c r="I52" s="42"/>
      <c r="J52" s="45"/>
      <c r="K52" s="42"/>
      <c r="L52" s="42"/>
      <c r="M52" s="42"/>
      <c r="N52" s="42"/>
      <c r="O52" s="42"/>
      <c r="P52" s="42"/>
      <c r="Q52" s="42"/>
      <c r="R52" s="42"/>
      <c r="S52" s="42"/>
      <c r="T52" s="45"/>
      <c r="U52" s="42"/>
      <c r="V52" s="42"/>
      <c r="W52" s="42"/>
      <c r="X52" s="42"/>
      <c r="Y52" s="42"/>
      <c r="Z52" s="42"/>
      <c r="AA52" s="42"/>
      <c r="AB52" s="42"/>
      <c r="AC52" s="42"/>
      <c r="AD52" s="45"/>
      <c r="AE52" s="42"/>
      <c r="AF52" s="42"/>
      <c r="AG52" s="42"/>
      <c r="AH52" s="42"/>
      <c r="AI52" s="42"/>
      <c r="AJ52" s="42"/>
      <c r="AK52" s="42"/>
      <c r="AL52" s="42"/>
      <c r="AM52" s="42"/>
      <c r="AN52" s="45"/>
      <c r="AO52" s="42"/>
      <c r="AP52" s="42"/>
      <c r="AQ52" s="42"/>
      <c r="AR52" s="42"/>
      <c r="AS52" s="42"/>
      <c r="AT52" s="42"/>
      <c r="AU52" s="42"/>
      <c r="AV52" s="42"/>
      <c r="AW52" s="42"/>
      <c r="AX52" s="45"/>
      <c r="AY52" s="42"/>
      <c r="AZ52" s="42"/>
      <c r="BA52" s="42"/>
      <c r="BB52" s="42"/>
      <c r="BC52" s="42"/>
      <c r="BD52" s="42"/>
      <c r="BE52" s="42"/>
      <c r="BF52" s="42"/>
      <c r="BG52" s="42"/>
      <c r="BH52" s="45"/>
      <c r="BI52" s="42"/>
      <c r="BJ52" s="42"/>
      <c r="BK52" s="42"/>
      <c r="BL52" s="42"/>
      <c r="BM52" s="42"/>
      <c r="BN52" s="42"/>
      <c r="BO52" s="42"/>
      <c r="BP52" s="42"/>
      <c r="BQ52" s="42"/>
      <c r="BR52" s="41"/>
      <c r="BS52" s="42"/>
      <c r="BT52" s="42"/>
      <c r="BU52" s="42"/>
      <c r="BV52" s="42"/>
      <c r="BW52" s="42"/>
      <c r="BX52" s="42"/>
      <c r="BY52" s="42"/>
      <c r="BZ52" s="42"/>
      <c r="CA52" s="42"/>
      <c r="CB52" s="45"/>
      <c r="CC52" s="42"/>
      <c r="CD52" s="42"/>
      <c r="CE52" s="42"/>
      <c r="CF52" s="42"/>
      <c r="CG52" s="42"/>
      <c r="CH52" s="42"/>
      <c r="CI52" s="42"/>
      <c r="CJ52" s="42"/>
      <c r="CK52" s="42"/>
      <c r="CL52" s="45"/>
      <c r="CM52" s="42"/>
      <c r="CN52" s="42"/>
      <c r="CO52" s="42"/>
      <c r="CP52" s="42"/>
      <c r="CQ52" s="42"/>
      <c r="CR52" s="42"/>
      <c r="CS52" s="42"/>
      <c r="CT52" s="42"/>
      <c r="CU52" s="42"/>
      <c r="CV52" s="45"/>
      <c r="CW52" s="42"/>
      <c r="CX52" s="42"/>
      <c r="CY52" s="42"/>
      <c r="CZ52" s="42"/>
      <c r="DA52" s="42"/>
      <c r="DB52" s="42"/>
      <c r="DC52" s="42"/>
      <c r="DD52" s="42"/>
      <c r="DE52" s="42"/>
      <c r="DF52" s="45"/>
      <c r="DG52" s="42"/>
      <c r="DH52" s="42"/>
      <c r="DI52" s="42"/>
      <c r="DJ52" s="42"/>
      <c r="DK52" s="42"/>
      <c r="DL52" s="42"/>
      <c r="DM52" s="42"/>
      <c r="DN52" s="42"/>
      <c r="DO52" s="42"/>
      <c r="DP52" s="41"/>
    </row>
    <row r="53" spans="1:129" ht="15" customHeight="1" x14ac:dyDescent="0.2">
      <c r="A53" s="42"/>
      <c r="B53" s="42"/>
      <c r="C53" s="42"/>
      <c r="D53" s="42"/>
      <c r="E53" s="42"/>
      <c r="F53" s="42"/>
      <c r="G53" s="42"/>
      <c r="H53" s="42"/>
      <c r="I53" s="42"/>
      <c r="J53" s="41"/>
      <c r="K53" s="42"/>
      <c r="L53" s="42"/>
      <c r="M53" s="42"/>
      <c r="N53" s="42"/>
      <c r="O53" s="42"/>
      <c r="P53" s="42"/>
      <c r="Q53" s="42"/>
      <c r="R53" s="42"/>
      <c r="S53" s="42"/>
      <c r="T53" s="41"/>
      <c r="U53" s="336" t="s">
        <v>620</v>
      </c>
      <c r="V53" s="336"/>
      <c r="W53" s="336"/>
      <c r="X53" s="336"/>
      <c r="Y53" s="336"/>
      <c r="Z53" s="336"/>
      <c r="AA53" s="336"/>
      <c r="AB53" s="336"/>
      <c r="AC53" s="336"/>
      <c r="AD53" s="41"/>
      <c r="AE53" s="336" t="s">
        <v>620</v>
      </c>
      <c r="AF53" s="336"/>
      <c r="AG53" s="336"/>
      <c r="AH53" s="336"/>
      <c r="AI53" s="336"/>
      <c r="AJ53" s="336"/>
      <c r="AK53" s="336"/>
      <c r="AL53" s="336"/>
      <c r="AM53" s="336"/>
      <c r="AN53" s="41"/>
      <c r="AO53" s="336" t="s">
        <v>620</v>
      </c>
      <c r="AP53" s="336"/>
      <c r="AQ53" s="336"/>
      <c r="AR53" s="336"/>
      <c r="AS53" s="336"/>
      <c r="AT53" s="336"/>
      <c r="AU53" s="336"/>
      <c r="AV53" s="336"/>
      <c r="AW53" s="336"/>
      <c r="AX53" s="41"/>
      <c r="AY53" s="336" t="s">
        <v>620</v>
      </c>
      <c r="AZ53" s="336"/>
      <c r="BA53" s="336"/>
      <c r="BB53" s="336"/>
      <c r="BC53" s="336"/>
      <c r="BD53" s="336"/>
      <c r="BE53" s="336"/>
      <c r="BF53" s="336"/>
      <c r="BG53" s="336"/>
      <c r="BH53" s="41"/>
      <c r="BI53" s="336" t="s">
        <v>620</v>
      </c>
      <c r="BJ53" s="336"/>
      <c r="BK53" s="336"/>
      <c r="BL53" s="336"/>
      <c r="BM53" s="336"/>
      <c r="BN53" s="336"/>
      <c r="BO53" s="336"/>
      <c r="BP53" s="336"/>
      <c r="BQ53" s="336"/>
      <c r="BR53" s="41"/>
      <c r="BS53" s="336" t="s">
        <v>620</v>
      </c>
      <c r="BT53" s="336"/>
      <c r="BU53" s="336"/>
      <c r="BV53" s="336"/>
      <c r="BW53" s="336"/>
      <c r="BX53" s="336"/>
      <c r="BY53" s="336"/>
      <c r="BZ53" s="336"/>
      <c r="CA53" s="336"/>
      <c r="CB53" s="41"/>
      <c r="CC53" s="336" t="s">
        <v>620</v>
      </c>
      <c r="CD53" s="336"/>
      <c r="CE53" s="336"/>
      <c r="CF53" s="336"/>
      <c r="CG53" s="336"/>
      <c r="CH53" s="336"/>
      <c r="CI53" s="336"/>
      <c r="CJ53" s="336"/>
      <c r="CK53" s="336"/>
      <c r="CL53" s="41"/>
      <c r="CM53" s="336" t="s">
        <v>620</v>
      </c>
      <c r="CN53" s="336"/>
      <c r="CO53" s="336"/>
      <c r="CP53" s="336"/>
      <c r="CQ53" s="336"/>
      <c r="CR53" s="336"/>
      <c r="CS53" s="336"/>
      <c r="CT53" s="336"/>
      <c r="CU53" s="336"/>
      <c r="CV53" s="41"/>
      <c r="CW53" s="336" t="s">
        <v>620</v>
      </c>
      <c r="CX53" s="336"/>
      <c r="CY53" s="336"/>
      <c r="CZ53" s="336"/>
      <c r="DA53" s="336"/>
      <c r="DB53" s="336"/>
      <c r="DC53" s="336"/>
      <c r="DD53" s="336"/>
      <c r="DE53" s="336"/>
      <c r="DF53" s="41"/>
      <c r="DG53" s="336" t="s">
        <v>620</v>
      </c>
      <c r="DH53" s="336"/>
      <c r="DI53" s="336"/>
      <c r="DJ53" s="336"/>
      <c r="DK53" s="336"/>
      <c r="DL53" s="336"/>
      <c r="DM53" s="336"/>
      <c r="DN53" s="336"/>
      <c r="DO53" s="336"/>
      <c r="DP53" s="41"/>
    </row>
    <row r="54" spans="1:129" ht="15" customHeight="1" x14ac:dyDescent="0.2">
      <c r="A54" s="46"/>
      <c r="B54" s="46"/>
      <c r="C54" s="46"/>
      <c r="D54" s="46"/>
      <c r="E54" s="46"/>
      <c r="F54" s="46"/>
      <c r="G54" s="46"/>
      <c r="H54" s="46"/>
      <c r="I54" s="46"/>
      <c r="J54" s="41"/>
      <c r="K54" s="46"/>
      <c r="L54" s="46"/>
      <c r="M54" s="46"/>
      <c r="N54" s="46"/>
      <c r="O54" s="46"/>
      <c r="P54" s="46"/>
      <c r="Q54" s="46"/>
      <c r="R54" s="46"/>
      <c r="S54" s="46"/>
      <c r="T54" s="41"/>
      <c r="U54" s="46"/>
      <c r="V54" s="46"/>
      <c r="W54" s="46"/>
      <c r="X54" s="46"/>
      <c r="Y54" s="46"/>
      <c r="Z54" s="46"/>
      <c r="AA54" s="46"/>
      <c r="AB54" s="46"/>
      <c r="AC54" s="46"/>
      <c r="AD54" s="41"/>
      <c r="AE54" s="46"/>
      <c r="AF54" s="46"/>
      <c r="AG54" s="46"/>
      <c r="AH54" s="46"/>
      <c r="AI54" s="46"/>
      <c r="AJ54" s="46"/>
      <c r="AK54" s="46"/>
      <c r="AL54" s="46"/>
      <c r="AM54" s="46"/>
      <c r="AN54" s="41"/>
      <c r="AO54" s="46"/>
      <c r="AP54" s="46"/>
      <c r="AQ54" s="46"/>
      <c r="AR54" s="46"/>
      <c r="AS54" s="46"/>
      <c r="AT54" s="46"/>
      <c r="AU54" s="46"/>
      <c r="AV54" s="46"/>
      <c r="AW54" s="46"/>
      <c r="AX54" s="41"/>
      <c r="AY54" s="46"/>
      <c r="AZ54" s="46"/>
      <c r="BA54" s="46"/>
      <c r="BB54" s="46"/>
      <c r="BC54" s="46"/>
      <c r="BD54" s="46"/>
      <c r="BE54" s="46"/>
      <c r="BF54" s="46"/>
      <c r="BG54" s="46"/>
      <c r="BH54" s="41"/>
      <c r="BI54" s="46"/>
      <c r="BJ54" s="46"/>
      <c r="BK54" s="46"/>
      <c r="BL54" s="46"/>
      <c r="BM54" s="46"/>
      <c r="BN54" s="46"/>
      <c r="BO54" s="46"/>
      <c r="BP54" s="46"/>
      <c r="BQ54" s="46"/>
      <c r="BR54" s="41"/>
      <c r="BS54" s="46"/>
      <c r="BT54" s="46"/>
      <c r="BU54" s="46"/>
      <c r="BV54" s="46"/>
      <c r="BW54" s="46"/>
      <c r="BX54" s="46"/>
      <c r="BY54" s="46"/>
      <c r="BZ54" s="46"/>
      <c r="CA54" s="46"/>
      <c r="CB54" s="41"/>
      <c r="CC54" s="46"/>
      <c r="CD54" s="46"/>
      <c r="CE54" s="46"/>
      <c r="CF54" s="46"/>
      <c r="CG54" s="46"/>
      <c r="CH54" s="46"/>
      <c r="CI54" s="46"/>
      <c r="CJ54" s="46"/>
      <c r="CK54" s="46"/>
      <c r="CL54" s="41"/>
      <c r="CM54" s="46"/>
      <c r="CN54" s="46"/>
      <c r="CO54" s="46"/>
      <c r="CP54" s="46"/>
      <c r="CQ54" s="46"/>
      <c r="CR54" s="46"/>
      <c r="CS54" s="46"/>
      <c r="CT54" s="46"/>
      <c r="CU54" s="46"/>
      <c r="CV54" s="41"/>
      <c r="CW54" s="46"/>
      <c r="CX54" s="46"/>
      <c r="CY54" s="46"/>
      <c r="CZ54" s="46"/>
      <c r="DA54" s="46"/>
      <c r="DB54" s="46"/>
      <c r="DC54" s="46"/>
      <c r="DD54" s="46"/>
      <c r="DE54" s="46"/>
      <c r="DF54" s="41"/>
      <c r="DG54" s="46"/>
      <c r="DH54" s="46"/>
      <c r="DI54" s="46"/>
      <c r="DJ54" s="46"/>
      <c r="DK54" s="46"/>
      <c r="DL54" s="46"/>
      <c r="DM54" s="46"/>
      <c r="DN54" s="46"/>
      <c r="DO54" s="46"/>
      <c r="DP54" s="41"/>
    </row>
    <row r="55" spans="1:129" ht="15" customHeight="1" x14ac:dyDescent="0.2">
      <c r="A55" s="350" t="s">
        <v>206</v>
      </c>
      <c r="B55" s="350"/>
      <c r="C55" s="350"/>
      <c r="D55" s="350"/>
      <c r="E55" s="350"/>
      <c r="F55" s="350"/>
      <c r="G55" s="350"/>
      <c r="H55" s="350"/>
      <c r="I55" s="350"/>
      <c r="J55" s="41"/>
      <c r="K55" s="350" t="s">
        <v>206</v>
      </c>
      <c r="L55" s="350"/>
      <c r="M55" s="350"/>
      <c r="N55" s="350"/>
      <c r="O55" s="350"/>
      <c r="P55" s="350"/>
      <c r="Q55" s="350"/>
      <c r="R55" s="350"/>
      <c r="S55" s="350"/>
      <c r="T55" s="41"/>
      <c r="U55" s="350" t="s">
        <v>206</v>
      </c>
      <c r="V55" s="350"/>
      <c r="W55" s="350"/>
      <c r="X55" s="350"/>
      <c r="Y55" s="350"/>
      <c r="Z55" s="350"/>
      <c r="AA55" s="350"/>
      <c r="AB55" s="350"/>
      <c r="AC55" s="350"/>
      <c r="AD55" s="41"/>
      <c r="AE55" s="350" t="s">
        <v>206</v>
      </c>
      <c r="AF55" s="350"/>
      <c r="AG55" s="350"/>
      <c r="AH55" s="350"/>
      <c r="AI55" s="350"/>
      <c r="AJ55" s="350"/>
      <c r="AK55" s="350"/>
      <c r="AL55" s="350"/>
      <c r="AM55" s="350"/>
      <c r="AN55" s="41"/>
      <c r="AO55" s="350" t="s">
        <v>206</v>
      </c>
      <c r="AP55" s="350"/>
      <c r="AQ55" s="350"/>
      <c r="AR55" s="350"/>
      <c r="AS55" s="350"/>
      <c r="AT55" s="350"/>
      <c r="AU55" s="350"/>
      <c r="AV55" s="350"/>
      <c r="AW55" s="350"/>
      <c r="AX55" s="41"/>
      <c r="AY55" s="350" t="s">
        <v>206</v>
      </c>
      <c r="AZ55" s="350"/>
      <c r="BA55" s="350"/>
      <c r="BB55" s="350"/>
      <c r="BC55" s="350"/>
      <c r="BD55" s="350"/>
      <c r="BE55" s="350"/>
      <c r="BF55" s="350"/>
      <c r="BG55" s="350"/>
      <c r="BH55" s="41"/>
      <c r="BI55" s="350" t="s">
        <v>206</v>
      </c>
      <c r="BJ55" s="350"/>
      <c r="BK55" s="350"/>
      <c r="BL55" s="350"/>
      <c r="BM55" s="350"/>
      <c r="BN55" s="350"/>
      <c r="BO55" s="350"/>
      <c r="BP55" s="350"/>
      <c r="BQ55" s="350"/>
      <c r="BR55" s="41"/>
      <c r="BS55" s="350" t="s">
        <v>206</v>
      </c>
      <c r="BT55" s="350"/>
      <c r="BU55" s="350"/>
      <c r="BV55" s="350"/>
      <c r="BW55" s="350"/>
      <c r="BX55" s="350"/>
      <c r="BY55" s="350"/>
      <c r="BZ55" s="350"/>
      <c r="CA55" s="350"/>
      <c r="CB55" s="41"/>
      <c r="CC55" s="350" t="s">
        <v>206</v>
      </c>
      <c r="CD55" s="350"/>
      <c r="CE55" s="350"/>
      <c r="CF55" s="350"/>
      <c r="CG55" s="350"/>
      <c r="CH55" s="350"/>
      <c r="CI55" s="350"/>
      <c r="CJ55" s="350"/>
      <c r="CK55" s="350"/>
      <c r="CL55" s="41"/>
      <c r="CM55" s="350" t="s">
        <v>206</v>
      </c>
      <c r="CN55" s="350"/>
      <c r="CO55" s="350"/>
      <c r="CP55" s="350"/>
      <c r="CQ55" s="350"/>
      <c r="CR55" s="350"/>
      <c r="CS55" s="350"/>
      <c r="CT55" s="350"/>
      <c r="CU55" s="350"/>
      <c r="CV55" s="41"/>
      <c r="CW55" s="350" t="s">
        <v>206</v>
      </c>
      <c r="CX55" s="350"/>
      <c r="CY55" s="350"/>
      <c r="CZ55" s="350"/>
      <c r="DA55" s="350"/>
      <c r="DB55" s="350"/>
      <c r="DC55" s="350"/>
      <c r="DD55" s="350"/>
      <c r="DE55" s="350"/>
      <c r="DF55" s="41"/>
      <c r="DG55" s="350" t="s">
        <v>206</v>
      </c>
      <c r="DH55" s="350"/>
      <c r="DI55" s="350"/>
      <c r="DJ55" s="350"/>
      <c r="DK55" s="350"/>
      <c r="DL55" s="350"/>
      <c r="DM55" s="350"/>
      <c r="DN55" s="350"/>
      <c r="DO55" s="350"/>
      <c r="DP55" s="41"/>
    </row>
    <row r="56" spans="1:129" ht="15" customHeight="1" x14ac:dyDescent="0.2">
      <c r="A56" s="301" t="str">
        <f ca="1">IF($A$16="IC - Internal Combustion","N/A",
IF(COUNTIF(A64:I135,"BLANK"),"BLANK",IF(COUNTIF(A64:I135,"REJECT"),"REJECT",IF(COUNTIF(A64:I135,"CHECK"),"CHECK","EQ"))))</f>
        <v>N/A</v>
      </c>
      <c r="B56" s="301"/>
      <c r="C56" s="301" t="s">
        <v>628</v>
      </c>
      <c r="D56" s="301"/>
      <c r="E56" s="301"/>
      <c r="F56" s="301"/>
      <c r="G56" s="301"/>
      <c r="H56" s="301"/>
      <c r="I56" s="301"/>
      <c r="K56" s="301" t="str">
        <f ca="1">IF($A$16="IC - Internal Combustion","N/A",
IF(COUNTIF(K64:S170,"BLANK"),"BLANK",IF(COUNTIF(K64:S170,"REJECT"),"REJECT",IF(COUNTIF(K64:S170,"CHECK"),"CHECK","EQ"))))</f>
        <v>N/A</v>
      </c>
      <c r="L56" s="301"/>
      <c r="M56" s="301" t="s">
        <v>629</v>
      </c>
      <c r="N56" s="301"/>
      <c r="O56" s="301"/>
      <c r="P56" s="301"/>
      <c r="Q56" s="301"/>
      <c r="R56" s="301"/>
      <c r="S56" s="301"/>
      <c r="T56" s="57"/>
      <c r="U56" s="301" t="str">
        <f ca="1">IF($A$16="IC - Internal Combustion","N/A",
IF(COUNTIF(U60:AC120,"BLANK"),"BLANK",IF(COUNTIF(U60:AC120,"REJECT"),"REJECT",IF(COUNTIF(U60:AC120,"CHECK"),"CHECK","EQ"))))</f>
        <v>N/A</v>
      </c>
      <c r="V56" s="301"/>
      <c r="W56" s="301" t="str">
        <f>IF($U$22="Mass Based","Accumulator Mount 1",
IF($U$24="Front/Rear","Top Left Accumulator Mount",
IF($U$24="Top/Bottom","Front Left Accumulator Mount",
"Top Front Accumulator Mount")))</f>
        <v>Top Front Accumulator Mount</v>
      </c>
      <c r="X56" s="301"/>
      <c r="Y56" s="301"/>
      <c r="Z56" s="301"/>
      <c r="AA56" s="301"/>
      <c r="AB56" s="301"/>
      <c r="AC56" s="301"/>
      <c r="AE56" s="301" t="str">
        <f ca="1">IF($A$16="IC - Internal Combustion","N/A",
IF(COUNTIF(AE60:AM120,"BLANK"),"BLANK",IF(COUNTIF(AE60:AM120,"REJECT"),"REJECT",IF(COUNTIF(AE60:AM120,"CHECK"),"CHECK","EQ"))))</f>
        <v>N/A</v>
      </c>
      <c r="AF56" s="301"/>
      <c r="AG56" s="301" t="str">
        <f>IF($U$22="Mass Based","Accumulator Mount 2",
IF($U$24="Front/Rear","Top Right Accumulator Mount",
IF($U$24="Top/Bottom","Front Right Accumulator Mount",
"Top Rear Accumulator Mount")))</f>
        <v>Top Rear Accumulator Mount</v>
      </c>
      <c r="AH56" s="301"/>
      <c r="AI56" s="301"/>
      <c r="AJ56" s="301"/>
      <c r="AK56" s="301"/>
      <c r="AL56" s="301"/>
      <c r="AM56" s="301"/>
      <c r="AO56" s="301" t="str">
        <f ca="1">IF($A$16="IC - Internal Combustion","N/A",
IF(COUNTIF(AO60:AW120,"BLANK"),"BLANK",IF(COUNTIF(AO60:AW120,"REJECT"),"REJECT",IF(COUNTIF(AO60:AW120,"CHECK"),"CHECK","EQ"))))</f>
        <v>N/A</v>
      </c>
      <c r="AP56" s="301"/>
      <c r="AQ56" s="301" t="str">
        <f>IF($U$22="Mass Based","Accumulator Mount 3",
IF($U$24="Front/Rear","Bottom Left Accumulator Mount",
IF($U$24="Top/Bottom","Rear Left Accumulator Mount",
"Bottom Front Accumulator Mount")))</f>
        <v>Bottom Front Accumulator Mount</v>
      </c>
      <c r="AR56" s="301"/>
      <c r="AS56" s="301"/>
      <c r="AT56" s="301"/>
      <c r="AU56" s="301"/>
      <c r="AV56" s="301"/>
      <c r="AW56" s="301"/>
      <c r="AY56" s="301" t="str">
        <f ca="1">IF($A$16="IC - Internal Combustion","N/A",
IF(COUNTIF(AY60:BG120,"BLANK"),"BLANK",IF(COUNTIF(AY60:BG120,"REJECT"),"REJECT",IF(COUNTIF(AY60:BG120,"CHECK"),"CHECK","EQ"))))</f>
        <v>N/A</v>
      </c>
      <c r="AZ56" s="301"/>
      <c r="BA56" s="301" t="str">
        <f>IF($U$22="Mass Based","Accumulator Mount 4",
IF($U$24="Front/Rear","Bottom Right Accumulator Mount",
IF($U$24="Top/Bottom","Rear Right Accumulator Mount",
"Bottom Rear Accumulator Mount")))</f>
        <v>Bottom Rear Accumulator Mount</v>
      </c>
      <c r="BB56" s="301"/>
      <c r="BC56" s="301"/>
      <c r="BD56" s="301"/>
      <c r="BE56" s="301"/>
      <c r="BF56" s="301"/>
      <c r="BG56" s="301"/>
      <c r="BI56" s="301" t="str">
        <f ca="1">IF($A$16="IC - Internal Combustion","N/A",
IF(COUNTIF(BI60:BQ120,"BLANK"),"BLANK",IF(COUNTIF(BI60:BQ120,"REJECT"),"REJECT",IF(COUNTIF(BI60:BQ120,"CHECK"),"CHECK","EQ"))))</f>
        <v>N/A</v>
      </c>
      <c r="BJ56" s="301"/>
      <c r="BK56" s="301" t="s">
        <v>618</v>
      </c>
      <c r="BL56" s="301"/>
      <c r="BM56" s="301"/>
      <c r="BN56" s="301"/>
      <c r="BO56" s="301"/>
      <c r="BP56" s="301"/>
      <c r="BQ56" s="301"/>
      <c r="BR56" s="57"/>
      <c r="BS56" s="301" t="str">
        <f ca="1">IF($A$16="IC - Internal Combustion","N/A",
IF(COUNTIF(BS60:CA131,"BLANK"),"BLANK",IF(COUNTIF(BS60:CA131,"REJECT"),"REJECT",IF(COUNTIF(BS60:CA131,"CHECK"),"CHECK","EQ"))))</f>
        <v>N/A</v>
      </c>
      <c r="BT56" s="301"/>
      <c r="BU56" s="301" t="str">
        <f>IF($U$22="Mass Based","Chassis Mount 1",
IF($U$25="Front/Rear","Top Left Chassis Mount",
IF($U$25="Top/Bottom","Front Left Chassis Mount",
"Top Front Chassis Mount")))</f>
        <v>Top Front Chassis Mount</v>
      </c>
      <c r="BV56" s="301"/>
      <c r="BW56" s="301"/>
      <c r="BX56" s="301"/>
      <c r="BY56" s="301"/>
      <c r="BZ56" s="301"/>
      <c r="CA56" s="301"/>
      <c r="CC56" s="301" t="str">
        <f ca="1">IF($A$16="IC - Internal Combustion","N/A",
IF(COUNTIF(CC60:CK131,"BLANK"),"BLANK",IF(COUNTIF(CC60:CK131,"REJECT"),"REJECT",IF(COUNTIF(CC60:CK131,"CHECK"),"CHECK","EQ"))))</f>
        <v>N/A</v>
      </c>
      <c r="CD56" s="301"/>
      <c r="CE56" s="301" t="str">
        <f>IF($U$22="Mass Based","Chassis Mount 2",
IF($U$25="Front/Rear","Top Right Chassis Mount",
IF($U$25="Top/Bottom","Front Right Chassis Mount",
"Top Rear Chassis Mount")))</f>
        <v>Top Rear Chassis Mount</v>
      </c>
      <c r="CF56" s="301"/>
      <c r="CG56" s="301"/>
      <c r="CH56" s="301"/>
      <c r="CI56" s="301"/>
      <c r="CJ56" s="301"/>
      <c r="CK56" s="301"/>
      <c r="CM56" s="301" t="str">
        <f ca="1">IF($A$16="IC - Internal Combustion","N/A",
IF(COUNTIF(CM60:CU131,"BLANK"),"BLANK",IF(COUNTIF(CM60:CU131,"REJECT"),"REJECT",IF(COUNTIF(CM60:CU131,"CHECK"),"CHECK","EQ"))))</f>
        <v>N/A</v>
      </c>
      <c r="CN56" s="301"/>
      <c r="CO56" s="301" t="str">
        <f>IF($U$22="Mass Based","Chassis Mount 3",
IF($U$25="Front/Rear","Bottom Left Chassis Mount",
IF($U$25="Top/Bottom","Rear Left Chassis Mount",
"Bottom Front Chassis Mount")))</f>
        <v>Bottom Front Chassis Mount</v>
      </c>
      <c r="CP56" s="301"/>
      <c r="CQ56" s="301"/>
      <c r="CR56" s="301"/>
      <c r="CS56" s="301"/>
      <c r="CT56" s="301"/>
      <c r="CU56" s="301"/>
      <c r="CW56" s="301" t="str">
        <f ca="1">IF($A$16="IC - Internal Combustion","N/A",
IF(COUNTIF(CW60:DE131,"BLANK"),"BLANK",IF(COUNTIF(CW60:DE131,"REJECT"),"REJECT",IF(COUNTIF(CW60:DE131,"CHECK"),"CHECK","EQ"))))</f>
        <v>N/A</v>
      </c>
      <c r="CX56" s="301"/>
      <c r="CY56" s="301" t="str">
        <f>IF($U$22="Mass Based","Chassis Mount 4",
IF($U$25="Front/Rear","Bottom Right Chassis Mount",
IF($U$25="Top/Bottom","Rear Right Chassis Mount",
"Bottom Rear Chassis Mount")))</f>
        <v>Bottom Rear Chassis Mount</v>
      </c>
      <c r="CZ56" s="301"/>
      <c r="DA56" s="301"/>
      <c r="DB56" s="301"/>
      <c r="DC56" s="301"/>
      <c r="DD56" s="301"/>
      <c r="DE56" s="301"/>
      <c r="DG56" s="301" t="str">
        <f ca="1">IF($A$16="IC - Internal Combustion","N/A",
IF(COUNTIF(DG60:DO131,"BLANK"),"BLANK",IF(COUNTIF(DG60:DO131,"REJECT"),"REJECT",IF(COUNTIF(DG60:DO131,"CHECK"),"CHECK","EQ"))))</f>
        <v>N/A</v>
      </c>
      <c r="DH56" s="301"/>
      <c r="DI56" s="301" t="s">
        <v>619</v>
      </c>
      <c r="DJ56" s="301"/>
      <c r="DK56" s="301"/>
      <c r="DL56" s="301"/>
      <c r="DM56" s="301"/>
      <c r="DN56" s="301"/>
      <c r="DO56" s="301"/>
      <c r="DP56" s="57"/>
      <c r="DQ56" s="13"/>
      <c r="DR56" s="13"/>
      <c r="DS56" s="13"/>
      <c r="DT56" s="13"/>
      <c r="DU56" s="13"/>
      <c r="DV56" s="13"/>
      <c r="DW56" s="13"/>
      <c r="DX56" s="13"/>
      <c r="DY56" s="13"/>
    </row>
    <row r="57" spans="1:129" ht="15" customHeight="1" x14ac:dyDescent="0.2">
      <c r="A57" s="301"/>
      <c r="B57" s="301"/>
      <c r="C57" s="301"/>
      <c r="D57" s="301"/>
      <c r="E57" s="301"/>
      <c r="F57" s="301"/>
      <c r="G57" s="301"/>
      <c r="H57" s="301"/>
      <c r="I57" s="301"/>
      <c r="K57" s="301"/>
      <c r="L57" s="301"/>
      <c r="M57" s="301"/>
      <c r="N57" s="301"/>
      <c r="O57" s="301"/>
      <c r="P57" s="301"/>
      <c r="Q57" s="301"/>
      <c r="R57" s="301"/>
      <c r="S57" s="301"/>
      <c r="T57" s="57"/>
      <c r="U57" s="301"/>
      <c r="V57" s="301"/>
      <c r="W57" s="301"/>
      <c r="X57" s="301"/>
      <c r="Y57" s="301"/>
      <c r="Z57" s="301"/>
      <c r="AA57" s="301"/>
      <c r="AB57" s="301"/>
      <c r="AC57" s="301"/>
      <c r="AE57" s="301"/>
      <c r="AF57" s="301"/>
      <c r="AG57" s="301"/>
      <c r="AH57" s="301"/>
      <c r="AI57" s="301"/>
      <c r="AJ57" s="301"/>
      <c r="AK57" s="301"/>
      <c r="AL57" s="301"/>
      <c r="AM57" s="301"/>
      <c r="AO57" s="301"/>
      <c r="AP57" s="301"/>
      <c r="AQ57" s="301"/>
      <c r="AR57" s="301"/>
      <c r="AS57" s="301"/>
      <c r="AT57" s="301"/>
      <c r="AU57" s="301"/>
      <c r="AV57" s="301"/>
      <c r="AW57" s="301"/>
      <c r="AY57" s="301"/>
      <c r="AZ57" s="301"/>
      <c r="BA57" s="301"/>
      <c r="BB57" s="301"/>
      <c r="BC57" s="301"/>
      <c r="BD57" s="301"/>
      <c r="BE57" s="301"/>
      <c r="BF57" s="301"/>
      <c r="BG57" s="301"/>
      <c r="BI57" s="301"/>
      <c r="BJ57" s="301"/>
      <c r="BK57" s="301"/>
      <c r="BL57" s="301"/>
      <c r="BM57" s="301"/>
      <c r="BN57" s="301"/>
      <c r="BO57" s="301"/>
      <c r="BP57" s="301"/>
      <c r="BQ57" s="301"/>
      <c r="BR57" s="57"/>
      <c r="BS57" s="301"/>
      <c r="BT57" s="301"/>
      <c r="BU57" s="301"/>
      <c r="BV57" s="301"/>
      <c r="BW57" s="301"/>
      <c r="BX57" s="301"/>
      <c r="BY57" s="301"/>
      <c r="BZ57" s="301"/>
      <c r="CA57" s="301"/>
      <c r="CC57" s="301"/>
      <c r="CD57" s="301"/>
      <c r="CE57" s="301"/>
      <c r="CF57" s="301"/>
      <c r="CG57" s="301"/>
      <c r="CH57" s="301"/>
      <c r="CI57" s="301"/>
      <c r="CJ57" s="301"/>
      <c r="CK57" s="301"/>
      <c r="CM57" s="301"/>
      <c r="CN57" s="301"/>
      <c r="CO57" s="301"/>
      <c r="CP57" s="301"/>
      <c r="CQ57" s="301"/>
      <c r="CR57" s="301"/>
      <c r="CS57" s="301"/>
      <c r="CT57" s="301"/>
      <c r="CU57" s="301"/>
      <c r="CW57" s="301"/>
      <c r="CX57" s="301"/>
      <c r="CY57" s="301"/>
      <c r="CZ57" s="301"/>
      <c r="DA57" s="301"/>
      <c r="DB57" s="301"/>
      <c r="DC57" s="301"/>
      <c r="DD57" s="301"/>
      <c r="DE57" s="301"/>
      <c r="DG57" s="301"/>
      <c r="DH57" s="301"/>
      <c r="DI57" s="301"/>
      <c r="DJ57" s="301"/>
      <c r="DK57" s="301"/>
      <c r="DL57" s="301"/>
      <c r="DM57" s="301"/>
      <c r="DN57" s="301"/>
      <c r="DO57" s="301"/>
      <c r="DP57" s="57"/>
      <c r="DQ57" s="13"/>
      <c r="DR57" s="13"/>
      <c r="DS57" s="13"/>
      <c r="DT57" s="13"/>
      <c r="DU57" s="13"/>
      <c r="DV57" s="13"/>
      <c r="DW57" s="13"/>
      <c r="DX57" s="13"/>
      <c r="DY57" s="13"/>
    </row>
    <row r="58" spans="1:129" ht="15" customHeight="1" x14ac:dyDescent="0.2">
      <c r="A58" s="11"/>
      <c r="B58" s="11"/>
      <c r="C58" s="11"/>
      <c r="D58" s="11"/>
      <c r="E58" s="11"/>
      <c r="F58" s="11"/>
      <c r="G58" s="11"/>
      <c r="H58" s="11"/>
      <c r="I58" s="11"/>
      <c r="K58" s="11"/>
      <c r="L58" s="11"/>
      <c r="M58" s="11"/>
      <c r="N58" s="11"/>
      <c r="O58" s="11"/>
      <c r="P58" s="11"/>
      <c r="Q58" s="11"/>
      <c r="R58" s="11"/>
      <c r="S58" s="11"/>
      <c r="U58" s="11"/>
      <c r="V58" s="11"/>
      <c r="W58" s="11"/>
      <c r="X58" s="11"/>
      <c r="Y58" s="11"/>
      <c r="Z58" s="11"/>
      <c r="AA58" s="11"/>
      <c r="AB58" s="11"/>
      <c r="AC58" s="11"/>
      <c r="AE58" s="11"/>
      <c r="AF58" s="11"/>
      <c r="AG58" s="11"/>
      <c r="AH58" s="11"/>
      <c r="AI58" s="11"/>
      <c r="AJ58" s="11"/>
      <c r="AK58" s="11"/>
      <c r="AL58" s="11"/>
      <c r="AM58" s="11"/>
      <c r="AO58" s="11"/>
      <c r="AP58" s="11"/>
      <c r="AQ58" s="11"/>
      <c r="AR58" s="11"/>
      <c r="AS58" s="11"/>
      <c r="AT58" s="11"/>
      <c r="AU58" s="11"/>
      <c r="AV58" s="11"/>
      <c r="AW58" s="11"/>
      <c r="AY58" s="11"/>
      <c r="AZ58" s="11"/>
      <c r="BA58" s="11"/>
      <c r="BB58" s="11"/>
      <c r="BC58" s="11"/>
      <c r="BD58" s="11"/>
      <c r="BE58" s="11"/>
      <c r="BF58" s="11"/>
      <c r="BG58" s="11"/>
      <c r="BI58" s="11"/>
      <c r="BJ58" s="11"/>
      <c r="BK58" s="11"/>
      <c r="BL58" s="11"/>
      <c r="BM58" s="11" t="s">
        <v>630</v>
      </c>
      <c r="BN58" s="11"/>
      <c r="BO58" s="11"/>
      <c r="BP58" s="11"/>
      <c r="BQ58" s="11"/>
      <c r="BR58" s="11"/>
      <c r="BS58" s="11"/>
      <c r="BT58" s="11"/>
      <c r="BU58" s="11"/>
      <c r="BV58" s="11"/>
      <c r="BW58" s="11"/>
      <c r="BX58" s="11"/>
      <c r="BY58" s="11"/>
      <c r="BZ58" s="11"/>
      <c r="CA58" s="11"/>
      <c r="CU58" s="44"/>
      <c r="CV58" s="44"/>
      <c r="DK58" s="11"/>
      <c r="DP58" s="128"/>
      <c r="DQ58" s="128"/>
      <c r="DR58" s="128"/>
      <c r="DS58" s="128"/>
    </row>
    <row r="59" spans="1:129" ht="15" customHeight="1" x14ac:dyDescent="0.2">
      <c r="A59" s="25" t="s">
        <v>631</v>
      </c>
      <c r="K59" s="25" t="s">
        <v>632</v>
      </c>
      <c r="U59" s="337" t="s">
        <v>633</v>
      </c>
      <c r="V59" s="337"/>
      <c r="W59" s="337"/>
      <c r="X59" s="337"/>
      <c r="Y59" s="337"/>
      <c r="Z59" s="337"/>
      <c r="AA59" s="337"/>
      <c r="AB59" s="337"/>
      <c r="AC59" s="337"/>
      <c r="AE59" s="337" t="s">
        <v>633</v>
      </c>
      <c r="AF59" s="337"/>
      <c r="AG59" s="337"/>
      <c r="AH59" s="337"/>
      <c r="AI59" s="337"/>
      <c r="AJ59" s="337"/>
      <c r="AK59" s="337"/>
      <c r="AL59" s="337"/>
      <c r="AM59" s="337"/>
      <c r="AO59" s="337" t="s">
        <v>633</v>
      </c>
      <c r="AP59" s="337"/>
      <c r="AQ59" s="337"/>
      <c r="AR59" s="337"/>
      <c r="AS59" s="337"/>
      <c r="AT59" s="337"/>
      <c r="AU59" s="337"/>
      <c r="AV59" s="337"/>
      <c r="AW59" s="337"/>
      <c r="AY59" s="337" t="s">
        <v>633</v>
      </c>
      <c r="AZ59" s="337"/>
      <c r="BA59" s="337"/>
      <c r="BB59" s="337"/>
      <c r="BC59" s="337"/>
      <c r="BD59" s="337"/>
      <c r="BE59" s="337"/>
      <c r="BF59" s="337"/>
      <c r="BG59" s="337"/>
      <c r="BI59" s="337" t="s">
        <v>633</v>
      </c>
      <c r="BJ59" s="337"/>
      <c r="BK59" s="337"/>
      <c r="BL59" s="337"/>
      <c r="BM59" s="337"/>
      <c r="BN59" s="337"/>
      <c r="BO59" s="337"/>
      <c r="BP59" s="337"/>
      <c r="BQ59" s="337"/>
      <c r="BS59" s="11"/>
      <c r="BT59" s="11"/>
      <c r="BU59" s="11"/>
      <c r="BW59" s="37" t="s">
        <v>634</v>
      </c>
      <c r="BX59" s="128"/>
      <c r="BY59" s="128"/>
      <c r="BZ59" s="128"/>
      <c r="CA59" s="128"/>
      <c r="CB59" s="128"/>
      <c r="CC59" s="128"/>
      <c r="CD59" s="128"/>
      <c r="CE59" s="128"/>
      <c r="CG59" s="37" t="s">
        <v>634</v>
      </c>
      <c r="CH59" s="128"/>
      <c r="CI59" s="128"/>
      <c r="CJ59" s="128"/>
      <c r="CK59" s="128"/>
      <c r="CL59" s="128"/>
      <c r="CM59" s="128"/>
      <c r="CN59" s="128"/>
      <c r="CO59" s="128"/>
      <c r="CQ59" s="37" t="s">
        <v>634</v>
      </c>
      <c r="CR59" s="128"/>
      <c r="CS59" s="128"/>
      <c r="CT59" s="128"/>
      <c r="CU59" s="128"/>
      <c r="CV59" s="128"/>
      <c r="CW59" s="128"/>
      <c r="CX59" s="128"/>
      <c r="CY59" s="128"/>
      <c r="DA59" s="37" t="s">
        <v>634</v>
      </c>
      <c r="DB59" s="128"/>
      <c r="DC59" s="128"/>
      <c r="DD59" s="128"/>
      <c r="DE59" s="128"/>
      <c r="DF59" s="128"/>
      <c r="DG59" s="128"/>
      <c r="DH59" s="128"/>
      <c r="DI59" s="128"/>
      <c r="DK59" s="37" t="s">
        <v>630</v>
      </c>
      <c r="DL59" s="128"/>
      <c r="DM59" s="128"/>
      <c r="DN59" s="128"/>
      <c r="DO59" s="128"/>
    </row>
    <row r="60" spans="1:129" ht="15" customHeight="1" thickBot="1" x14ac:dyDescent="0.25">
      <c r="A60" s="25" t="s">
        <v>635</v>
      </c>
      <c r="J60" s="44"/>
      <c r="K60" s="351" t="s">
        <v>636</v>
      </c>
      <c r="L60" s="351"/>
      <c r="M60" s="351"/>
      <c r="N60" s="351"/>
      <c r="O60" s="351"/>
      <c r="P60" s="351"/>
      <c r="Q60" s="351"/>
      <c r="R60" s="351"/>
      <c r="S60" s="351"/>
      <c r="U60" s="295" t="str" cm="1">
        <f t="array" ref="U60">IF(COUNTIF(AC61:AC80,"BLANK"),"BLANK",IF(OR(SUMPRODUCT(--ISERROR(AC61:AC80))&gt;0,COUNTIF(AC61:AC80,"REJECT")),"REJECT",IF(COUNTIF(AC61:AC80,"CHECK"),"CHECK","EQ")))</f>
        <v>BLANK</v>
      </c>
      <c r="V60" s="295"/>
      <c r="W60" s="295"/>
      <c r="X60" s="295"/>
      <c r="Y60" s="295"/>
      <c r="Z60" s="295"/>
      <c r="AA60" s="295"/>
      <c r="AB60" s="295"/>
      <c r="AC60" s="295"/>
      <c r="AE60" s="295" t="str" cm="1">
        <f t="array" ref="AE60">IF(COUNTIF(AM61:AM80,"BLANK"),"BLANK",IF(OR(SUMPRODUCT(--ISERROR(AM61:AM80))&gt;0,COUNTIF(AM61:AM80,"REJECT")),"REJECT",IF(COUNTIF(AM61:AM80,"CHECK"),"CHECK","EQ")))</f>
        <v>BLANK</v>
      </c>
      <c r="AF60" s="295"/>
      <c r="AG60" s="295"/>
      <c r="AH60" s="295"/>
      <c r="AI60" s="295"/>
      <c r="AJ60" s="295"/>
      <c r="AK60" s="295"/>
      <c r="AL60" s="295"/>
      <c r="AM60" s="295"/>
      <c r="AO60" s="295" t="str" cm="1">
        <f t="array" ref="AO60">IF(COUNTIF(AW61:AW80,"BLANK"),"BLANK",IF(OR(SUMPRODUCT(--ISERROR(AW61:AW80))&gt;0,COUNTIF(AW61:AW80,"REJECT")),"REJECT",IF(COUNTIF(AW61:AW80,"CHECK"),"CHECK","EQ")))</f>
        <v>BLANK</v>
      </c>
      <c r="AP60" s="295"/>
      <c r="AQ60" s="295"/>
      <c r="AR60" s="295"/>
      <c r="AS60" s="295"/>
      <c r="AT60" s="295"/>
      <c r="AU60" s="295"/>
      <c r="AV60" s="295"/>
      <c r="AW60" s="295"/>
      <c r="AY60" s="295" t="str" cm="1">
        <f t="array" ref="AY60">IF(COUNTIF(BG61:BG80,"BLANK"),"BLANK",IF(OR(SUMPRODUCT(--ISERROR(BG61:BG80))&gt;0,COUNTIF(BG61:BG80,"REJECT")),"REJECT",IF(COUNTIF(BG61:BG80,"CHECK"),"CHECK","EQ")))</f>
        <v>BLANK</v>
      </c>
      <c r="AZ60" s="295"/>
      <c r="BA60" s="295"/>
      <c r="BB60" s="295"/>
      <c r="BC60" s="295"/>
      <c r="BD60" s="295"/>
      <c r="BE60" s="295"/>
      <c r="BF60" s="295"/>
      <c r="BG60" s="295"/>
      <c r="BH60" s="44"/>
      <c r="BI60" s="295" t="str" cm="1">
        <f t="array" ref="BI60">IF(COUNTIF(BQ61:BQ80,"BLANK"),"BLANK",IF(OR(SUMPRODUCT(--ISERROR(BQ61:BQ80))&gt;0,COUNTIF(BQ61:BQ80,"REJECT")),"REJECT",IF(COUNTIF(BQ61:BQ80,"CHECK"),"CHECK","EQ")))</f>
        <v>EQ</v>
      </c>
      <c r="BJ60" s="295"/>
      <c r="BK60" s="295"/>
      <c r="BL60" s="295"/>
      <c r="BM60" s="295"/>
      <c r="BN60" s="295"/>
      <c r="BO60" s="295"/>
      <c r="BP60" s="295"/>
      <c r="BQ60" s="295"/>
      <c r="BS60" s="295" t="str">
        <f>IF(COUNTIF(CA63:CA77,"BLANK"),"BLANK",IF(OR(SUMPRODUCT(--ISERROR(CA63:CA77))&gt;0,COUNTIF(CA63:CA77,"REJECT")),"REJECT",IF(COUNTIF(CA63:CA77,"CHECK"),"CHECK","EQ")))</f>
        <v>BLANK</v>
      </c>
      <c r="BT60" s="295"/>
      <c r="BU60" s="295"/>
      <c r="BV60" s="295"/>
      <c r="BW60" s="295"/>
      <c r="BX60" s="295"/>
      <c r="BY60" s="295"/>
      <c r="BZ60" s="295"/>
      <c r="CA60" s="295"/>
      <c r="CC60" s="295" t="str">
        <f>IF(COUNTIF(CK63:CK77,"BLANK"),"BLANK",IF(OR(SUMPRODUCT(--ISERROR(CK63:CK77))&gt;0,COUNTIF(CK63:CK77,"REJECT")),"REJECT",IF(COUNTIF(CK63:CK77,"CHECK"),"CHECK","EQ")))</f>
        <v>BLANK</v>
      </c>
      <c r="CD60" s="295"/>
      <c r="CE60" s="295"/>
      <c r="CF60" s="295"/>
      <c r="CG60" s="295"/>
      <c r="CH60" s="295"/>
      <c r="CI60" s="295"/>
      <c r="CJ60" s="295"/>
      <c r="CK60" s="295"/>
      <c r="CM60" s="295" t="str">
        <f>IF(COUNTIF(CU63:CU77,"BLANK"),"BLANK",IF(OR(SUMPRODUCT(--ISERROR(CU63:CU77))&gt;0,COUNTIF(CU63:CU77,"REJECT")),"REJECT",IF(COUNTIF(CU63:CU77,"CHECK"),"CHECK","EQ")))</f>
        <v>BLANK</v>
      </c>
      <c r="CN60" s="295"/>
      <c r="CO60" s="295"/>
      <c r="CP60" s="295"/>
      <c r="CQ60" s="295"/>
      <c r="CR60" s="295"/>
      <c r="CS60" s="295"/>
      <c r="CT60" s="295"/>
      <c r="CU60" s="295"/>
      <c r="CW60" s="295" t="str">
        <f>IF(COUNTIF(DE63:DE77,"BLANK"),"BLANK",IF(OR(SUMPRODUCT(--ISERROR(DE63:DE77))&gt;0,COUNTIF(DE63:DE77,"REJECT")),"REJECT",IF(COUNTIF(DE63:DE77,"CHECK"),"CHECK","EQ")))</f>
        <v>BLANK</v>
      </c>
      <c r="CX60" s="295"/>
      <c r="CY60" s="295"/>
      <c r="CZ60" s="295"/>
      <c r="DA60" s="295"/>
      <c r="DB60" s="295"/>
      <c r="DC60" s="295"/>
      <c r="DD60" s="295"/>
      <c r="DE60" s="295"/>
      <c r="DG60" s="295" t="str">
        <f>IF(COUNTIF(DO63:DO77,"BLANK"),"BLANK",IF(OR(SUMPRODUCT(--ISERROR(DO63:DO77))&gt;0,COUNTIF(DO63:DO77,"REJECT")),"REJECT",IF(COUNTIF(DO63:DO77,"CHECK"),"CHECK","EQ")))</f>
        <v>EQ</v>
      </c>
      <c r="DH60" s="295"/>
      <c r="DI60" s="295"/>
      <c r="DJ60" s="295"/>
      <c r="DK60" s="295"/>
      <c r="DL60" s="295"/>
      <c r="DM60" s="295"/>
      <c r="DN60" s="295"/>
      <c r="DO60" s="295"/>
    </row>
    <row r="61" spans="1:129" ht="15" customHeight="1" thickBot="1" x14ac:dyDescent="0.25">
      <c r="A61" s="25" t="s">
        <v>637</v>
      </c>
      <c r="J61" s="44"/>
      <c r="K61" s="351"/>
      <c r="L61" s="351"/>
      <c r="M61" s="351"/>
      <c r="N61" s="351"/>
      <c r="O61" s="351"/>
      <c r="P61" s="351"/>
      <c r="Q61" s="351"/>
      <c r="R61" s="351"/>
      <c r="S61" s="351"/>
      <c r="U61" s="11"/>
      <c r="V61" s="11"/>
      <c r="W61" s="11"/>
      <c r="X61" s="11"/>
      <c r="Y61" s="12" t="s">
        <v>638</v>
      </c>
      <c r="Z61" s="11"/>
      <c r="AA61" s="11"/>
      <c r="AB61" s="11"/>
      <c r="AC61" s="11" t="s">
        <v>56</v>
      </c>
      <c r="AE61" s="11"/>
      <c r="AF61" s="11"/>
      <c r="AG61" s="11"/>
      <c r="AH61" s="11"/>
      <c r="AI61" s="12" t="s">
        <v>638</v>
      </c>
      <c r="AJ61" s="11"/>
      <c r="AK61" s="11"/>
      <c r="AL61" s="11"/>
      <c r="AM61" s="11" t="s">
        <v>56</v>
      </c>
      <c r="AO61" s="11"/>
      <c r="AP61" s="11"/>
      <c r="AQ61" s="11"/>
      <c r="AR61" s="11"/>
      <c r="AS61" s="12" t="s">
        <v>638</v>
      </c>
      <c r="AT61" s="11"/>
      <c r="AU61" s="11"/>
      <c r="AV61" s="11"/>
      <c r="AW61" s="11" t="s">
        <v>56</v>
      </c>
      <c r="AY61" s="11"/>
      <c r="AZ61" s="11"/>
      <c r="BA61" s="11"/>
      <c r="BB61" s="11"/>
      <c r="BC61" s="12" t="s">
        <v>638</v>
      </c>
      <c r="BD61" s="11"/>
      <c r="BE61" s="11"/>
      <c r="BF61" s="11"/>
      <c r="BG61" s="11" t="s">
        <v>56</v>
      </c>
      <c r="BH61" s="44"/>
      <c r="BI61" s="11"/>
      <c r="BJ61" s="11"/>
      <c r="BK61" s="11"/>
      <c r="BL61" s="11"/>
      <c r="BM61" s="12" t="s">
        <v>638</v>
      </c>
      <c r="BN61" s="11"/>
      <c r="BO61" s="11"/>
      <c r="BP61" s="11"/>
      <c r="BQ61" s="11" t="s">
        <v>56</v>
      </c>
      <c r="BS61" s="11"/>
      <c r="BT61" s="11"/>
      <c r="BU61" s="11"/>
      <c r="BV61" s="11"/>
      <c r="BW61" s="12"/>
      <c r="BX61" s="32" t="s">
        <v>638</v>
      </c>
      <c r="BY61" s="298"/>
      <c r="BZ61" s="347"/>
      <c r="CA61" s="11" t="str">
        <f>IF(BY61="","BLANK","EQ")</f>
        <v>BLANK</v>
      </c>
      <c r="CC61" s="11"/>
      <c r="CD61" s="11"/>
      <c r="CE61" s="11"/>
      <c r="CF61" s="11"/>
      <c r="CG61" s="12"/>
      <c r="CH61" s="32" t="s">
        <v>638</v>
      </c>
      <c r="CI61" s="298"/>
      <c r="CJ61" s="347"/>
      <c r="CK61" s="11" t="str">
        <f>IF(CI61="","BLANK","EQ")</f>
        <v>BLANK</v>
      </c>
      <c r="CM61" s="11"/>
      <c r="CN61" s="11"/>
      <c r="CO61" s="11"/>
      <c r="CP61" s="11"/>
      <c r="CQ61" s="12"/>
      <c r="CR61" s="32" t="s">
        <v>638</v>
      </c>
      <c r="CS61" s="298"/>
      <c r="CT61" s="347"/>
      <c r="CU61" s="11" t="str">
        <f>IF(CS61="","BLANK","EQ")</f>
        <v>BLANK</v>
      </c>
      <c r="CW61" s="11"/>
      <c r="CX61" s="11"/>
      <c r="CY61" s="11"/>
      <c r="CZ61" s="11"/>
      <c r="DA61" s="12"/>
      <c r="DB61" s="32" t="s">
        <v>638</v>
      </c>
      <c r="DC61" s="298"/>
      <c r="DD61" s="347"/>
      <c r="DE61" s="11" t="str">
        <f>IF(DC61="","BLANK","EQ")</f>
        <v>BLANK</v>
      </c>
      <c r="DG61" s="11"/>
      <c r="DH61" s="11"/>
      <c r="DI61" s="11"/>
      <c r="DJ61" s="11"/>
      <c r="DK61" s="12"/>
      <c r="DL61" s="32" t="s">
        <v>638</v>
      </c>
      <c r="DM61" s="298"/>
      <c r="DN61" s="347"/>
      <c r="DO61" s="11" t="str">
        <f>IF(OR($L$23&lt;40*IF($A$25="mm",1,2.2046),AND($U$22="Corner Attachment",NOT($U$25="None"))),"N/A",IF(DM61="","BLANK","EQ"))</f>
        <v>N/A</v>
      </c>
    </row>
    <row r="62" spans="1:129" ht="15" customHeight="1" thickBot="1" x14ac:dyDescent="0.25">
      <c r="A62" s="12" t="s">
        <v>639</v>
      </c>
      <c r="B62" s="25" t="s">
        <v>640</v>
      </c>
      <c r="C62" s="44"/>
      <c r="D62" s="44"/>
      <c r="E62" s="44"/>
      <c r="F62" s="44"/>
      <c r="G62" s="44"/>
      <c r="H62" s="44"/>
      <c r="I62" s="44"/>
      <c r="J62" s="36"/>
      <c r="K62" s="25" t="s">
        <v>641</v>
      </c>
      <c r="U62" s="80" t="s">
        <v>642</v>
      </c>
      <c r="V62" s="25" t="s">
        <v>643</v>
      </c>
      <c r="AA62" s="16"/>
      <c r="AB62" s="25" t="str">
        <f>IF($A$25="mm","mm","in")</f>
        <v>in</v>
      </c>
      <c r="AC62" s="11" t="str">
        <f>IF(OR(U62="",AA62=""),"BLANK",IF(AND($U$22="Corner Attachment",OR(AND($A$25="mm",AA62&gt;50),AND($A$25="Inch",AA62&gt;1.968))),"REJECT","EQ"))</f>
        <v>BLANK</v>
      </c>
      <c r="AE62" s="80" t="s">
        <v>642</v>
      </c>
      <c r="AF62" s="25" t="s">
        <v>643</v>
      </c>
      <c r="AK62" s="16"/>
      <c r="AL62" s="25" t="str">
        <f>IF($A$25="mm","mm","in")</f>
        <v>in</v>
      </c>
      <c r="AM62" s="11" t="str">
        <f>IF(OR(AE62="",AK62=""),"BLANK",IF(AND($U$22="Corner Attachment",OR(AND($A$25="mm",AK62&gt;50),AND($A$25="Inch",AK62&gt;1.968))),"REJECT","EQ"))</f>
        <v>BLANK</v>
      </c>
      <c r="AO62" s="80" t="s">
        <v>642</v>
      </c>
      <c r="AP62" s="25" t="s">
        <v>643</v>
      </c>
      <c r="AU62" s="16"/>
      <c r="AV62" s="25" t="str">
        <f>IF($A$25="mm","mm","in")</f>
        <v>in</v>
      </c>
      <c r="AW62" s="11" t="str">
        <f>IF(OR(AO62="",AU62=""),"BLANK",IF(AND($U$22="Corner Attachment",OR(AND($A$25="mm",AU62&gt;50),AND($A$25="Inch",AU62&gt;1.968))),"REJECT","EQ"))</f>
        <v>BLANK</v>
      </c>
      <c r="AY62" s="80" t="s">
        <v>642</v>
      </c>
      <c r="AZ62" s="25" t="s">
        <v>643</v>
      </c>
      <c r="BE62" s="16"/>
      <c r="BF62" s="25" t="str">
        <f>IF($A$25="mm","mm","in")</f>
        <v>in</v>
      </c>
      <c r="BG62" s="11" t="str">
        <f>IF(OR(AY62="",BE62=""),"BLANK",IF(AND($U$22="Corner Attachment",OR(AND($A$25="mm",BE62&gt;50),AND($A$25="Inch",BE62&gt;1.968))),"REJECT","EQ"))</f>
        <v>BLANK</v>
      </c>
      <c r="BH62" s="44"/>
      <c r="BI62" s="80" t="s">
        <v>642</v>
      </c>
      <c r="BJ62" s="25" t="s">
        <v>643</v>
      </c>
      <c r="BO62" s="16"/>
      <c r="BP62" s="25" t="str">
        <f>IF($A$25="mm","mm","in")</f>
        <v>in</v>
      </c>
      <c r="BQ62" s="11" t="str">
        <f>IF(OR($L$23&lt;40*IF($A$25="mm",1,2.2046),AND($U$22="Corner Attachment",NOT($U$24="None"))),"N/A",IF(OR(BI62="",BO62=""),"BLANK",IF(AND($U$22="Corner Attachment",OR(AND($A$25="mm",BO62&gt;50),AND($A$25="Inch",BO62&gt;1.968))),"REJECT","EQ")))</f>
        <v>N/A</v>
      </c>
      <c r="BS62" s="11"/>
      <c r="BT62" s="11"/>
      <c r="BU62" s="11"/>
      <c r="BX62" s="11"/>
      <c r="BY62" s="11"/>
      <c r="BZ62" s="15" t="s">
        <v>644</v>
      </c>
      <c r="CA62" s="11" t="s">
        <v>56</v>
      </c>
      <c r="CC62" s="11"/>
      <c r="CD62" s="11"/>
      <c r="CE62" s="11"/>
      <c r="CH62" s="11"/>
      <c r="CI62" s="11"/>
      <c r="CJ62" s="15" t="s">
        <v>644</v>
      </c>
      <c r="CK62" s="11" t="s">
        <v>56</v>
      </c>
      <c r="CM62" s="11"/>
      <c r="CN62" s="11"/>
      <c r="CO62" s="11"/>
      <c r="CR62" s="11"/>
      <c r="CS62" s="11"/>
      <c r="CT62" s="15" t="s">
        <v>644</v>
      </c>
      <c r="CU62" s="11" t="s">
        <v>56</v>
      </c>
      <c r="CW62" s="11"/>
      <c r="CX62" s="11"/>
      <c r="CY62" s="11"/>
      <c r="DB62" s="11"/>
      <c r="DC62" s="11"/>
      <c r="DD62" s="15" t="s">
        <v>644</v>
      </c>
      <c r="DE62" s="11" t="s">
        <v>56</v>
      </c>
      <c r="DG62" s="11"/>
      <c r="DH62" s="11"/>
      <c r="DI62" s="11"/>
      <c r="DL62" s="11"/>
      <c r="DM62" s="11"/>
      <c r="DN62" s="15" t="s">
        <v>644</v>
      </c>
      <c r="DO62" s="11" t="str">
        <f>IF(DO61="N/A","N/A","EQ")</f>
        <v>N/A</v>
      </c>
    </row>
    <row r="63" spans="1:129" ht="15" customHeight="1" thickBot="1" x14ac:dyDescent="0.25">
      <c r="B63" s="44"/>
      <c r="C63" s="44"/>
      <c r="D63" s="44"/>
      <c r="E63" s="44"/>
      <c r="F63" s="44"/>
      <c r="G63" s="44"/>
      <c r="H63" s="44"/>
      <c r="I63" s="44"/>
      <c r="J63" s="36"/>
      <c r="U63" s="80" t="s">
        <v>642</v>
      </c>
      <c r="V63" s="25" t="s">
        <v>645</v>
      </c>
      <c r="Z63" s="15"/>
      <c r="AA63" s="16"/>
      <c r="AB63" s="25" t="str">
        <f>IF($A$25="mm","mm","in")</f>
        <v>in</v>
      </c>
      <c r="AC63" s="11" t="str">
        <f>IF(OR(U63="",AA63=""),"BLANK",IF(AND($U$22="Corner Attachment",OR(AND($A$25="mm",AA63&gt;50),AND($A$25="Inch",AA63&gt;1.968))),"REJECT","EQ"))</f>
        <v>BLANK</v>
      </c>
      <c r="AE63" s="80" t="s">
        <v>642</v>
      </c>
      <c r="AF63" s="25" t="s">
        <v>645</v>
      </c>
      <c r="AK63" s="16"/>
      <c r="AL63" s="25" t="str">
        <f>IF($A$25="mm","mm","in")</f>
        <v>in</v>
      </c>
      <c r="AM63" s="11" t="str">
        <f>IF(OR(AE63="",AK63=""),"BLANK",IF(AND($U$22="Corner Attachment",OR(AND($A$25="mm",AK63&gt;50),AND($A$25="Inch",AK63&gt;1.968))),"REJECT","EQ"))</f>
        <v>BLANK</v>
      </c>
      <c r="AO63" s="80" t="s">
        <v>642</v>
      </c>
      <c r="AP63" s="25" t="s">
        <v>645</v>
      </c>
      <c r="AU63" s="16"/>
      <c r="AV63" s="25" t="str">
        <f>IF($A$25="mm","mm","in")</f>
        <v>in</v>
      </c>
      <c r="AW63" s="11" t="str">
        <f>IF(OR(AO63="",AU63=""),"BLANK",IF(AND($U$22="Corner Attachment",OR(AND($A$25="mm",AU63&gt;50),AND($A$25="Inch",AU63&gt;1.968))),"REJECT","EQ"))</f>
        <v>BLANK</v>
      </c>
      <c r="AY63" s="80" t="s">
        <v>642</v>
      </c>
      <c r="AZ63" s="25" t="s">
        <v>645</v>
      </c>
      <c r="BE63" s="16"/>
      <c r="BF63" s="25" t="str">
        <f>IF($A$25="mm","mm","in")</f>
        <v>in</v>
      </c>
      <c r="BG63" s="11" t="str">
        <f>IF(OR(AY63="",BE63=""),"BLANK",IF(AND($U$22="Corner Attachment",OR(AND($A$25="mm",BE63&gt;50),AND($A$25="Inch",BE63&gt;1.968))),"REJECT","EQ"))</f>
        <v>BLANK</v>
      </c>
      <c r="BH63" s="36"/>
      <c r="BI63" s="80" t="s">
        <v>642</v>
      </c>
      <c r="BJ63" s="25" t="s">
        <v>645</v>
      </c>
      <c r="BO63" s="16"/>
      <c r="BP63" s="25" t="str">
        <f>IF($A$25="mm","mm","in")</f>
        <v>in</v>
      </c>
      <c r="BQ63" s="11" t="str">
        <f>IF(OR($L$23&lt;40*IF($A$25="mm",1,2.2046),AND($U$22="Corner Attachment",NOT($U$24="None"))),"N/A",IF(OR(BI63="",BO63=""),"BLANK",IF(AND($U$22="Corner Attachment",OR(AND($A$25="mm",BO63&gt;50),AND($A$25="Inch",BO63&gt;1.968))),"REJECT","EQ")))</f>
        <v>N/A</v>
      </c>
      <c r="BS63" s="11"/>
      <c r="BX63" s="15" t="s">
        <v>646</v>
      </c>
      <c r="BY63" s="81"/>
      <c r="BZ63" s="25" t="str">
        <f>IF($A$25="mm","mm","in")</f>
        <v>in</v>
      </c>
      <c r="CA63" s="11" t="str">
        <f>IF(BY63="","BLANK","EQ")</f>
        <v>BLANK</v>
      </c>
      <c r="CC63" s="11"/>
      <c r="CH63" s="15" t="s">
        <v>646</v>
      </c>
      <c r="CI63" s="81"/>
      <c r="CJ63" s="25" t="str">
        <f>IF($A$25="mm","mm","in")</f>
        <v>in</v>
      </c>
      <c r="CK63" s="11" t="str">
        <f>IF(CI63="","BLANK","EQ")</f>
        <v>BLANK</v>
      </c>
      <c r="CM63" s="11"/>
      <c r="CR63" s="15" t="s">
        <v>646</v>
      </c>
      <c r="CS63" s="81"/>
      <c r="CT63" s="25" t="str">
        <f>IF($A$25="mm","mm","in")</f>
        <v>in</v>
      </c>
      <c r="CU63" s="11" t="str">
        <f>IF(CS63="","BLANK","EQ")</f>
        <v>BLANK</v>
      </c>
      <c r="CV63" s="44"/>
      <c r="CW63" s="11"/>
      <c r="DB63" s="15" t="s">
        <v>646</v>
      </c>
      <c r="DC63" s="81"/>
      <c r="DD63" s="25" t="str">
        <f>IF($A$25="mm","mm","in")</f>
        <v>in</v>
      </c>
      <c r="DE63" s="11" t="str">
        <f>IF(DC63="","BLANK","EQ")</f>
        <v>BLANK</v>
      </c>
      <c r="DG63" s="11"/>
      <c r="DL63" s="15" t="s">
        <v>646</v>
      </c>
      <c r="DM63" s="81"/>
      <c r="DN63" s="25" t="str">
        <f>IF($A$25="mm","mm","in")</f>
        <v>in</v>
      </c>
      <c r="DO63" s="11" t="str">
        <f>IF(DO61="N/A","N/A",IF(DM63="","BLANK","EQ"))</f>
        <v>N/A</v>
      </c>
    </row>
    <row r="64" spans="1:129" ht="15" customHeight="1" thickBot="1" x14ac:dyDescent="0.25">
      <c r="A64" s="295" t="str">
        <f>IF(COUNTIF(I65:I76,"BLANK"),"BLANK",IF(OR(SUMPRODUCT(--ISERROR(I65:I76))&gt;0,COUNTIF(I65:I76,"REJECT")),"REJECT",IF(COUNTIF(I65:I76,"CHECK"),"CHECK","EQ")))</f>
        <v>BLANK</v>
      </c>
      <c r="B64" s="295"/>
      <c r="C64" s="295"/>
      <c r="D64" s="295"/>
      <c r="E64" s="295"/>
      <c r="F64" s="295"/>
      <c r="G64" s="295"/>
      <c r="H64" s="295"/>
      <c r="I64" s="295"/>
      <c r="J64" s="36"/>
      <c r="K64" s="295" t="str">
        <f>IF(COUNTIF(S65:S66,"BLANK"),"BLANK",IF(OR(SUMPRODUCT(--ISERROR(S65:S66))&gt;0,COUNTIF(S65:S66,"REJECT")),"REJECT",IF(COUNTIF(S65:S66,"CHECK"),"CHECK","EQ")))</f>
        <v>BLANK</v>
      </c>
      <c r="L64" s="295"/>
      <c r="M64" s="295"/>
      <c r="N64" s="295"/>
      <c r="O64" s="295"/>
      <c r="P64" s="295"/>
      <c r="Q64" s="295"/>
      <c r="R64" s="295"/>
      <c r="S64" s="295"/>
      <c r="U64" s="80" t="s">
        <v>642</v>
      </c>
      <c r="V64" s="25" t="s">
        <v>647</v>
      </c>
      <c r="AA64" s="16"/>
      <c r="AB64" s="25" t="str">
        <f>IF($A$25="mm","mm","in")</f>
        <v>in</v>
      </c>
      <c r="AC64" s="11" t="str">
        <f>IF(OR(U64="",AA64=""),"BLANK",IF(AND($U$22="Corner Attachment",OR(AND($A$25="mm",AA64&gt;50),AND($A$25="Inch",AA64&gt;1.968))),"REJECT","EQ"))</f>
        <v>BLANK</v>
      </c>
      <c r="AE64" s="80" t="s">
        <v>642</v>
      </c>
      <c r="AF64" s="25" t="s">
        <v>647</v>
      </c>
      <c r="AK64" s="16"/>
      <c r="AL64" s="25" t="str">
        <f>IF($A$25="mm","mm","in")</f>
        <v>in</v>
      </c>
      <c r="AM64" s="11" t="str">
        <f>IF(OR(AE64="",AK64=""),"BLANK",IF(AND($U$22="Corner Attachment",OR(AND($A$25="mm",AK64&gt;50),AND($A$25="Inch",AK64&gt;1.968))),"REJECT","EQ"))</f>
        <v>BLANK</v>
      </c>
      <c r="AO64" s="80" t="s">
        <v>642</v>
      </c>
      <c r="AP64" s="25" t="s">
        <v>647</v>
      </c>
      <c r="AU64" s="16"/>
      <c r="AV64" s="25" t="str">
        <f>IF($A$25="mm","mm","in")</f>
        <v>in</v>
      </c>
      <c r="AW64" s="11" t="str">
        <f>IF(OR(AO64="",AU64=""),"BLANK",IF(AND($U$22="Corner Attachment",OR(AND($A$25="mm",AU64&gt;50),AND($A$25="Inch",AU64&gt;1.968))),"REJECT","EQ"))</f>
        <v>BLANK</v>
      </c>
      <c r="AY64" s="80" t="s">
        <v>642</v>
      </c>
      <c r="AZ64" s="25" t="s">
        <v>647</v>
      </c>
      <c r="BE64" s="16"/>
      <c r="BF64" s="25" t="str">
        <f>IF($A$25="mm","mm","in")</f>
        <v>in</v>
      </c>
      <c r="BG64" s="11" t="str">
        <f>IF(OR(AY64="",BE64=""),"BLANK",IF(AND($U$22="Corner Attachment",OR(AND($A$25="mm",BE64&gt;50),AND($A$25="Inch",BE64&gt;1.968))),"REJECT","EQ"))</f>
        <v>BLANK</v>
      </c>
      <c r="BH64" s="36"/>
      <c r="BI64" s="80" t="s">
        <v>642</v>
      </c>
      <c r="BJ64" s="25" t="s">
        <v>647</v>
      </c>
      <c r="BO64" s="16"/>
      <c r="BP64" s="25" t="str">
        <f>IF($A$25="mm","mm","in")</f>
        <v>in</v>
      </c>
      <c r="BQ64" s="11" t="str">
        <f>IF(OR($L$23&lt;40*IF($A$25="mm",1,2.2046),AND($U$22="Corner Attachment",NOT($U$24="None"))),"N/A",IF(OR(BI64="",BO64=""),"BLANK",IF(AND($U$22="Corner Attachment",OR(AND($A$25="mm",BO64&gt;50),AND($A$25="Inch",BO64&gt;1.968))),"REJECT","EQ")))</f>
        <v>N/A</v>
      </c>
      <c r="BX64" s="15" t="str">
        <f>IF(BY61="Centerline Inserts","Centerline mounts F.3.4.3 use unwelded properties:","Mount material (Composite skin for internal hardpoint):")</f>
        <v>Mount material (Composite skin for internal hardpoint):</v>
      </c>
      <c r="BY64" s="342"/>
      <c r="BZ64" s="343"/>
      <c r="CA64" s="11" t="str">
        <f>IF(AND(BY63=0,NOT(BY61="Offset Mounts")),"N/A",
IF(AND(BY63&gt;0,BY111="Welded",ISNUMBER(SEARCH("Unwelded",BY64))),"REJECT","EQ"))</f>
        <v>N/A</v>
      </c>
      <c r="CH64" s="15" t="str">
        <f>IF(CI61="Centerline Inserts","Centerline mounts F.3.4.3 use unwelded properties:","Mount material (Composite skin for internal hardpoint):")</f>
        <v>Mount material (Composite skin for internal hardpoint):</v>
      </c>
      <c r="CI64" s="342"/>
      <c r="CJ64" s="343"/>
      <c r="CK64" s="11" t="str">
        <f>IF(AND(CI63=0,NOT(CI61="Offset Mounts")),"N/A",
IF(AND(CI63&gt;0,CI111="Welded",ISNUMBER(SEARCH("Unwelded",CI64))),"REJECT","EQ"))</f>
        <v>N/A</v>
      </c>
      <c r="CR64" s="15" t="str">
        <f>IF(CS61="Centerline Inserts","Centerline mounts F.3.4.3 use unwelded properties:","Mount material (Composite skin for internal hardpoint):")</f>
        <v>Mount material (Composite skin for internal hardpoint):</v>
      </c>
      <c r="CS64" s="342"/>
      <c r="CT64" s="343"/>
      <c r="CU64" s="11" t="str">
        <f>IF(AND(CS63=0,NOT(CS61="Offset Mounts")),"N/A",
IF(AND(CS63&gt;0,CS111="Welded",ISNUMBER(SEARCH("Unwelded",CS64))),"REJECT","EQ"))</f>
        <v>N/A</v>
      </c>
      <c r="DB64" s="15" t="str">
        <f>IF(DC61="Centerline Inserts","Centerline mounts F.3.4.3 use unwelded properties:","Mount material (Composite skin for internal hardpoint):")</f>
        <v>Mount material (Composite skin for internal hardpoint):</v>
      </c>
      <c r="DC64" s="342"/>
      <c r="DD64" s="343"/>
      <c r="DE64" s="11" t="str">
        <f>IF(AND(DC63=0,NOT(DC61="Offset Mounts")),"N/A",
IF(AND(DC63&gt;0,DC111="Welded",ISNUMBER(SEARCH("Unwelded",DC64))),"REJECT","EQ"))</f>
        <v>N/A</v>
      </c>
      <c r="DL64" s="15" t="str">
        <f>IF(DM61="Centerline Inserts","Centerline mounts F.3.4.3 use unwelded properties:","Mount material (Composite skin for internal hardpoint):")</f>
        <v>Mount material (Composite skin for internal hardpoint):</v>
      </c>
      <c r="DM64" s="342"/>
      <c r="DN64" s="343"/>
      <c r="DO64" s="11" t="str">
        <f>IF(OR(DO61="N/A",AND(DM63=0,NOT(DM61="Offset Mounts"))),"N/A",
IF(AND(DM63&gt;0,DM111="Welded",ISNUMBER(SEARCH("Unwelded",DM64))),"REJECT","EQ"))</f>
        <v>N/A</v>
      </c>
    </row>
    <row r="65" spans="1:119" ht="15" customHeight="1" thickBot="1" x14ac:dyDescent="0.25">
      <c r="A65" s="35"/>
      <c r="B65" s="15"/>
      <c r="C65" s="15"/>
      <c r="D65" s="11"/>
      <c r="E65" s="11"/>
      <c r="F65" s="15" t="s">
        <v>648</v>
      </c>
      <c r="G65" s="298"/>
      <c r="H65" s="300"/>
      <c r="I65" s="11" t="str">
        <f t="shared" ref="I65:I70" si="2">IF(G65="","BLANK","EQ")</f>
        <v>BLANK</v>
      </c>
      <c r="J65" s="36"/>
      <c r="K65" s="12" t="s">
        <v>649</v>
      </c>
      <c r="L65" s="298"/>
      <c r="M65" s="299"/>
      <c r="N65" s="299"/>
      <c r="O65" s="299"/>
      <c r="P65" s="299"/>
      <c r="Q65" s="299"/>
      <c r="R65" s="300"/>
      <c r="S65" s="11" t="str">
        <f>IF(L65="","BLANK","EQ")</f>
        <v>BLANK</v>
      </c>
      <c r="U65" s="12" t="str">
        <f>IF($U$22="Corner Attachment","F.10.5.6.b","")</f>
        <v/>
      </c>
      <c r="Z65" s="15" t="s">
        <v>650</v>
      </c>
      <c r="AA65" s="11">
        <f>SQRT(IF(U62="Outside",1,0)*AA62^2+IF(U63="Outside",1,0)*AA63^2+IF(U64="Outside",1,0)*AA64^2)</f>
        <v>0</v>
      </c>
      <c r="AB65" s="25" t="str">
        <f>IF($A$25="mm","mm","in")</f>
        <v>in</v>
      </c>
      <c r="AC65" s="11" t="s">
        <v>56</v>
      </c>
      <c r="AE65" s="12" t="str">
        <f>IF($U$22="Corner Attachment","F.10.5.6.b","")</f>
        <v/>
      </c>
      <c r="AF65" s="25"/>
      <c r="AJ65" s="15" t="s">
        <v>650</v>
      </c>
      <c r="AK65" s="11">
        <f>SQRT(IF(AE62="Outside",1,0)*AK62^2+IF(AE63="Outside",1,0)*AK63^2+IF(AE64="Outside",1,0)*AK64^2)</f>
        <v>0</v>
      </c>
      <c r="AL65" s="25" t="str">
        <f>IF($A$25="mm","mm","in")</f>
        <v>in</v>
      </c>
      <c r="AM65" s="11" t="s">
        <v>56</v>
      </c>
      <c r="AO65" s="12" t="str">
        <f>IF($U$22="Corner Attachment","F.10.5.6.b","")</f>
        <v/>
      </c>
      <c r="AT65" s="15" t="s">
        <v>650</v>
      </c>
      <c r="AU65" s="11">
        <f>SQRT(IF(AO62="Outside",1,0)*AU62^2+IF(AO63="Outside",1,0)*AU63^2+IF(AO64="Outside",1,0)*AU64^2)</f>
        <v>0</v>
      </c>
      <c r="AV65" s="25" t="str">
        <f>IF($A$25="mm","mm","in")</f>
        <v>in</v>
      </c>
      <c r="AW65" s="11" t="s">
        <v>56</v>
      </c>
      <c r="AY65" s="12" t="str">
        <f>IF($U$22="Corner Attachment","F.10.5.6.b","")</f>
        <v/>
      </c>
      <c r="BD65" s="15" t="s">
        <v>650</v>
      </c>
      <c r="BE65" s="11">
        <f>SQRT(IF(AY62="Outside",1,0)*BE62^2+IF(AY63="Outside",1,0)*BE63^2+IF(AY64="Outside",1,0)*BE64^2)</f>
        <v>0</v>
      </c>
      <c r="BF65" s="25" t="str">
        <f>IF($A$25="mm","mm","in")</f>
        <v>in</v>
      </c>
      <c r="BG65" s="11" t="s">
        <v>56</v>
      </c>
      <c r="BH65" s="36"/>
      <c r="BI65" s="12" t="str">
        <f>IF($U$22="Corner Attachment","F.10.5.6.b","")</f>
        <v/>
      </c>
      <c r="BN65" s="15" t="s">
        <v>650</v>
      </c>
      <c r="BO65" s="11">
        <f>SQRT(IF(BI62="Outside",1,0)*BO62^2+IF(BI63="Outside",1,0)*BO63^2+IF(BI64="Outside",1,0)*BO64^2)</f>
        <v>0</v>
      </c>
      <c r="BP65" s="25" t="str">
        <f>IF($A$25="mm","mm","in")</f>
        <v>in</v>
      </c>
      <c r="BQ65" s="11" t="str">
        <f>IF(OR($L$23&lt;40*IF($A$25="mm",1,2.2046),AND($U$22="Corner Attachment",NOT($U$24="None"))),"N/A","EQ")</f>
        <v>N/A</v>
      </c>
      <c r="BT65" s="12"/>
      <c r="BU65" s="307" t="s">
        <v>651</v>
      </c>
      <c r="BV65" s="307"/>
      <c r="BW65" s="307"/>
      <c r="BX65" s="307"/>
      <c r="BY65" s="26" t="e">
        <f>INDEX($G$3:$G$19,MATCH(BY64,$E$3:$E$19,0))</f>
        <v>#N/A</v>
      </c>
      <c r="BZ65" s="25" t="str">
        <f>IF($A$25="mm","Pa","psi")</f>
        <v>psi</v>
      </c>
      <c r="CA65" s="11" t="str">
        <f>IF(CA64="N/A","N/A","EQ")</f>
        <v>N/A</v>
      </c>
      <c r="CD65" s="12"/>
      <c r="CE65" s="307" t="s">
        <v>651</v>
      </c>
      <c r="CF65" s="307"/>
      <c r="CG65" s="307"/>
      <c r="CH65" s="307"/>
      <c r="CI65" s="26" t="e">
        <f>INDEX($G$3:$G$19,MATCH(CI64,$E$3:$E$19,0))</f>
        <v>#N/A</v>
      </c>
      <c r="CJ65" s="25" t="str">
        <f>IF($A$25="mm","Pa","psi")</f>
        <v>psi</v>
      </c>
      <c r="CK65" s="11" t="str">
        <f>IF(CK64="N/A","N/A","EQ")</f>
        <v>N/A</v>
      </c>
      <c r="CN65" s="12"/>
      <c r="CO65" s="307" t="s">
        <v>651</v>
      </c>
      <c r="CP65" s="307"/>
      <c r="CQ65" s="307"/>
      <c r="CR65" s="307"/>
      <c r="CS65" s="26" t="e">
        <f>INDEX($G$3:$G$19,MATCH(CS64,$E$3:$E$19,0))</f>
        <v>#N/A</v>
      </c>
      <c r="CT65" s="25" t="str">
        <f>IF($A$25="mm","Pa","psi")</f>
        <v>psi</v>
      </c>
      <c r="CU65" s="11" t="str">
        <f>IF(CU64="N/A","N/A","EQ")</f>
        <v>N/A</v>
      </c>
      <c r="CX65" s="12"/>
      <c r="CY65" s="307" t="s">
        <v>651</v>
      </c>
      <c r="CZ65" s="307"/>
      <c r="DA65" s="307"/>
      <c r="DB65" s="307"/>
      <c r="DC65" s="26" t="e">
        <f>INDEX($G$3:$G$19,MATCH(DC64,$E$3:$E$19,0))</f>
        <v>#N/A</v>
      </c>
      <c r="DD65" s="25" t="str">
        <f>IF($A$25="mm","Pa","psi")</f>
        <v>psi</v>
      </c>
      <c r="DE65" s="11" t="str">
        <f>IF(DE64="N/A","N/A","EQ")</f>
        <v>N/A</v>
      </c>
      <c r="DH65" s="12"/>
      <c r="DI65" s="307" t="s">
        <v>651</v>
      </c>
      <c r="DJ65" s="307"/>
      <c r="DK65" s="307"/>
      <c r="DL65" s="307"/>
      <c r="DM65" s="26" t="e">
        <f>INDEX($G$3:$G$19,MATCH(DM64,$E$3:$E$19,0))</f>
        <v>#N/A</v>
      </c>
      <c r="DN65" s="25" t="str">
        <f>IF($A$25="mm","Pa","psi")</f>
        <v>psi</v>
      </c>
      <c r="DO65" s="11" t="str">
        <f>IF(DO64="N/A","N/A","EQ")</f>
        <v>N/A</v>
      </c>
    </row>
    <row r="66" spans="1:119" ht="15" customHeight="1" thickBot="1" x14ac:dyDescent="0.25">
      <c r="A66" s="35"/>
      <c r="B66" s="15"/>
      <c r="C66" s="15"/>
      <c r="D66" s="11"/>
      <c r="E66" s="11"/>
      <c r="F66" s="15" t="s">
        <v>652</v>
      </c>
      <c r="G66" s="79"/>
      <c r="H66" s="25" t="s">
        <v>653</v>
      </c>
      <c r="I66" s="11" t="str">
        <f t="shared" si="2"/>
        <v>BLANK</v>
      </c>
      <c r="J66" s="36"/>
      <c r="O66" s="12" t="s">
        <v>654</v>
      </c>
      <c r="Z66" s="15" t="s">
        <v>655</v>
      </c>
      <c r="AA66" s="342"/>
      <c r="AB66" s="343"/>
      <c r="AC66" s="11" t="str">
        <f>IF(AND(AA65&gt;0,AA100="Welded",ISNUMBER(SEARCH("Unwelded",AA66))),"REJECT","EQ")</f>
        <v>EQ</v>
      </c>
      <c r="AE66" s="25"/>
      <c r="AF66" s="25"/>
      <c r="AJ66" s="15" t="s">
        <v>655</v>
      </c>
      <c r="AK66" s="342"/>
      <c r="AL66" s="343"/>
      <c r="AM66" s="11" t="str">
        <f>IF(AND(AK65&gt;0,AK100="Welded",ISNUMBER(SEARCH("Unwelded",AK66))),"REJECT","EQ")</f>
        <v>EQ</v>
      </c>
      <c r="AN66" s="36"/>
      <c r="AT66" s="15" t="s">
        <v>655</v>
      </c>
      <c r="AU66" s="342"/>
      <c r="AV66" s="343"/>
      <c r="AW66" s="11" t="str">
        <f>IF(AND(AU65&gt;0,AU100="Welded",ISNUMBER(SEARCH("Unwelded",AU66))),"REJECT","EQ")</f>
        <v>EQ</v>
      </c>
      <c r="BD66" s="15" t="s">
        <v>655</v>
      </c>
      <c r="BE66" s="342"/>
      <c r="BF66" s="343"/>
      <c r="BG66" s="11" t="str">
        <f>IF(AND(BE65&gt;0,BE100="Welded",ISNUMBER(SEARCH("Unwelded",BE66))),"REJECT","EQ")</f>
        <v>EQ</v>
      </c>
      <c r="BH66" s="36"/>
      <c r="BN66" s="15" t="s">
        <v>655</v>
      </c>
      <c r="BO66" s="342"/>
      <c r="BP66" s="343"/>
      <c r="BQ66" s="11" t="str">
        <f>IF(OR($L$23&lt;40*IF($A$25="mm",1,2.2046),AND($U$22="Corner Attachment",NOT($U$24="None"))),"N/A",IF(AND(BO65&gt;0,BO100="Welded",ISNUMBER(SEARCH("Unwelded",BO66))),"REJECT","EQ"))</f>
        <v>N/A</v>
      </c>
      <c r="BS66" s="168"/>
      <c r="BT66" s="307" t="s">
        <v>656</v>
      </c>
      <c r="BU66" s="307"/>
      <c r="BV66" s="307"/>
      <c r="BW66" s="307"/>
      <c r="BX66" s="307"/>
      <c r="BY66" s="26" t="e">
        <f>INDEX($I$3:$I$19,MATCH(BY64,$E$3:$E$19,0))</f>
        <v>#N/A</v>
      </c>
      <c r="BZ66" s="25" t="str">
        <f>IF($A$25="mm","Pa","psi")</f>
        <v>psi</v>
      </c>
      <c r="CA66" s="11" t="str">
        <f>IF(CA64="N/A","N/A","EQ")</f>
        <v>N/A</v>
      </c>
      <c r="CC66" s="168"/>
      <c r="CD66" s="307" t="s">
        <v>656</v>
      </c>
      <c r="CE66" s="307"/>
      <c r="CF66" s="307"/>
      <c r="CG66" s="307"/>
      <c r="CH66" s="307"/>
      <c r="CI66" s="26" t="e">
        <f>INDEX($I$3:$I$19,MATCH(CI64,$E$3:$E$19,0))</f>
        <v>#N/A</v>
      </c>
      <c r="CJ66" s="25" t="str">
        <f>IF($A$25="mm","Pa","psi")</f>
        <v>psi</v>
      </c>
      <c r="CK66" s="11" t="str">
        <f>IF(CK64="N/A","N/A","EQ")</f>
        <v>N/A</v>
      </c>
      <c r="CM66" s="168"/>
      <c r="CN66" s="307" t="s">
        <v>656</v>
      </c>
      <c r="CO66" s="307"/>
      <c r="CP66" s="307"/>
      <c r="CQ66" s="307"/>
      <c r="CR66" s="307"/>
      <c r="CS66" s="26" t="e">
        <f>INDEX($I$3:$I$19,MATCH(CS64,$E$3:$E$19,0))</f>
        <v>#N/A</v>
      </c>
      <c r="CT66" s="25" t="str">
        <f>IF($A$25="mm","Pa","psi")</f>
        <v>psi</v>
      </c>
      <c r="CU66" s="11" t="str">
        <f>IF(CU64="N/A","N/A","EQ")</f>
        <v>N/A</v>
      </c>
      <c r="CW66" s="168"/>
      <c r="CX66" s="307" t="s">
        <v>656</v>
      </c>
      <c r="CY66" s="307"/>
      <c r="CZ66" s="307"/>
      <c r="DA66" s="307"/>
      <c r="DB66" s="307"/>
      <c r="DC66" s="26" t="e">
        <f>INDEX($I$3:$I$19,MATCH(DC64,$E$3:$E$19,0))</f>
        <v>#N/A</v>
      </c>
      <c r="DD66" s="25" t="str">
        <f>IF($A$25="mm","Pa","psi")</f>
        <v>psi</v>
      </c>
      <c r="DE66" s="11" t="str">
        <f>IF(DE64="N/A","N/A","EQ")</f>
        <v>N/A</v>
      </c>
      <c r="DG66" s="168"/>
      <c r="DH66" s="307" t="s">
        <v>656</v>
      </c>
      <c r="DI66" s="307"/>
      <c r="DJ66" s="307"/>
      <c r="DK66" s="307"/>
      <c r="DL66" s="307"/>
      <c r="DM66" s="26" t="e">
        <f>INDEX($I$3:$I$19,MATCH(DM64,$E$3:$E$19,0))</f>
        <v>#N/A</v>
      </c>
      <c r="DN66" s="25" t="str">
        <f>IF($A$25="mm","Pa","psi")</f>
        <v>psi</v>
      </c>
      <c r="DO66" s="11" t="str">
        <f>IF(DO64="N/A","N/A","EQ")</f>
        <v>N/A</v>
      </c>
    </row>
    <row r="67" spans="1:119" ht="15" customHeight="1" x14ac:dyDescent="0.2">
      <c r="A67" s="35"/>
      <c r="B67" s="15"/>
      <c r="C67" s="15"/>
      <c r="D67" s="11"/>
      <c r="E67" s="11"/>
      <c r="F67" s="15" t="s">
        <v>657</v>
      </c>
      <c r="G67" s="79"/>
      <c r="H67" s="25" t="s">
        <v>658</v>
      </c>
      <c r="I67" s="11" t="str">
        <f t="shared" si="2"/>
        <v>BLANK</v>
      </c>
      <c r="K67" s="124"/>
      <c r="L67" s="15"/>
      <c r="M67" s="15"/>
      <c r="N67" s="15"/>
      <c r="O67" s="15"/>
      <c r="Q67" s="126"/>
      <c r="R67" s="127"/>
      <c r="S67" s="128"/>
      <c r="V67" s="12"/>
      <c r="W67" s="307" t="s">
        <v>651</v>
      </c>
      <c r="X67" s="307"/>
      <c r="Y67" s="307"/>
      <c r="Z67" s="307"/>
      <c r="AA67" s="26" t="e">
        <f>INDEX($G$3:$G$19,MATCH(AA66,$E$3:$E$19,0))</f>
        <v>#N/A</v>
      </c>
      <c r="AB67" s="25" t="str">
        <f>IF($A$25="mm","Pa","psi")</f>
        <v>psi</v>
      </c>
      <c r="AC67" s="11" t="s">
        <v>56</v>
      </c>
      <c r="AE67" s="25"/>
      <c r="AF67" s="12"/>
      <c r="AG67" s="307" t="s">
        <v>651</v>
      </c>
      <c r="AH67" s="307"/>
      <c r="AI67" s="307"/>
      <c r="AJ67" s="307"/>
      <c r="AK67" s="26" t="e">
        <f>INDEX($G$3:$G$19,MATCH(AK66,$E$3:$E$19,0))</f>
        <v>#N/A</v>
      </c>
      <c r="AL67" s="25" t="str">
        <f>IF($A$25="mm","Pa","psi")</f>
        <v>psi</v>
      </c>
      <c r="AM67" s="11" t="s">
        <v>56</v>
      </c>
      <c r="AN67" s="36"/>
      <c r="AP67" s="12"/>
      <c r="AQ67" s="307" t="s">
        <v>651</v>
      </c>
      <c r="AR67" s="307"/>
      <c r="AS67" s="307"/>
      <c r="AT67" s="307"/>
      <c r="AU67" s="26" t="e">
        <f>INDEX($G$3:$G$19,MATCH(AU66,$E$3:$E$19,0))</f>
        <v>#N/A</v>
      </c>
      <c r="AV67" s="25" t="str">
        <f>IF($A$25="mm","Pa","psi")</f>
        <v>psi</v>
      </c>
      <c r="AW67" s="11" t="s">
        <v>56</v>
      </c>
      <c r="AZ67" s="12"/>
      <c r="BA67" s="307" t="s">
        <v>651</v>
      </c>
      <c r="BB67" s="307"/>
      <c r="BC67" s="307"/>
      <c r="BD67" s="307"/>
      <c r="BE67" s="26" t="e">
        <f>INDEX($G$3:$G$19,MATCH(BE66,$E$3:$E$19,0))</f>
        <v>#N/A</v>
      </c>
      <c r="BF67" s="25" t="str">
        <f>IF($A$25="mm","Pa","psi")</f>
        <v>psi</v>
      </c>
      <c r="BG67" s="11" t="s">
        <v>56</v>
      </c>
      <c r="BH67" s="36"/>
      <c r="BJ67" s="12"/>
      <c r="BK67" s="307" t="s">
        <v>651</v>
      </c>
      <c r="BL67" s="307"/>
      <c r="BM67" s="307"/>
      <c r="BN67" s="307"/>
      <c r="BO67" s="26" t="e">
        <f>INDEX($G$3:$G$19,MATCH(BO66,$E$3:$E$19,0))</f>
        <v>#N/A</v>
      </c>
      <c r="BP67" s="25" t="str">
        <f>IF($A$25="mm","Pa","psi")</f>
        <v>psi</v>
      </c>
      <c r="BQ67" s="11" t="str">
        <f>IF(OR($L$23&lt;40*IF($A$25="mm",1,2.2046),AND($U$22="Corner Attachment",NOT($U$24="None"))),"N/A","EQ")</f>
        <v>N/A</v>
      </c>
      <c r="BS67" s="35"/>
      <c r="BT67" s="124"/>
      <c r="BU67" s="307" t="s">
        <v>659</v>
      </c>
      <c r="BV67" s="307"/>
      <c r="BW67" s="307"/>
      <c r="BX67" s="307"/>
      <c r="BY67" s="26" t="e">
        <f>INDEX($K$3:$K$19,MATCH(BY64,$E$3:$E$19,0))</f>
        <v>#N/A</v>
      </c>
      <c r="BZ67" s="25" t="str">
        <f>IF($A$25="mm","Pa","psi")</f>
        <v>psi</v>
      </c>
      <c r="CA67" s="11" t="str">
        <f>IF(CA64="N/A","N/A","EQ")</f>
        <v>N/A</v>
      </c>
      <c r="CC67" s="35"/>
      <c r="CD67" s="124"/>
      <c r="CE67" s="307" t="s">
        <v>659</v>
      </c>
      <c r="CF67" s="307"/>
      <c r="CG67" s="307"/>
      <c r="CH67" s="307"/>
      <c r="CI67" s="26" t="e">
        <f>INDEX($K$3:$K$19,MATCH(CI64,$E$3:$E$19,0))</f>
        <v>#N/A</v>
      </c>
      <c r="CJ67" s="25" t="str">
        <f>IF($A$25="mm","Pa","psi")</f>
        <v>psi</v>
      </c>
      <c r="CK67" s="11" t="str">
        <f>IF(CK64="N/A","N/A","EQ")</f>
        <v>N/A</v>
      </c>
      <c r="CM67" s="35"/>
      <c r="CN67" s="124"/>
      <c r="CO67" s="307" t="s">
        <v>659</v>
      </c>
      <c r="CP67" s="307"/>
      <c r="CQ67" s="307"/>
      <c r="CR67" s="307"/>
      <c r="CS67" s="26" t="e">
        <f>INDEX($K$3:$K$19,MATCH(CS64,$E$3:$E$19,0))</f>
        <v>#N/A</v>
      </c>
      <c r="CT67" s="25" t="str">
        <f>IF($A$25="mm","Pa","psi")</f>
        <v>psi</v>
      </c>
      <c r="CU67" s="11" t="str">
        <f>IF(CU64="N/A","N/A","EQ")</f>
        <v>N/A</v>
      </c>
      <c r="CW67" s="35"/>
      <c r="CX67" s="124"/>
      <c r="CY67" s="307" t="s">
        <v>659</v>
      </c>
      <c r="CZ67" s="307"/>
      <c r="DA67" s="307"/>
      <c r="DB67" s="307"/>
      <c r="DC67" s="26" t="e">
        <f>INDEX($K$3:$K$19,MATCH(DC64,$E$3:$E$19,0))</f>
        <v>#N/A</v>
      </c>
      <c r="DD67" s="25" t="str">
        <f>IF($A$25="mm","Pa","psi")</f>
        <v>psi</v>
      </c>
      <c r="DE67" s="11" t="str">
        <f>IF(DE64="N/A","N/A","EQ")</f>
        <v>N/A</v>
      </c>
      <c r="DG67" s="35"/>
      <c r="DH67" s="124"/>
      <c r="DI67" s="307" t="s">
        <v>659</v>
      </c>
      <c r="DJ67" s="307"/>
      <c r="DK67" s="307"/>
      <c r="DL67" s="307"/>
      <c r="DM67" s="26" t="e">
        <f>INDEX($K$3:$K$19,MATCH(DM64,$E$3:$E$19,0))</f>
        <v>#N/A</v>
      </c>
      <c r="DN67" s="25" t="str">
        <f>IF($A$25="mm","Pa","psi")</f>
        <v>psi</v>
      </c>
      <c r="DO67" s="11" t="str">
        <f>IF(DO64="N/A","N/A","EQ")</f>
        <v>N/A</v>
      </c>
    </row>
    <row r="68" spans="1:119" ht="15" customHeight="1" x14ac:dyDescent="0.2">
      <c r="A68" s="35"/>
      <c r="B68" s="15"/>
      <c r="C68" s="15"/>
      <c r="D68" s="11"/>
      <c r="E68" s="11"/>
      <c r="F68" s="15" t="s">
        <v>660</v>
      </c>
      <c r="G68" s="16"/>
      <c r="H68" s="25" t="s">
        <v>661</v>
      </c>
      <c r="I68" s="11" t="str">
        <f t="shared" si="2"/>
        <v>BLANK</v>
      </c>
      <c r="K68" s="12" t="s">
        <v>662</v>
      </c>
      <c r="L68" s="37"/>
      <c r="M68" s="37"/>
      <c r="N68" s="37"/>
      <c r="O68" s="37" t="s">
        <v>663</v>
      </c>
      <c r="P68" s="37"/>
      <c r="Q68" s="37"/>
      <c r="R68" s="37"/>
      <c r="S68" s="37"/>
      <c r="U68" s="168"/>
      <c r="V68" s="307" t="s">
        <v>656</v>
      </c>
      <c r="W68" s="307"/>
      <c r="X68" s="307"/>
      <c r="Y68" s="307"/>
      <c r="Z68" s="307"/>
      <c r="AA68" s="26" t="e">
        <f>INDEX($I$3:$I$19,MATCH(AA66,$E$3:$E$19,0))</f>
        <v>#N/A</v>
      </c>
      <c r="AB68" s="25" t="str">
        <f>IF($A$25="mm","Pa","psi")</f>
        <v>psi</v>
      </c>
      <c r="AC68" s="11" t="s">
        <v>56</v>
      </c>
      <c r="AE68" s="168"/>
      <c r="AF68" s="307" t="s">
        <v>656</v>
      </c>
      <c r="AG68" s="307"/>
      <c r="AH68" s="307"/>
      <c r="AI68" s="307"/>
      <c r="AJ68" s="307"/>
      <c r="AK68" s="26" t="e">
        <f>INDEX($I$3:$I$19,MATCH(AK66,$E$3:$E$19,0))</f>
        <v>#N/A</v>
      </c>
      <c r="AL68" s="25" t="str">
        <f>IF($A$25="mm","Pa","psi")</f>
        <v>psi</v>
      </c>
      <c r="AM68" s="11" t="s">
        <v>56</v>
      </c>
      <c r="AO68" s="168"/>
      <c r="AP68" s="307" t="s">
        <v>656</v>
      </c>
      <c r="AQ68" s="307"/>
      <c r="AR68" s="307"/>
      <c r="AS68" s="307"/>
      <c r="AT68" s="307"/>
      <c r="AU68" s="26" t="e">
        <f>INDEX($I$3:$I$19,MATCH(AU66,$E$3:$E$19,0))</f>
        <v>#N/A</v>
      </c>
      <c r="AV68" s="25" t="str">
        <f>IF($A$25="mm","Pa","psi")</f>
        <v>psi</v>
      </c>
      <c r="AW68" s="11" t="s">
        <v>56</v>
      </c>
      <c r="AY68" s="168"/>
      <c r="AZ68" s="307" t="s">
        <v>656</v>
      </c>
      <c r="BA68" s="307"/>
      <c r="BB68" s="307"/>
      <c r="BC68" s="307"/>
      <c r="BD68" s="307"/>
      <c r="BE68" s="26" t="e">
        <f>INDEX($I$3:$I$19,MATCH(BE66,$E$3:$E$19,0))</f>
        <v>#N/A</v>
      </c>
      <c r="BF68" s="25" t="str">
        <f>IF($A$25="mm","Pa","psi")</f>
        <v>psi</v>
      </c>
      <c r="BG68" s="11" t="s">
        <v>56</v>
      </c>
      <c r="BI68" s="168"/>
      <c r="BJ68" s="307" t="s">
        <v>656</v>
      </c>
      <c r="BK68" s="307"/>
      <c r="BL68" s="307"/>
      <c r="BM68" s="307"/>
      <c r="BN68" s="307"/>
      <c r="BO68" s="26" t="e">
        <f>INDEX($I$3:$I$19,MATCH(BO66,$E$3:$E$19,0))</f>
        <v>#N/A</v>
      </c>
      <c r="BP68" s="25" t="str">
        <f>IF($A$25="mm","Pa","psi")</f>
        <v>psi</v>
      </c>
      <c r="BQ68" s="11" t="str">
        <f>IF(OR($L$23&lt;40*IF($A$25="mm",1,2.2046),AND($U$22="Corner Attachment",NOT($U$24="None"))),"N/A","EQ")</f>
        <v>N/A</v>
      </c>
      <c r="BS68" s="35" t="str">
        <f>IF($U$22="Mass Based","F.10.5.8.b","")</f>
        <v/>
      </c>
      <c r="BT68" s="124"/>
      <c r="BU68" s="15"/>
      <c r="BV68" s="15"/>
      <c r="BW68" s="15"/>
      <c r="BX68" s="15" t="s">
        <v>664</v>
      </c>
      <c r="BY68" s="16"/>
      <c r="BZ68" s="25" t="str">
        <f>IF($A$25="mm","mm","in")</f>
        <v>in</v>
      </c>
      <c r="CA68" s="11" t="str">
        <f>IF(CA64="N/A","N/A",
IF(OR(BY68="",BY68=0),"BLANK",IF(AND($U$22="Mass Based",NOT(BY61="Centerline Inserts")),
IF(AND(LEFT(BY64,5)="Steel",OR(AND(BY68&lt;1.6,$A$25="mm"),BY68&lt;0.063)),"REJECT",
IF(AND(OR(LEFT(BY64,4)="6061",LEFT(BY64,2)="Al"),OR(AND(BY68&lt;4,$A$25="mm"),BY68&lt;0.157)),"REJECT","EQ")),"EQ")))</f>
        <v>N/A</v>
      </c>
      <c r="CC68" s="35" t="str">
        <f>IF($U$22="Mass Based","F.10.5.8.b","")</f>
        <v/>
      </c>
      <c r="CD68" s="124"/>
      <c r="CE68" s="15"/>
      <c r="CF68" s="15"/>
      <c r="CG68" s="15"/>
      <c r="CH68" s="15" t="s">
        <v>664</v>
      </c>
      <c r="CI68" s="16"/>
      <c r="CJ68" s="25" t="str">
        <f>IF($A$25="mm","mm","in")</f>
        <v>in</v>
      </c>
      <c r="CK68" s="11" t="str">
        <f>IF(CK64="N/A","N/A",
IF(OR(CI68="",CI68=0),"BLANK",IF(AND($U$22="Mass Based",NOT(CI61="Centerline Inserts")),
IF(AND(LEFT(CI64,5)="Steel",OR(AND(CI68&lt;1.6,$A$25="mm"),CI68&lt;0.063)),"REJECT",
IF(AND(OR(LEFT(CI64,4)="6061",LEFT(CI64,2)="Al"),OR(AND(CI68&lt;4,$A$25="mm"),CI68&lt;0.157)),"REJECT","EQ")),"EQ")))</f>
        <v>N/A</v>
      </c>
      <c r="CM68" s="35" t="str">
        <f>IF($U$22="Mass Based","F.10.5.8.b","")</f>
        <v/>
      </c>
      <c r="CN68" s="124"/>
      <c r="CO68" s="15"/>
      <c r="CP68" s="15"/>
      <c r="CQ68" s="15"/>
      <c r="CR68" s="15" t="s">
        <v>664</v>
      </c>
      <c r="CS68" s="16"/>
      <c r="CT68" s="25" t="str">
        <f>IF($A$25="mm","mm","in")</f>
        <v>in</v>
      </c>
      <c r="CU68" s="11" t="str">
        <f>IF(CU64="N/A","N/A",
IF(OR(CS68="",CS68=0),"BLANK",IF(AND($U$22="Mass Based",NOT(CS61="Centerline Inserts")),
IF(AND(LEFT(CS64,5)="Steel",OR(AND(CS68&lt;1.6,$A$25="mm"),CS68&lt;0.063)),"REJECT",
IF(AND(OR(LEFT(CS64,4)="6061",LEFT(CS64,2)="Al"),OR(AND(CS68&lt;4,$A$25="mm"),CS68&lt;0.157)),"REJECT","EQ")),"EQ")))</f>
        <v>N/A</v>
      </c>
      <c r="CW68" s="35" t="str">
        <f>IF($U$22="Mass Based","F.10.5.8.b","")</f>
        <v/>
      </c>
      <c r="CX68" s="124"/>
      <c r="CY68" s="15"/>
      <c r="CZ68" s="15"/>
      <c r="DA68" s="15"/>
      <c r="DB68" s="15" t="s">
        <v>664</v>
      </c>
      <c r="DC68" s="16"/>
      <c r="DD68" s="25" t="str">
        <f>IF($A$25="mm","mm","in")</f>
        <v>in</v>
      </c>
      <c r="DE68" s="11" t="str">
        <f>IF(DE64="N/A","N/A",
IF(OR(DC68="",DC68=0),"BLANK",IF(AND($U$22="Mass Based",NOT(DC61="Centerline Inserts")),
IF(AND(LEFT(DC64,5)="Steel",OR(AND(DC68&lt;1.6,$A$25="mm"),DC68&lt;0.063)),"REJECT",
IF(AND(OR(LEFT(DC64,4)="6061",LEFT(DC64,2)="Al"),OR(AND(DC68&lt;4,$A$25="mm"),DC68&lt;0.157)),"REJECT","EQ")),"EQ")))</f>
        <v>N/A</v>
      </c>
      <c r="DG68" s="35" t="str">
        <f>IF($U$22="Mass Based","F.10.5.8.b","")</f>
        <v/>
      </c>
      <c r="DH68" s="124"/>
      <c r="DI68" s="15"/>
      <c r="DJ68" s="15"/>
      <c r="DK68" s="15"/>
      <c r="DL68" s="15" t="s">
        <v>664</v>
      </c>
      <c r="DM68" s="16"/>
      <c r="DN68" s="25" t="str">
        <f>IF($A$25="mm","mm","in")</f>
        <v>in</v>
      </c>
      <c r="DO68" s="11" t="str">
        <f>IF(DO64="N/A","N/A",
IF(OR(DM68="",DM68=0),"BLANK",IF(AND($U$22="Mass Based",NOT(DM61="Centerline Inserts")),
IF(AND(LEFT(DM64,5)="Steel",OR(AND(DM68&lt;1.6,$A$25="mm"),DM68&lt;0.063)),"REJECT",
IF(AND(OR(LEFT(DM64,4)="6061",LEFT(DM64,2)="Al"),OR(AND(DM68&lt;4,$A$25="mm"),DM68&lt;0.157)),"REJECT","EQ")),"EQ")))</f>
        <v>N/A</v>
      </c>
    </row>
    <row r="69" spans="1:119" ht="15" customHeight="1" x14ac:dyDescent="0.2">
      <c r="A69" s="35"/>
      <c r="B69" s="15"/>
      <c r="C69" s="15"/>
      <c r="D69" s="11"/>
      <c r="E69" s="11"/>
      <c r="F69" s="15" t="s">
        <v>665</v>
      </c>
      <c r="G69" s="16"/>
      <c r="I69" s="11" t="str">
        <f t="shared" si="2"/>
        <v>BLANK</v>
      </c>
      <c r="K69" s="295" t="str" cm="1">
        <f t="array" ref="K69">IF(COUNTIF(S70:S96,"BLANK"),"BLANK",IF(OR(SUMPRODUCT(--ISERROR(S70:S96))&gt;0,COUNTIF(S70:S96,"REJECT")),"REJECT",IF(COUNTIF(S70:S96,"CHECK"),"CHECK","EQ")))</f>
        <v>BLANK</v>
      </c>
      <c r="L69" s="295"/>
      <c r="M69" s="295"/>
      <c r="N69" s="295"/>
      <c r="O69" s="295"/>
      <c r="P69" s="295"/>
      <c r="Q69" s="295"/>
      <c r="R69" s="295"/>
      <c r="S69" s="295"/>
      <c r="U69" s="35"/>
      <c r="V69" s="124"/>
      <c r="W69" s="307" t="s">
        <v>659</v>
      </c>
      <c r="X69" s="307"/>
      <c r="Y69" s="307"/>
      <c r="Z69" s="307"/>
      <c r="AA69" s="26" t="e">
        <f>INDEX($K$3:$K$19,MATCH(AA66,$E$3:$E$19,0))</f>
        <v>#N/A</v>
      </c>
      <c r="AB69" s="25" t="str">
        <f>IF($A$25="mm","Pa","psi")</f>
        <v>psi</v>
      </c>
      <c r="AC69" s="11" t="s">
        <v>56</v>
      </c>
      <c r="AE69" s="35"/>
      <c r="AF69" s="124"/>
      <c r="AG69" s="307" t="s">
        <v>659</v>
      </c>
      <c r="AH69" s="307"/>
      <c r="AI69" s="307"/>
      <c r="AJ69" s="307"/>
      <c r="AK69" s="26" t="e">
        <f>INDEX($K$3:$K$19,MATCH(AK66,$E$3:$E$19,0))</f>
        <v>#N/A</v>
      </c>
      <c r="AL69" s="25" t="str">
        <f>IF($A$25="mm","Pa","psi")</f>
        <v>psi</v>
      </c>
      <c r="AM69" s="11" t="s">
        <v>56</v>
      </c>
      <c r="AO69" s="35"/>
      <c r="AP69" s="124"/>
      <c r="AQ69" s="307" t="s">
        <v>659</v>
      </c>
      <c r="AR69" s="307"/>
      <c r="AS69" s="307"/>
      <c r="AT69" s="307"/>
      <c r="AU69" s="26" t="e">
        <f>INDEX($K$3:$K$19,MATCH(AU66,$E$3:$E$19,0))</f>
        <v>#N/A</v>
      </c>
      <c r="AV69" s="25" t="str">
        <f>IF($A$25="mm","Pa","psi")</f>
        <v>psi</v>
      </c>
      <c r="AW69" s="11" t="s">
        <v>56</v>
      </c>
      <c r="AY69" s="35"/>
      <c r="AZ69" s="124"/>
      <c r="BA69" s="307" t="s">
        <v>659</v>
      </c>
      <c r="BB69" s="307"/>
      <c r="BC69" s="307"/>
      <c r="BD69" s="307"/>
      <c r="BE69" s="26" t="e">
        <f>INDEX($K$3:$K$19,MATCH(BE66,$E$3:$E$19,0))</f>
        <v>#N/A</v>
      </c>
      <c r="BF69" s="25" t="str">
        <f>IF($A$25="mm","Pa","psi")</f>
        <v>psi</v>
      </c>
      <c r="BG69" s="11" t="s">
        <v>56</v>
      </c>
      <c r="BI69" s="35"/>
      <c r="BJ69" s="124"/>
      <c r="BK69" s="307" t="s">
        <v>659</v>
      </c>
      <c r="BL69" s="307"/>
      <c r="BM69" s="307"/>
      <c r="BN69" s="307"/>
      <c r="BO69" s="26" t="e">
        <f>INDEX($K$3:$K$19,MATCH(BO66,$E$3:$E$19,0))</f>
        <v>#N/A</v>
      </c>
      <c r="BP69" s="25" t="str">
        <f>IF($A$25="mm","Pa","psi")</f>
        <v>psi</v>
      </c>
      <c r="BQ69" s="11" t="str">
        <f>IF(OR($L$23&lt;40*IF($A$25="mm",1,2.2046),AND($U$22="Corner Attachment",NOT($U$24="None"))),"N/A","EQ")</f>
        <v>N/A</v>
      </c>
      <c r="BS69" s="35"/>
      <c r="BT69" s="124"/>
      <c r="BU69" s="15"/>
      <c r="BV69" s="15"/>
      <c r="BW69" s="15"/>
      <c r="BX69" s="15" t="s">
        <v>666</v>
      </c>
      <c r="BY69" s="16"/>
      <c r="BZ69" s="25" t="str">
        <f>IF($A$25="mm","mm","in")</f>
        <v>in</v>
      </c>
      <c r="CA69" s="11" t="str">
        <f>IF(CA64="N/A","N/A",IF(OR(BY69="",BY69=0),"BLANK","EQ"))</f>
        <v>N/A</v>
      </c>
      <c r="CC69" s="35"/>
      <c r="CD69" s="124"/>
      <c r="CE69" s="15"/>
      <c r="CF69" s="15"/>
      <c r="CG69" s="15"/>
      <c r="CH69" s="15" t="s">
        <v>666</v>
      </c>
      <c r="CI69" s="16"/>
      <c r="CJ69" s="25" t="str">
        <f>IF($A$25="mm","mm","in")</f>
        <v>in</v>
      </c>
      <c r="CK69" s="11" t="str">
        <f>IF(CK64="N/A","N/A",IF(OR(CI69="",CI69=0),"BLANK","EQ"))</f>
        <v>N/A</v>
      </c>
      <c r="CM69" s="35"/>
      <c r="CN69" s="124"/>
      <c r="CO69" s="15"/>
      <c r="CP69" s="15"/>
      <c r="CQ69" s="15"/>
      <c r="CR69" s="15" t="s">
        <v>666</v>
      </c>
      <c r="CS69" s="16"/>
      <c r="CT69" s="25" t="str">
        <f>IF($A$25="mm","mm","in")</f>
        <v>in</v>
      </c>
      <c r="CU69" s="11" t="str">
        <f>IF(CU64="N/A","N/A",IF(OR(CS69="",CS69=0),"BLANK","EQ"))</f>
        <v>N/A</v>
      </c>
      <c r="CW69" s="35"/>
      <c r="CX69" s="124"/>
      <c r="CY69" s="15"/>
      <c r="CZ69" s="15"/>
      <c r="DA69" s="15"/>
      <c r="DB69" s="15" t="s">
        <v>666</v>
      </c>
      <c r="DC69" s="16"/>
      <c r="DD69" s="25" t="str">
        <f>IF($A$25="mm","mm","in")</f>
        <v>in</v>
      </c>
      <c r="DE69" s="11" t="str">
        <f>IF(DE64="N/A","N/A",IF(OR(DC69="",DC69=0),"BLANK","EQ"))</f>
        <v>N/A</v>
      </c>
      <c r="DG69" s="35"/>
      <c r="DH69" s="124"/>
      <c r="DI69" s="15"/>
      <c r="DJ69" s="15"/>
      <c r="DK69" s="15"/>
      <c r="DL69" s="15" t="s">
        <v>666</v>
      </c>
      <c r="DM69" s="16"/>
      <c r="DN69" s="25" t="str">
        <f>IF($A$25="mm","mm","in")</f>
        <v>in</v>
      </c>
      <c r="DO69" s="11" t="str">
        <f>IF(DO64="N/A","N/A",IF(OR(DM69="",DM69=0),"BLANK","EQ"))</f>
        <v>N/A</v>
      </c>
    </row>
    <row r="70" spans="1:119" ht="15" customHeight="1" thickBot="1" x14ac:dyDescent="0.25">
      <c r="A70" s="35"/>
      <c r="B70" s="15"/>
      <c r="C70" s="15"/>
      <c r="D70" s="11"/>
      <c r="E70" s="11"/>
      <c r="F70" s="15" t="s">
        <v>667</v>
      </c>
      <c r="G70" s="16"/>
      <c r="I70" s="11" t="str">
        <f t="shared" si="2"/>
        <v>BLANK</v>
      </c>
      <c r="K70" s="12" t="s">
        <v>668</v>
      </c>
      <c r="L70" s="15"/>
      <c r="M70" s="15"/>
      <c r="N70" s="15"/>
      <c r="O70" s="15"/>
      <c r="P70" s="15" t="s">
        <v>669</v>
      </c>
      <c r="Q70" s="169"/>
      <c r="S70" s="11" t="str">
        <f>IF(Q70="","BLANK",IF(Q70&gt;=0.75,"EQ","REJECT"))</f>
        <v>BLANK</v>
      </c>
      <c r="U70" s="35" t="str">
        <f>IF($U$22="Mass Based","F.10.5.8.b","")</f>
        <v/>
      </c>
      <c r="V70" s="124"/>
      <c r="W70" s="15"/>
      <c r="X70" s="15"/>
      <c r="Y70" s="15"/>
      <c r="Z70" s="15" t="s">
        <v>664</v>
      </c>
      <c r="AA70" s="16"/>
      <c r="AB70" s="25" t="str">
        <f>IF($A$25="mm","mm","in")</f>
        <v>in</v>
      </c>
      <c r="AC70" s="11" t="str">
        <f>IF(OR(AA70="",AA70=0),"BLANK","EQ")</f>
        <v>BLANK</v>
      </c>
      <c r="AE70" s="35" t="str">
        <f>IF($U$22="Mass Based","F.10.5.8.b","")</f>
        <v/>
      </c>
      <c r="AF70" s="124"/>
      <c r="AG70" s="15"/>
      <c r="AH70" s="15"/>
      <c r="AI70" s="15"/>
      <c r="AJ70" s="15" t="s">
        <v>664</v>
      </c>
      <c r="AK70" s="16"/>
      <c r="AL70" s="25" t="str">
        <f>IF($A$25="mm","mm","in")</f>
        <v>in</v>
      </c>
      <c r="AM70" s="11" t="str">
        <f>IF(OR(AK70="",AK70=0),"BLANK","EQ")</f>
        <v>BLANK</v>
      </c>
      <c r="AO70" s="35" t="str">
        <f>IF($U$22="Mass Based","F.10.5.8.b","")</f>
        <v/>
      </c>
      <c r="AP70" s="124"/>
      <c r="AQ70" s="15"/>
      <c r="AR70" s="15"/>
      <c r="AS70" s="15"/>
      <c r="AT70" s="15" t="s">
        <v>664</v>
      </c>
      <c r="AU70" s="16"/>
      <c r="AV70" s="25" t="str">
        <f>IF($A$25="mm","mm","in")</f>
        <v>in</v>
      </c>
      <c r="AW70" s="11" t="str">
        <f>IF(OR(AU70="",AU70=0),"BLANK","EQ")</f>
        <v>BLANK</v>
      </c>
      <c r="AY70" s="35" t="str">
        <f>IF($U$22="Mass Based","F.10.5.8.b","")</f>
        <v/>
      </c>
      <c r="AZ70" s="124"/>
      <c r="BA70" s="15"/>
      <c r="BB70" s="15"/>
      <c r="BC70" s="15"/>
      <c r="BD70" s="15" t="s">
        <v>664</v>
      </c>
      <c r="BE70" s="16"/>
      <c r="BF70" s="25" t="str">
        <f>IF($A$25="mm","mm","in")</f>
        <v>in</v>
      </c>
      <c r="BG70" s="11" t="str">
        <f>IF(OR(BE70="",BE70=0),"BLANK","EQ")</f>
        <v>BLANK</v>
      </c>
      <c r="BI70" s="35" t="str">
        <f>IF($U$22="Mass Based","F.10.5.8.b","")</f>
        <v/>
      </c>
      <c r="BJ70" s="124"/>
      <c r="BK70" s="15"/>
      <c r="BL70" s="15"/>
      <c r="BM70" s="15"/>
      <c r="BN70" s="116" t="s">
        <v>664</v>
      </c>
      <c r="BO70" s="16"/>
      <c r="BP70" s="25" t="str">
        <f>IF($A$25="mm","mm","in")</f>
        <v>in</v>
      </c>
      <c r="BQ70" s="11" t="str">
        <f>IF(OR($L$23&lt;40*IF($A$25="mm",1,2.2046),AND($U$22="Corner Attachment",NOT($U$24="None"))),"N/A",IF(OR(BO70="",BO70=0),"BLANK","EQ"))</f>
        <v>N/A</v>
      </c>
      <c r="BS70" s="35" t="s">
        <v>670</v>
      </c>
      <c r="BT70" s="124"/>
      <c r="BU70" s="15"/>
      <c r="BV70" s="15"/>
      <c r="BW70" s="15"/>
      <c r="BX70" s="15" t="s">
        <v>671</v>
      </c>
      <c r="BY70" s="11">
        <f>AA72</f>
        <v>0</v>
      </c>
      <c r="CA70" s="11" t="str">
        <f>IF(CA64="N/A","N/A",IF(OR(BY70="",BY70=0),"BLANK","EQ"))</f>
        <v>N/A</v>
      </c>
      <c r="CC70" s="35" t="s">
        <v>670</v>
      </c>
      <c r="CD70" s="124"/>
      <c r="CE70" s="15"/>
      <c r="CF70" s="15"/>
      <c r="CG70" s="15"/>
      <c r="CH70" s="15" t="s">
        <v>671</v>
      </c>
      <c r="CI70" s="11">
        <f>AK72</f>
        <v>0</v>
      </c>
      <c r="CK70" s="11" t="str">
        <f>IF(CK64="N/A","N/A",IF(OR(CI70="",CI70=0),"BLANK","EQ"))</f>
        <v>N/A</v>
      </c>
      <c r="CM70" s="35" t="s">
        <v>670</v>
      </c>
      <c r="CN70" s="124"/>
      <c r="CO70" s="15"/>
      <c r="CP70" s="15"/>
      <c r="CQ70" s="15"/>
      <c r="CR70" s="15" t="s">
        <v>671</v>
      </c>
      <c r="CS70" s="11">
        <f>AU72</f>
        <v>0</v>
      </c>
      <c r="CU70" s="11" t="str">
        <f>IF(CU64="N/A","N/A",IF(OR(CS70="",CS70=0),"BLANK","EQ"))</f>
        <v>N/A</v>
      </c>
      <c r="CW70" s="35" t="s">
        <v>670</v>
      </c>
      <c r="CX70" s="124"/>
      <c r="CY70" s="15"/>
      <c r="CZ70" s="15"/>
      <c r="DA70" s="15"/>
      <c r="DB70" s="15" t="s">
        <v>671</v>
      </c>
      <c r="DC70" s="11">
        <f>BE72</f>
        <v>0</v>
      </c>
      <c r="DE70" s="11" t="str">
        <f>IF(DE64="N/A","N/A",IF(OR(DC70="",DC70=0),"BLANK","EQ"))</f>
        <v>N/A</v>
      </c>
      <c r="DG70" s="35" t="s">
        <v>670</v>
      </c>
      <c r="DH70" s="124"/>
      <c r="DI70" s="15"/>
      <c r="DJ70" s="15"/>
      <c r="DK70" s="15"/>
      <c r="DL70" s="15" t="s">
        <v>671</v>
      </c>
      <c r="DM70" s="11">
        <f>BO72</f>
        <v>0</v>
      </c>
      <c r="DO70" s="11" t="str">
        <f>IF(DO64="N/A","N/A",IF(OR(DM70="",DM70=0),"BLANK","EQ"))</f>
        <v>N/A</v>
      </c>
    </row>
    <row r="71" spans="1:119" ht="15" customHeight="1" thickBot="1" x14ac:dyDescent="0.25">
      <c r="A71" s="12" t="s">
        <v>672</v>
      </c>
      <c r="B71" s="15"/>
      <c r="C71" s="15"/>
      <c r="D71" s="11"/>
      <c r="E71" s="11"/>
      <c r="F71" s="15" t="s">
        <v>673</v>
      </c>
      <c r="G71" s="28">
        <f>G69*G66</f>
        <v>0</v>
      </c>
      <c r="H71" s="25" t="s">
        <v>653</v>
      </c>
      <c r="I71" s="11" t="str">
        <f>IF(G71="","BLANK",IF(G71&gt;120,"REJECT","EQ"))</f>
        <v>EQ</v>
      </c>
      <c r="K71" s="12" t="s">
        <v>662</v>
      </c>
      <c r="L71" s="345" t="s">
        <v>674</v>
      </c>
      <c r="M71" s="345"/>
      <c r="N71" s="345"/>
      <c r="O71" s="345"/>
      <c r="P71" s="298"/>
      <c r="Q71" s="300"/>
      <c r="S71" s="11" t="str">
        <f>IF(P71="","BLANK","EQ")</f>
        <v>BLANK</v>
      </c>
      <c r="U71" s="35"/>
      <c r="V71" s="124"/>
      <c r="W71" s="15"/>
      <c r="X71" s="15"/>
      <c r="Y71" s="15"/>
      <c r="Z71" s="15" t="s">
        <v>666</v>
      </c>
      <c r="AA71" s="16"/>
      <c r="AB71" s="25" t="str">
        <f>IF($A$25="mm","mm","in")</f>
        <v>in</v>
      </c>
      <c r="AC71" s="11" t="str">
        <f>IF(OR(AA71="",AA71=0),"BLANK","EQ")</f>
        <v>BLANK</v>
      </c>
      <c r="AE71" s="35"/>
      <c r="AF71" s="124"/>
      <c r="AG71" s="15"/>
      <c r="AH71" s="15"/>
      <c r="AI71" s="15"/>
      <c r="AJ71" s="15" t="s">
        <v>666</v>
      </c>
      <c r="AK71" s="16"/>
      <c r="AL71" s="25" t="str">
        <f>IF($A$25="mm","mm","in")</f>
        <v>in</v>
      </c>
      <c r="AM71" s="11" t="str">
        <f>IF(OR(AK71="",AK71=0),"BLANK","EQ")</f>
        <v>BLANK</v>
      </c>
      <c r="AO71" s="35"/>
      <c r="AP71" s="124"/>
      <c r="AQ71" s="15"/>
      <c r="AR71" s="15"/>
      <c r="AS71" s="15"/>
      <c r="AT71" s="15" t="s">
        <v>666</v>
      </c>
      <c r="AU71" s="16"/>
      <c r="AV71" s="25" t="str">
        <f>IF($A$25="mm","mm","in")</f>
        <v>in</v>
      </c>
      <c r="AW71" s="11" t="str">
        <f>IF(OR(AU71="",AU71=0),"BLANK","EQ")</f>
        <v>BLANK</v>
      </c>
      <c r="AY71" s="35"/>
      <c r="AZ71" s="124"/>
      <c r="BA71" s="15"/>
      <c r="BB71" s="15"/>
      <c r="BC71" s="15"/>
      <c r="BD71" s="15" t="s">
        <v>666</v>
      </c>
      <c r="BE71" s="16"/>
      <c r="BF71" s="25" t="str">
        <f>IF($A$25="mm","mm","in")</f>
        <v>in</v>
      </c>
      <c r="BG71" s="11" t="str">
        <f>IF(OR(BE71="",BE71=0),"BLANK","EQ")</f>
        <v>BLANK</v>
      </c>
      <c r="BI71" s="35"/>
      <c r="BJ71" s="124"/>
      <c r="BK71" s="15"/>
      <c r="BL71" s="15"/>
      <c r="BM71" s="15"/>
      <c r="BN71" s="116" t="s">
        <v>666</v>
      </c>
      <c r="BO71" s="16"/>
      <c r="BP71" s="25" t="str">
        <f>IF($A$25="mm","mm","in")</f>
        <v>in</v>
      </c>
      <c r="BQ71" s="11" t="str">
        <f>IF(OR($L$23&lt;40*IF($A$25="mm",1,2.2046),AND($U$22="Corner Attachment",NOT($U$24="None"))),"N/A",IF(OR(BO71="",BO71=0),"BLANK","EQ"))</f>
        <v>N/A</v>
      </c>
      <c r="BS71" s="47" t="str">
        <f>W56</f>
        <v>Top Front Accumulator Mount</v>
      </c>
      <c r="BU71" s="15"/>
      <c r="BV71" s="15"/>
      <c r="BW71" s="15"/>
      <c r="BX71" s="15" t="s">
        <v>675</v>
      </c>
      <c r="BY71" s="11">
        <f t="shared" ref="BY71:BY73" si="3">AA73</f>
        <v>0</v>
      </c>
      <c r="BZ71" s="25" t="str">
        <f>IF($A$25="mm","mm","in")</f>
        <v>in</v>
      </c>
      <c r="CA71" s="11" t="str">
        <f>IF(CA64="N/A","N/A",IF(BY71=0,"BLANK",IF(BY72="Yes","CHECK","EQ")))</f>
        <v>N/A</v>
      </c>
      <c r="CC71" s="47" t="str">
        <f>AG56</f>
        <v>Top Rear Accumulator Mount</v>
      </c>
      <c r="CE71" s="15"/>
      <c r="CF71" s="15"/>
      <c r="CG71" s="15"/>
      <c r="CH71" s="15" t="s">
        <v>675</v>
      </c>
      <c r="CI71" s="11">
        <f t="shared" ref="CI71:CI73" si="4">AK73</f>
        <v>0</v>
      </c>
      <c r="CJ71" s="25" t="str">
        <f>IF($A$25="mm","mm","in")</f>
        <v>in</v>
      </c>
      <c r="CK71" s="11" t="str">
        <f>IF(CK64="N/A","N/A",IF(CI71=0,"BLANK",IF(CI72="Yes","CHECK","EQ")))</f>
        <v>N/A</v>
      </c>
      <c r="CM71" s="47" t="str">
        <f>AQ56</f>
        <v>Bottom Front Accumulator Mount</v>
      </c>
      <c r="CO71" s="15"/>
      <c r="CP71" s="15"/>
      <c r="CQ71" s="15"/>
      <c r="CR71" s="15" t="s">
        <v>675</v>
      </c>
      <c r="CS71" s="11">
        <f t="shared" ref="CS71:CS73" si="5">AU73</f>
        <v>0</v>
      </c>
      <c r="CT71" s="25" t="str">
        <f>IF($A$25="mm","mm","in")</f>
        <v>in</v>
      </c>
      <c r="CU71" s="11" t="str">
        <f>IF(CU64="N/A","N/A",IF(CS71=0,"BLANK",IF(CS72="Yes","CHECK","EQ")))</f>
        <v>N/A</v>
      </c>
      <c r="CW71" s="47" t="str">
        <f>BA56</f>
        <v>Bottom Rear Accumulator Mount</v>
      </c>
      <c r="CY71" s="15"/>
      <c r="CZ71" s="15"/>
      <c r="DA71" s="15"/>
      <c r="DB71" s="15" t="s">
        <v>675</v>
      </c>
      <c r="DC71" s="11">
        <f t="shared" ref="DC71:DC73" si="6">BE73</f>
        <v>0</v>
      </c>
      <c r="DD71" s="25" t="str">
        <f>IF($A$25="mm","mm","in")</f>
        <v>in</v>
      </c>
      <c r="DE71" s="11" t="str">
        <f>IF(DE64="N/A","N/A",IF(DC71=0,"BLANK",IF(DC72="Yes","CHECK","EQ")))</f>
        <v>N/A</v>
      </c>
      <c r="DG71" s="47" t="str">
        <f>BK56</f>
        <v>Accumulator Mount 5</v>
      </c>
      <c r="DI71" s="15"/>
      <c r="DJ71" s="15"/>
      <c r="DK71" s="15"/>
      <c r="DL71" s="15" t="s">
        <v>675</v>
      </c>
      <c r="DM71" s="11">
        <f t="shared" ref="DM71:DM73" si="7">BO73</f>
        <v>0</v>
      </c>
      <c r="DN71" s="25" t="str">
        <f>IF($A$25="mm","mm","in")</f>
        <v>in</v>
      </c>
      <c r="DO71" s="11" t="str">
        <f>IF(DO64="N/A","N/A",IF(DM71=0,"BLANK",IF(DM72="Yes","CHECK","EQ")))</f>
        <v>N/A</v>
      </c>
    </row>
    <row r="72" spans="1:119" ht="15" customHeight="1" thickBot="1" x14ac:dyDescent="0.25">
      <c r="A72" s="12" t="s">
        <v>672</v>
      </c>
      <c r="B72" s="15"/>
      <c r="C72" s="15"/>
      <c r="D72" s="11"/>
      <c r="E72" s="11"/>
      <c r="F72" s="15" t="s">
        <v>676</v>
      </c>
      <c r="G72" s="29">
        <f>G69*G70*G66*(G68/1000)*0.0036</f>
        <v>0</v>
      </c>
      <c r="H72" s="25" t="s">
        <v>677</v>
      </c>
      <c r="I72" s="11" t="str">
        <f>IF(G72="","BLANK",IF(G72&gt;6,"REJECT","EQ"))</f>
        <v>EQ</v>
      </c>
      <c r="K72" s="170"/>
      <c r="L72" s="170"/>
      <c r="M72" s="170"/>
      <c r="N72" s="170"/>
      <c r="O72" s="171"/>
      <c r="P72" s="15" t="s">
        <v>678</v>
      </c>
      <c r="Q72" s="172"/>
      <c r="R72" s="25" t="str">
        <f>IF($A$25="mm","mm","in")</f>
        <v>in</v>
      </c>
      <c r="S72" s="11" t="str">
        <f>IF(P71="Composite","N/A",IF(Q72="","BLANK",
IF(P71="Isotropic","EQ",
IF(AND(P71="Steel",OR(AND($A$25="mm",Q72&gt;=1.25),AND($A$25="Inch",Q72&gt;=0.049))),"EQ",
IF(AND(P71="Aluminum",OR(AND($A$25="mm",Q72&gt;=3.2),AND($A$25="Inch",Q72&gt;=0.125))),"EQ","REJECT")))))</f>
        <v>BLANK</v>
      </c>
      <c r="U72" s="35"/>
      <c r="V72" s="124"/>
      <c r="W72" s="15"/>
      <c r="X72" s="15"/>
      <c r="Y72" s="15"/>
      <c r="Z72" s="15" t="s">
        <v>671</v>
      </c>
      <c r="AA72" s="16"/>
      <c r="AC72" s="11" t="str">
        <f>IF(OR(AA72="",AA72=0),"BLANK","EQ")</f>
        <v>BLANK</v>
      </c>
      <c r="AE72" s="35"/>
      <c r="AF72" s="124"/>
      <c r="AG72" s="15"/>
      <c r="AH72" s="15"/>
      <c r="AI72" s="15"/>
      <c r="AJ72" s="15" t="s">
        <v>671</v>
      </c>
      <c r="AK72" s="16"/>
      <c r="AM72" s="11" t="str">
        <f>IF(OR(AK72="",AK72=0),"BLANK","EQ")</f>
        <v>BLANK</v>
      </c>
      <c r="AO72" s="35"/>
      <c r="AP72" s="124"/>
      <c r="AQ72" s="15"/>
      <c r="AR72" s="15"/>
      <c r="AS72" s="15"/>
      <c r="AT72" s="15" t="s">
        <v>671</v>
      </c>
      <c r="AU72" s="16"/>
      <c r="AW72" s="11" t="str">
        <f>IF(OR(AU72="",AU72=0),"BLANK","EQ")</f>
        <v>BLANK</v>
      </c>
      <c r="AY72" s="35"/>
      <c r="AZ72" s="124"/>
      <c r="BA72" s="15"/>
      <c r="BB72" s="15"/>
      <c r="BC72" s="15"/>
      <c r="BD72" s="15" t="s">
        <v>671</v>
      </c>
      <c r="BE72" s="16"/>
      <c r="BG72" s="11" t="str">
        <f>IF(OR(BE72="",BE72=0),"BLANK","EQ")</f>
        <v>BLANK</v>
      </c>
      <c r="BI72" s="35"/>
      <c r="BJ72" s="124"/>
      <c r="BK72" s="15"/>
      <c r="BL72" s="15"/>
      <c r="BM72" s="15"/>
      <c r="BN72" s="15" t="s">
        <v>671</v>
      </c>
      <c r="BO72" s="16"/>
      <c r="BQ72" s="11" t="str">
        <f>IF(OR($L$23&lt;40*IF($A$25="mm",1,2.2046),AND($U$22="Corner Attachment",NOT($U$24="None"))),"N/A",IF(OR(BO72="",BO72=0),"BLANK","EQ"))</f>
        <v>N/A</v>
      </c>
      <c r="BS72" s="35"/>
      <c r="BT72" s="124"/>
      <c r="BU72" s="15"/>
      <c r="BV72" s="15"/>
      <c r="BW72" s="15"/>
      <c r="BX72" s="15" t="s">
        <v>679</v>
      </c>
      <c r="BY72" s="11">
        <f t="shared" si="3"/>
        <v>0</v>
      </c>
      <c r="CA72" s="11" t="str">
        <f>IF(CA64="N/A","N/A",IF(BY72=0,"BLANK",IF(BY72="Yes","CHECK","EQ")))</f>
        <v>N/A</v>
      </c>
      <c r="CC72" s="35"/>
      <c r="CD72" s="124"/>
      <c r="CE72" s="15"/>
      <c r="CF72" s="15"/>
      <c r="CG72" s="15"/>
      <c r="CH72" s="15" t="s">
        <v>679</v>
      </c>
      <c r="CI72" s="11">
        <f t="shared" si="4"/>
        <v>0</v>
      </c>
      <c r="CK72" s="11" t="str">
        <f>IF(CK64="N/A","N/A",IF(CI72=0,"BLANK",IF(CI72="Yes","CHECK","EQ")))</f>
        <v>N/A</v>
      </c>
      <c r="CM72" s="35"/>
      <c r="CN72" s="124"/>
      <c r="CO72" s="15"/>
      <c r="CP72" s="15"/>
      <c r="CQ72" s="15"/>
      <c r="CR72" s="15" t="s">
        <v>679</v>
      </c>
      <c r="CS72" s="11">
        <f t="shared" si="5"/>
        <v>0</v>
      </c>
      <c r="CU72" s="11" t="str">
        <f>IF(CU64="N/A","N/A",IF(CS72=0,"BLANK",IF(CS72="Yes","CHECK","EQ")))</f>
        <v>N/A</v>
      </c>
      <c r="CW72" s="35"/>
      <c r="CX72" s="124"/>
      <c r="CY72" s="15"/>
      <c r="CZ72" s="15"/>
      <c r="DA72" s="15"/>
      <c r="DB72" s="15" t="s">
        <v>679</v>
      </c>
      <c r="DC72" s="11">
        <f t="shared" si="6"/>
        <v>0</v>
      </c>
      <c r="DE72" s="11" t="str">
        <f>IF(DE64="N/A","N/A",IF(DC72=0,"BLANK",IF(DC72="Yes","CHECK","EQ")))</f>
        <v>N/A</v>
      </c>
      <c r="DG72" s="35"/>
      <c r="DH72" s="124"/>
      <c r="DI72" s="15"/>
      <c r="DJ72" s="15"/>
      <c r="DK72" s="15"/>
      <c r="DL72" s="15" t="s">
        <v>679</v>
      </c>
      <c r="DM72" s="11">
        <f t="shared" si="7"/>
        <v>0</v>
      </c>
      <c r="DO72" s="11" t="str">
        <f>IF(DO64="N/A","N/A",IF(DM72=0,"BLANK",IF(DM72="Yes","CHECK","EQ")))</f>
        <v>N/A</v>
      </c>
    </row>
    <row r="73" spans="1:119" ht="15" customHeight="1" thickBot="1" x14ac:dyDescent="0.25">
      <c r="A73" s="35"/>
      <c r="B73" s="15"/>
      <c r="C73" s="15"/>
      <c r="D73" s="11"/>
      <c r="E73" s="11"/>
      <c r="F73" s="15" t="s">
        <v>680</v>
      </c>
      <c r="G73" s="16"/>
      <c r="I73" s="11" t="str">
        <f>IF(G73="","BLANK","EQ")</f>
        <v>BLANK</v>
      </c>
      <c r="L73" s="15"/>
      <c r="M73" s="15"/>
      <c r="N73" s="15"/>
      <c r="O73" s="15"/>
      <c r="P73" s="15" t="s">
        <v>681</v>
      </c>
      <c r="Q73" s="342"/>
      <c r="R73" s="343"/>
      <c r="S73" s="11" t="str">
        <f>IF(Q73="","BLANK",IF(AND($Q$160="Welded",ISNUMBER(SEARCH("Unwelded",Q73))),"REJECT","EQ"))</f>
        <v>BLANK</v>
      </c>
      <c r="U73" s="35"/>
      <c r="V73" s="124"/>
      <c r="W73" s="15"/>
      <c r="X73" s="15"/>
      <c r="Y73" s="15"/>
      <c r="Z73" s="15" t="s">
        <v>675</v>
      </c>
      <c r="AA73" s="81"/>
      <c r="AB73" s="25" t="str">
        <f>IF($A$25="mm","mm","in")</f>
        <v>in</v>
      </c>
      <c r="AC73" s="11" t="str">
        <f>IF(OR(AA73="",AA73=0),"BLANK",IF(AA74="Yes","CHECK","EQ"))</f>
        <v>BLANK</v>
      </c>
      <c r="AE73" s="35"/>
      <c r="AF73" s="124"/>
      <c r="AG73" s="15"/>
      <c r="AH73" s="15"/>
      <c r="AI73" s="15"/>
      <c r="AJ73" s="15" t="s">
        <v>675</v>
      </c>
      <c r="AK73" s="81"/>
      <c r="AL73" s="25" t="str">
        <f>IF($A$25="mm","mm","in")</f>
        <v>in</v>
      </c>
      <c r="AM73" s="11" t="str">
        <f>IF(OR(AK73="",AK73=0),"BLANK",IF(AK74="Yes","CHECK","EQ"))</f>
        <v>BLANK</v>
      </c>
      <c r="AO73" s="35"/>
      <c r="AP73" s="124"/>
      <c r="AQ73" s="15"/>
      <c r="AR73" s="15"/>
      <c r="AS73" s="15"/>
      <c r="AT73" s="15" t="s">
        <v>675</v>
      </c>
      <c r="AU73" s="81"/>
      <c r="AV73" s="25" t="str">
        <f>IF($A$25="mm","mm","in")</f>
        <v>in</v>
      </c>
      <c r="AW73" s="11" t="str">
        <f>IF(OR(AU73="",AU73=0),"BLANK",IF(AU74="Yes","CHECK","EQ"))</f>
        <v>BLANK</v>
      </c>
      <c r="AY73" s="35"/>
      <c r="AZ73" s="124"/>
      <c r="BA73" s="15"/>
      <c r="BB73" s="15"/>
      <c r="BC73" s="15"/>
      <c r="BD73" s="15" t="s">
        <v>675</v>
      </c>
      <c r="BE73" s="81"/>
      <c r="BF73" s="25" t="str">
        <f>IF($A$25="mm","mm","in")</f>
        <v>in</v>
      </c>
      <c r="BG73" s="11" t="str">
        <f>IF(OR(BE73="",BE73=0),"BLANK",IF(BE74="Yes","CHECK","EQ"))</f>
        <v>BLANK</v>
      </c>
      <c r="BI73" s="35"/>
      <c r="BJ73" s="124"/>
      <c r="BK73" s="15"/>
      <c r="BL73" s="15"/>
      <c r="BM73" s="15"/>
      <c r="BN73" s="15" t="s">
        <v>675</v>
      </c>
      <c r="BO73" s="81"/>
      <c r="BP73" s="25" t="str">
        <f>IF($A$25="mm","mm","in")</f>
        <v>in</v>
      </c>
      <c r="BQ73" s="11" t="str">
        <f>IF(OR($L$23&lt;40*IF($A$25="mm",1,2.2046),AND($U$22="Corner Attachment",NOT($U$24="None"))),"N/A",IF(OR(BO73="",BO73=0),"BLANK",IF(BO74="Yes","CHECK","EQ")))</f>
        <v>N/A</v>
      </c>
      <c r="BS73" s="35"/>
      <c r="BT73" s="124"/>
      <c r="BU73" s="15"/>
      <c r="BV73" s="15"/>
      <c r="BW73" s="15"/>
      <c r="BX73" s="15" t="s">
        <v>682</v>
      </c>
      <c r="BY73" s="26">
        <f t="shared" si="3"/>
        <v>0</v>
      </c>
      <c r="BZ73" s="25" t="str">
        <f>IF($A$25="mm","Pa","psi")</f>
        <v>psi</v>
      </c>
      <c r="CA73" s="11" t="str">
        <f>IF(CA64="N/A","N/A",IF(OR(BY73="",BY73=0),"BLANK","EQ"))</f>
        <v>N/A</v>
      </c>
      <c r="CC73" s="35"/>
      <c r="CD73" s="124"/>
      <c r="CE73" s="15"/>
      <c r="CF73" s="15"/>
      <c r="CG73" s="15"/>
      <c r="CH73" s="15" t="s">
        <v>682</v>
      </c>
      <c r="CI73" s="26">
        <f t="shared" si="4"/>
        <v>0</v>
      </c>
      <c r="CJ73" s="25" t="str">
        <f>IF($A$25="mm","Pa","psi")</f>
        <v>psi</v>
      </c>
      <c r="CK73" s="11" t="str">
        <f>IF(CK64="N/A","N/A",IF(OR(CI73="",CI73=0),"BLANK","EQ"))</f>
        <v>N/A</v>
      </c>
      <c r="CM73" s="35"/>
      <c r="CN73" s="124"/>
      <c r="CO73" s="15"/>
      <c r="CP73" s="15"/>
      <c r="CQ73" s="15"/>
      <c r="CR73" s="15" t="s">
        <v>682</v>
      </c>
      <c r="CS73" s="26">
        <f t="shared" si="5"/>
        <v>0</v>
      </c>
      <c r="CT73" s="25" t="str">
        <f>IF($A$25="mm","Pa","psi")</f>
        <v>psi</v>
      </c>
      <c r="CU73" s="11" t="str">
        <f>IF(CU64="N/A","N/A",IF(OR(CS73="",CS73=0),"BLANK","EQ"))</f>
        <v>N/A</v>
      </c>
      <c r="CW73" s="35"/>
      <c r="CX73" s="124"/>
      <c r="CY73" s="15"/>
      <c r="CZ73" s="15"/>
      <c r="DA73" s="15"/>
      <c r="DB73" s="15" t="s">
        <v>682</v>
      </c>
      <c r="DC73" s="26">
        <f t="shared" si="6"/>
        <v>0</v>
      </c>
      <c r="DD73" s="25" t="str">
        <f>IF($A$25="mm","Pa","psi")</f>
        <v>psi</v>
      </c>
      <c r="DE73" s="11" t="str">
        <f>IF(DE64="N/A","N/A",IF(OR(DC73="",DC73=0),"BLANK","EQ"))</f>
        <v>N/A</v>
      </c>
      <c r="DG73" s="35"/>
      <c r="DH73" s="124"/>
      <c r="DI73" s="15"/>
      <c r="DJ73" s="15"/>
      <c r="DK73" s="15"/>
      <c r="DL73" s="15" t="s">
        <v>682</v>
      </c>
      <c r="DM73" s="26">
        <f t="shared" si="7"/>
        <v>0</v>
      </c>
      <c r="DN73" s="25" t="str">
        <f>IF($A$25="mm","Pa","psi")</f>
        <v>psi</v>
      </c>
      <c r="DO73" s="11" t="str">
        <f>IF(DO64="N/A","N/A",IF(OR(DM73="",DM73=0),"BLANK","EQ"))</f>
        <v>N/A</v>
      </c>
    </row>
    <row r="74" spans="1:119" ht="15" customHeight="1" thickBot="1" x14ac:dyDescent="0.25">
      <c r="A74" s="35"/>
      <c r="B74" s="15"/>
      <c r="C74" s="15"/>
      <c r="D74" s="11"/>
      <c r="E74" s="11"/>
      <c r="F74" s="15" t="s">
        <v>683</v>
      </c>
      <c r="G74" s="16"/>
      <c r="I74" s="11" t="str">
        <f>IF(G74="","BLANK","EQ")</f>
        <v>BLANK</v>
      </c>
      <c r="L74" s="15"/>
      <c r="M74" s="15"/>
      <c r="N74" s="15"/>
      <c r="O74" s="15"/>
      <c r="P74" s="15" t="s">
        <v>684</v>
      </c>
      <c r="Q74" s="128">
        <f>IF(NOT(P71="Composite"),Q72,Q75+Q77+Q76)</f>
        <v>0</v>
      </c>
      <c r="R74" s="25" t="str">
        <f>IF($A$25="mm","mm","in")</f>
        <v>in</v>
      </c>
      <c r="S74" s="128" t="str">
        <f>IF(NOT(OR(P71="Isotropic",P71="Composite")),"N/A","EQ")</f>
        <v>N/A</v>
      </c>
      <c r="U74" s="35"/>
      <c r="V74" s="124"/>
      <c r="W74" s="15"/>
      <c r="X74" s="15"/>
      <c r="Y74" s="15"/>
      <c r="Z74" s="15" t="s">
        <v>679</v>
      </c>
      <c r="AA74" s="173"/>
      <c r="AC74" s="11" t="str">
        <f>IF(AA74="","BLANK",IF(AA74="Yes","CHECK","EQ"))</f>
        <v>BLANK</v>
      </c>
      <c r="AE74" s="35"/>
      <c r="AF74" s="124"/>
      <c r="AG74" s="15"/>
      <c r="AH74" s="15"/>
      <c r="AI74" s="15"/>
      <c r="AJ74" s="15" t="s">
        <v>679</v>
      </c>
      <c r="AK74" s="173"/>
      <c r="AM74" s="11" t="str">
        <f>IF(AK74="","BLANK",IF(AK74="Yes","CHECK","EQ"))</f>
        <v>BLANK</v>
      </c>
      <c r="AO74" s="35"/>
      <c r="AP74" s="124"/>
      <c r="AQ74" s="15"/>
      <c r="AR74" s="15"/>
      <c r="AS74" s="15"/>
      <c r="AT74" s="15" t="s">
        <v>679</v>
      </c>
      <c r="AU74" s="173"/>
      <c r="AW74" s="11" t="str">
        <f>IF(AU74="","BLANK",IF(AU74="Yes","CHECK","EQ"))</f>
        <v>BLANK</v>
      </c>
      <c r="AY74" s="35"/>
      <c r="AZ74" s="124"/>
      <c r="BA74" s="15"/>
      <c r="BB74" s="15"/>
      <c r="BC74" s="15"/>
      <c r="BD74" s="15" t="s">
        <v>679</v>
      </c>
      <c r="BE74" s="173"/>
      <c r="BG74" s="11" t="str">
        <f>IF(BE74="","BLANK",IF(BE74="Yes","CHECK","EQ"))</f>
        <v>BLANK</v>
      </c>
      <c r="BI74" s="35"/>
      <c r="BJ74" s="124"/>
      <c r="BK74" s="15"/>
      <c r="BL74" s="15"/>
      <c r="BM74" s="15"/>
      <c r="BN74" s="15" t="s">
        <v>679</v>
      </c>
      <c r="BO74" s="173"/>
      <c r="BQ74" s="11" t="str">
        <f>IF(OR($L$23&lt;40*IF($A$25="mm",1,2.2046),AND($U$22="Corner Attachment",NOT($U$24="None"))),"N/A",IF(BO74="","BLANK",IF(BO74="Yes","CHECK","EQ")))</f>
        <v>N/A</v>
      </c>
      <c r="BS74" s="35"/>
      <c r="BT74" s="124"/>
      <c r="BU74" s="15"/>
      <c r="BV74" s="15"/>
      <c r="BW74" s="15"/>
      <c r="BX74" s="15" t="s">
        <v>685</v>
      </c>
      <c r="BY74" s="16"/>
      <c r="BZ74" s="25" t="str">
        <f>IF($A$25="mm","mm","in")</f>
        <v>in</v>
      </c>
      <c r="CA74" s="11" t="str">
        <f>IF(CA64="N/A","N/A",IF(OR(BY74="",BY74=0),"BLANK","EQ"))</f>
        <v>N/A</v>
      </c>
      <c r="CC74" s="35"/>
      <c r="CD74" s="124"/>
      <c r="CE74" s="15"/>
      <c r="CF74" s="15"/>
      <c r="CG74" s="15"/>
      <c r="CH74" s="15" t="s">
        <v>685</v>
      </c>
      <c r="CI74" s="16"/>
      <c r="CJ74" s="25" t="str">
        <f>IF($A$25="mm","mm","in")</f>
        <v>in</v>
      </c>
      <c r="CK74" s="11" t="str">
        <f>IF(CK64="N/A","N/A",IF(OR(CI74="",CI74=0),"BLANK","EQ"))</f>
        <v>N/A</v>
      </c>
      <c r="CM74" s="35"/>
      <c r="CN74" s="124"/>
      <c r="CO74" s="15"/>
      <c r="CP74" s="15"/>
      <c r="CQ74" s="15"/>
      <c r="CR74" s="15" t="s">
        <v>685</v>
      </c>
      <c r="CS74" s="16"/>
      <c r="CT74" s="25" t="str">
        <f>IF($A$25="mm","mm","in")</f>
        <v>in</v>
      </c>
      <c r="CU74" s="11" t="str">
        <f>IF(CU64="N/A","N/A",IF(OR(CS74="",CS74=0),"BLANK","EQ"))</f>
        <v>N/A</v>
      </c>
      <c r="CW74" s="35"/>
      <c r="CX74" s="124"/>
      <c r="CY74" s="15"/>
      <c r="CZ74" s="15"/>
      <c r="DA74" s="15"/>
      <c r="DB74" s="15" t="s">
        <v>685</v>
      </c>
      <c r="DC74" s="16"/>
      <c r="DD74" s="25" t="str">
        <f>IF($A$25="mm","mm","in")</f>
        <v>in</v>
      </c>
      <c r="DE74" s="11" t="str">
        <f>IF(DE64="N/A","N/A",IF(OR(DC74="",DC74=0),"BLANK","EQ"))</f>
        <v>N/A</v>
      </c>
      <c r="DG74" s="35"/>
      <c r="DH74" s="124"/>
      <c r="DI74" s="15"/>
      <c r="DJ74" s="15"/>
      <c r="DK74" s="15"/>
      <c r="DL74" s="15" t="s">
        <v>685</v>
      </c>
      <c r="DM74" s="16"/>
      <c r="DN74" s="25" t="str">
        <f>IF($A$25="mm","mm","in")</f>
        <v>in</v>
      </c>
      <c r="DO74" s="11" t="str">
        <f>IF(DO64="N/A","N/A",IF(OR(DM74="",DM74=0),"BLANK","EQ"))</f>
        <v>N/A</v>
      </c>
    </row>
    <row r="75" spans="1:119" ht="15" customHeight="1" x14ac:dyDescent="0.2">
      <c r="A75" s="12" t="s">
        <v>686</v>
      </c>
      <c r="B75" s="15"/>
      <c r="C75" s="15"/>
      <c r="D75" s="11"/>
      <c r="E75" s="11"/>
      <c r="F75" s="15" t="s">
        <v>687</v>
      </c>
      <c r="G75" s="28">
        <f>G73*G71</f>
        <v>0</v>
      </c>
      <c r="H75" s="25" t="s">
        <v>653</v>
      </c>
      <c r="I75" s="11" t="str">
        <f>IF(G75="","BLANK",IF(G75&gt;600,"REJECT","EQ"))</f>
        <v>EQ</v>
      </c>
      <c r="K75" s="37" t="s">
        <v>688</v>
      </c>
      <c r="L75" s="124"/>
      <c r="M75" s="124" t="s">
        <v>689</v>
      </c>
      <c r="N75" s="174" t="str" cm="1">
        <f t="array" aca="1" ref="N75" ca="1">IF(ISREF(INDIRECT("'"&amp;Q73&amp;"'!$AE$82")),
IF(INDIRECT("'"&amp;Q73&amp;"'!$AE$82")=0,(1+Q75)/(1+INDIRECT("'"&amp;Q73&amp;"'!$AE$82")),
IF(Q75/IF($A$25="mm",INDIRECT("'"&amp;Q73&amp;"'!$AE$82"),INDIRECT("'"&amp;Q73&amp;"'!$AE$83"))&lt;0.5,
(Q75+IF($A$25="mm",0.127,0.005))/IF($A$25="mm",INDIRECT("'"&amp;Q73&amp;"'!$AE$82"),INDIRECT("'"&amp;Q73&amp;"'!$AE$83")),
Q75/IF($A$25="mm",INDIRECT("'"&amp;Q73&amp;"'!$AE$82"),INDIRECT("'"&amp;Q73&amp;"'!$AE$83")))),"Typo")</f>
        <v>Typo</v>
      </c>
      <c r="O75" s="124"/>
      <c r="P75" s="124" t="s">
        <v>690</v>
      </c>
      <c r="Q75" s="175"/>
      <c r="R75" s="25" t="str">
        <f>IF($A$25="mm","mm","in")</f>
        <v>in</v>
      </c>
      <c r="S75" s="11" t="str">
        <f>IF(NOT(P71="Composite"),"N/A",IF(Q75="","BLANK",IF(OR(N75&lt;0.5,N75&gt;1),"REJECT","EQ")))</f>
        <v>N/A</v>
      </c>
      <c r="U75" s="35"/>
      <c r="V75" s="124"/>
      <c r="W75" s="15"/>
      <c r="X75" s="15"/>
      <c r="Y75" s="15"/>
      <c r="Z75" s="15" t="s">
        <v>682</v>
      </c>
      <c r="AA75" s="176"/>
      <c r="AB75" s="25" t="str">
        <f>IF($A$25="mm","Pa","psi")</f>
        <v>psi</v>
      </c>
      <c r="AC75" s="11" t="str">
        <f>IF(OR(AA75="",AA75=0),"BLANK","EQ")</f>
        <v>BLANK</v>
      </c>
      <c r="AD75" s="36"/>
      <c r="AE75" s="35"/>
      <c r="AF75" s="124"/>
      <c r="AG75" s="15"/>
      <c r="AH75" s="15"/>
      <c r="AI75" s="15"/>
      <c r="AJ75" s="15" t="s">
        <v>682</v>
      </c>
      <c r="AK75" s="176"/>
      <c r="AL75" s="25" t="str">
        <f>IF($A$25="mm","Pa","psi")</f>
        <v>psi</v>
      </c>
      <c r="AM75" s="11" t="str">
        <f>IF(OR(AK75="",AK75=0),"BLANK","EQ")</f>
        <v>BLANK</v>
      </c>
      <c r="AO75" s="35"/>
      <c r="AP75" s="124"/>
      <c r="AQ75" s="15"/>
      <c r="AR75" s="15"/>
      <c r="AS75" s="15"/>
      <c r="AT75" s="15" t="s">
        <v>682</v>
      </c>
      <c r="AU75" s="176"/>
      <c r="AV75" s="25" t="str">
        <f>IF($A$25="mm","Pa","psi")</f>
        <v>psi</v>
      </c>
      <c r="AW75" s="11" t="str">
        <f>IF(OR(AU75="",AU75=0),"BLANK","EQ")</f>
        <v>BLANK</v>
      </c>
      <c r="AY75" s="35"/>
      <c r="AZ75" s="124"/>
      <c r="BA75" s="15"/>
      <c r="BB75" s="15"/>
      <c r="BC75" s="15"/>
      <c r="BD75" s="15" t="s">
        <v>682</v>
      </c>
      <c r="BE75" s="176"/>
      <c r="BF75" s="25" t="str">
        <f>IF($A$25="mm","Pa","psi")</f>
        <v>psi</v>
      </c>
      <c r="BG75" s="11" t="str">
        <f>IF(OR(BE75="",BE75=0),"BLANK","EQ")</f>
        <v>BLANK</v>
      </c>
      <c r="BI75" s="35"/>
      <c r="BJ75" s="124"/>
      <c r="BK75" s="15"/>
      <c r="BL75" s="15"/>
      <c r="BM75" s="15"/>
      <c r="BN75" s="15" t="s">
        <v>682</v>
      </c>
      <c r="BO75" s="176"/>
      <c r="BP75" s="25" t="str">
        <f>IF($A$25="mm","Pa","psi")</f>
        <v>psi</v>
      </c>
      <c r="BQ75" s="11" t="str">
        <f>IF(OR($L$23&lt;40*IF($A$25="mm",1,2.2046),AND($U$22="Corner Attachment",NOT($U$24="None"))),"N/A",IF(OR(BO75="",BO75=0),"BLANK",IF(BO74="Yes","CHECK","EQ")))</f>
        <v>N/A</v>
      </c>
      <c r="BS75" s="35" t="str">
        <f>IF($U$22="Corner Attachment","F.10.5.6.c","F.10.5.8.a")</f>
        <v>F.10.5.8.a</v>
      </c>
      <c r="BT75" s="124"/>
      <c r="BU75" s="15"/>
      <c r="BV75" s="15"/>
      <c r="BW75" s="15"/>
      <c r="BX75" s="116" t="s">
        <v>691</v>
      </c>
      <c r="BY75" s="26">
        <f>0.577*BY70*BY73*PI()*((BY71/2)^2)*IF($A$25="mm",1/(10^6),1)</f>
        <v>0</v>
      </c>
      <c r="BZ75" s="177" t="str">
        <f>IF(BY75=0,"",BY75/$U$23)</f>
        <v/>
      </c>
      <c r="CA75" s="11" t="str">
        <f>IF(CA64="N/A","N/A",IF(BZ75&lt;1,"REJECT","EQ"))</f>
        <v>N/A</v>
      </c>
      <c r="CB75" s="36"/>
      <c r="CC75" s="35" t="str">
        <f>IF($U$22="Corner Attachment","F.10.5.6.c","F.10.5.8.a")</f>
        <v>F.10.5.8.a</v>
      </c>
      <c r="CD75" s="124"/>
      <c r="CE75" s="15"/>
      <c r="CF75" s="15"/>
      <c r="CG75" s="15"/>
      <c r="CH75" s="116" t="s">
        <v>691</v>
      </c>
      <c r="CI75" s="26">
        <f>0.577*CI70*CI73*PI()*((CI71/2)^2)*IF($A$25="mm",1/(10^6),1)</f>
        <v>0</v>
      </c>
      <c r="CJ75" s="177" t="str">
        <f>IF(CI75=0,"",CI75/$U$23)</f>
        <v/>
      </c>
      <c r="CK75" s="11" t="str">
        <f>IF(CK64="N/A","N/A",IF(CJ75&lt;1,"REJECT","EQ"))</f>
        <v>N/A</v>
      </c>
      <c r="CM75" s="35" t="str">
        <f>IF($U$22="Corner Attachment","F.10.5.6.c","F.10.5.8.a")</f>
        <v>F.10.5.8.a</v>
      </c>
      <c r="CN75" s="124"/>
      <c r="CO75" s="15"/>
      <c r="CP75" s="15"/>
      <c r="CQ75" s="15"/>
      <c r="CR75" s="116" t="s">
        <v>691</v>
      </c>
      <c r="CS75" s="26">
        <f>0.577*CS70*CS73*PI()*((CS71/2)^2)*IF($A$25="mm",1/(10^6),1)</f>
        <v>0</v>
      </c>
      <c r="CT75" s="177" t="str">
        <f>IF(CS75=0,"",CS75/$U$23)</f>
        <v/>
      </c>
      <c r="CU75" s="11" t="str">
        <f>IF(CU64="N/A","N/A",IF(CT75&lt;1,"REJECT","EQ"))</f>
        <v>N/A</v>
      </c>
      <c r="CW75" s="35" t="str">
        <f>IF($U$22="Corner Attachment","F.10.5.6.c","F.10.5.8.a")</f>
        <v>F.10.5.8.a</v>
      </c>
      <c r="CX75" s="124"/>
      <c r="CY75" s="15"/>
      <c r="CZ75" s="15"/>
      <c r="DA75" s="15"/>
      <c r="DB75" s="116" t="s">
        <v>691</v>
      </c>
      <c r="DC75" s="26">
        <f>0.577*DC70*DC73*PI()*((DC71/2)^2)*IF($A$25="mm",1/(10^6),1)</f>
        <v>0</v>
      </c>
      <c r="DD75" s="177" t="str">
        <f>IF(DC75=0,"",DC75/$U$23)</f>
        <v/>
      </c>
      <c r="DE75" s="11" t="str">
        <f>IF(DE64="N/A","N/A",IF(DD75&lt;1,"REJECT","EQ"))</f>
        <v>N/A</v>
      </c>
      <c r="DG75" s="35" t="str">
        <f>IF($U$22="Corner Attachment","F.10.5.6.c","F.10.5.8.a")</f>
        <v>F.10.5.8.a</v>
      </c>
      <c r="DH75" s="124"/>
      <c r="DI75" s="15"/>
      <c r="DJ75" s="15"/>
      <c r="DK75" s="15"/>
      <c r="DL75" s="116" t="s">
        <v>691</v>
      </c>
      <c r="DM75" s="26">
        <f>0.577*DM70*DM73*PI()*((DM71/2)^2)*IF($A$25="mm",1/(10^6),1)</f>
        <v>0</v>
      </c>
      <c r="DN75" s="177" t="str">
        <f>IF(DM75=0,"",DM75/$U$23)</f>
        <v/>
      </c>
      <c r="DO75" s="11" t="str">
        <f>IF(DO64="N/A","N/A",IF(DN75&lt;1,"REJECT","EQ"))</f>
        <v>N/A</v>
      </c>
    </row>
    <row r="76" spans="1:119" ht="15" customHeight="1" x14ac:dyDescent="0.2">
      <c r="A76" s="35"/>
      <c r="B76" s="15"/>
      <c r="C76" s="15"/>
      <c r="D76" s="11"/>
      <c r="E76" s="11"/>
      <c r="F76" s="15" t="s">
        <v>692</v>
      </c>
      <c r="G76" s="29">
        <f>G73*G71*G74*G70*(G68/1000)/1000</f>
        <v>0</v>
      </c>
      <c r="H76" s="25" t="s">
        <v>693</v>
      </c>
      <c r="I76" s="11" t="str">
        <f>IF(G76="","BLANK","EQ")</f>
        <v>EQ</v>
      </c>
      <c r="L76" s="15"/>
      <c r="M76" s="15" t="s">
        <v>694</v>
      </c>
      <c r="N76" s="16"/>
      <c r="O76" s="15"/>
      <c r="P76" s="15" t="s">
        <v>695</v>
      </c>
      <c r="Q76" s="11" t="str" cm="1">
        <f t="array" aca="1" ref="Q76" ca="1">IF(ISREF(INDIRECT("'"&amp;Q73&amp;"'!$AE$84")),IF($A$25="mm",INDIRECT("'"&amp;Q73&amp;"'!$AE$84"),INDIRECT("'"&amp;Q73&amp;"'!$AE$85"))*IF(N76="",1,N76),"Layup")</f>
        <v>Layup</v>
      </c>
      <c r="R76" s="25" t="str">
        <f>IF($A$25="mm","mm","in")</f>
        <v>in</v>
      </c>
      <c r="S76" s="11" t="str">
        <f>IF(NOT(P71="Composite"),"N/A",IF(MOD(N76,1)=0,"EQ","REJECT"))</f>
        <v>N/A</v>
      </c>
      <c r="U76" s="35"/>
      <c r="V76" s="124"/>
      <c r="W76" s="15"/>
      <c r="X76" s="15"/>
      <c r="Y76" s="15"/>
      <c r="Z76" s="15" t="s">
        <v>685</v>
      </c>
      <c r="AA76" s="16"/>
      <c r="AB76" s="25" t="str">
        <f>IF($A$25="mm","mm","in")</f>
        <v>in</v>
      </c>
      <c r="AC76" s="11" t="str">
        <f>IF(OR(AA76="",AA76=0),"BLANK","EQ")</f>
        <v>BLANK</v>
      </c>
      <c r="AE76" s="35"/>
      <c r="AF76" s="124"/>
      <c r="AG76" s="15"/>
      <c r="AH76" s="15"/>
      <c r="AI76" s="15"/>
      <c r="AJ76" s="15" t="s">
        <v>685</v>
      </c>
      <c r="AK76" s="16"/>
      <c r="AL76" s="25" t="str">
        <f>IF($A$25="mm","mm","in")</f>
        <v>in</v>
      </c>
      <c r="AM76" s="11" t="str">
        <f>IF(OR(AK76="",AK76=0),"BLANK","EQ")</f>
        <v>BLANK</v>
      </c>
      <c r="AO76" s="35"/>
      <c r="AP76" s="124"/>
      <c r="AQ76" s="15"/>
      <c r="AR76" s="15"/>
      <c r="AS76" s="15"/>
      <c r="AT76" s="15" t="s">
        <v>685</v>
      </c>
      <c r="AU76" s="16"/>
      <c r="AV76" s="25" t="str">
        <f>IF($A$25="mm","mm","in")</f>
        <v>in</v>
      </c>
      <c r="AW76" s="11" t="str">
        <f>IF(OR(AU76="",AU76=0),"BLANK","EQ")</f>
        <v>BLANK</v>
      </c>
      <c r="AY76" s="35"/>
      <c r="AZ76" s="124"/>
      <c r="BA76" s="15"/>
      <c r="BB76" s="15"/>
      <c r="BC76" s="15"/>
      <c r="BD76" s="15" t="s">
        <v>685</v>
      </c>
      <c r="BE76" s="16"/>
      <c r="BF76" s="25" t="str">
        <f>IF($A$25="mm","mm","in")</f>
        <v>in</v>
      </c>
      <c r="BG76" s="11" t="str">
        <f>IF(OR(BE76="",BE76=0),"BLANK","EQ")</f>
        <v>BLANK</v>
      </c>
      <c r="BI76" s="35"/>
      <c r="BJ76" s="124"/>
      <c r="BK76" s="15"/>
      <c r="BL76" s="15"/>
      <c r="BM76" s="15"/>
      <c r="BN76" s="116" t="s">
        <v>685</v>
      </c>
      <c r="BO76" s="16"/>
      <c r="BP76" s="25" t="str">
        <f>IF($A$25="mm","mm","in")</f>
        <v>in</v>
      </c>
      <c r="BQ76" s="11" t="str">
        <f>IF(OR($L$23&lt;40*IF($A$25="mm",1,2.2046),AND($U$22="Corner Attachment",NOT($U$24="None"))),"N/A",IF(OR(BO76="",BO76=0),"BLANK","EQ"))</f>
        <v>N/A</v>
      </c>
      <c r="BS76" s="35"/>
      <c r="BT76" s="124"/>
      <c r="BU76" s="15"/>
      <c r="BV76" s="15"/>
      <c r="BW76" s="15"/>
      <c r="BX76" s="116" t="s">
        <v>696</v>
      </c>
      <c r="BY76" s="26" t="e">
        <f>BY67*BY68*BY74*IF($A$25="mm",1/10^6,1)</f>
        <v>#N/A</v>
      </c>
      <c r="BZ76" s="177" t="e">
        <f>IF(BY76=0,"",BY76/$U$23)</f>
        <v>#N/A</v>
      </c>
      <c r="CA76" s="11" t="str">
        <f>IF(CA64="N/A","N/A",IF(BZ76&lt;1,"REJECT","EQ"))</f>
        <v>N/A</v>
      </c>
      <c r="CC76" s="35"/>
      <c r="CD76" s="124"/>
      <c r="CE76" s="15"/>
      <c r="CF76" s="15"/>
      <c r="CG76" s="15"/>
      <c r="CH76" s="116" t="s">
        <v>696</v>
      </c>
      <c r="CI76" s="26" t="e">
        <f>CI67*CI68*CI74*IF($A$25="mm",1/10^6,1)</f>
        <v>#N/A</v>
      </c>
      <c r="CJ76" s="177" t="e">
        <f>IF(CI76=0,"",CI76/$U$23)</f>
        <v>#N/A</v>
      </c>
      <c r="CK76" s="11" t="str">
        <f>IF(CK64="N/A","N/A",IF(CJ76&lt;1,"REJECT","EQ"))</f>
        <v>N/A</v>
      </c>
      <c r="CM76" s="35"/>
      <c r="CN76" s="124"/>
      <c r="CO76" s="15"/>
      <c r="CP76" s="15"/>
      <c r="CQ76" s="15"/>
      <c r="CR76" s="116" t="s">
        <v>696</v>
      </c>
      <c r="CS76" s="26" t="e">
        <f>CS67*CS68*CS74*IF($A$25="mm",1/10^6,1)</f>
        <v>#N/A</v>
      </c>
      <c r="CT76" s="177" t="e">
        <f>IF(CS76=0,"",CS76/$U$23)</f>
        <v>#N/A</v>
      </c>
      <c r="CU76" s="11" t="str">
        <f>IF(CU64="N/A","N/A",IF(CT76&lt;1,"REJECT","EQ"))</f>
        <v>N/A</v>
      </c>
      <c r="CW76" s="35"/>
      <c r="CX76" s="124"/>
      <c r="CY76" s="15"/>
      <c r="CZ76" s="15"/>
      <c r="DA76" s="15"/>
      <c r="DB76" s="116" t="s">
        <v>696</v>
      </c>
      <c r="DC76" s="26" t="e">
        <f>DC67*DC68*DC74*IF($A$25="mm",1/10^6,1)</f>
        <v>#N/A</v>
      </c>
      <c r="DD76" s="177" t="e">
        <f>IF(DC76=0,"",DC76/$U$23)</f>
        <v>#N/A</v>
      </c>
      <c r="DE76" s="11" t="str">
        <f>IF(DE64="N/A","N/A",IF(DD76&lt;1,"REJECT","EQ"))</f>
        <v>N/A</v>
      </c>
      <c r="DG76" s="35"/>
      <c r="DH76" s="124"/>
      <c r="DI76" s="15"/>
      <c r="DJ76" s="15"/>
      <c r="DK76" s="15"/>
      <c r="DL76" s="116" t="s">
        <v>696</v>
      </c>
      <c r="DM76" s="26" t="e">
        <f>DM67*DM68*DM74*IF($A$25="mm",1/10^6,1)</f>
        <v>#N/A</v>
      </c>
      <c r="DN76" s="177" t="e">
        <f>IF(DM76=0,"",DM76/$U$23)</f>
        <v>#N/A</v>
      </c>
      <c r="DO76" s="11" t="str">
        <f>IF(DO64="N/A","N/A",IF(DN76&lt;1,"REJECT","EQ"))</f>
        <v>N/A</v>
      </c>
    </row>
    <row r="77" spans="1:119" ht="15" customHeight="1" x14ac:dyDescent="0.2">
      <c r="A77" s="35"/>
      <c r="B77" s="15"/>
      <c r="C77" s="15"/>
      <c r="D77" s="11"/>
      <c r="E77" s="11"/>
      <c r="F77" s="15"/>
      <c r="G77" s="11"/>
      <c r="H77" s="11"/>
      <c r="I77" s="11"/>
      <c r="L77" s="15"/>
      <c r="M77" s="15" t="s">
        <v>694</v>
      </c>
      <c r="N77" s="16"/>
      <c r="O77" s="15"/>
      <c r="P77" s="15" t="s">
        <v>697</v>
      </c>
      <c r="Q77" s="11" t="str" cm="1">
        <f t="array" aca="1" ref="Q77" ca="1">IF(ISREF(INDIRECT("'"&amp;Q73&amp;"'!$AE$86")),IF($A$25="mm",INDIRECT("'"&amp;Q73&amp;"'!$AE$86"),INDIRECT("'"&amp;Q73&amp;"'!$AE$87"))*IF(N77="",1,N77),"Typo")</f>
        <v>Typo</v>
      </c>
      <c r="R77" s="25" t="str">
        <f>IF($A$25="mm","mm","in")</f>
        <v>in</v>
      </c>
      <c r="S77" s="11" t="str">
        <f>IF(NOT(P71="Composite"),"N/A",IF(MOD(N77,1)=0,"EQ","REJECT"))</f>
        <v>N/A</v>
      </c>
      <c r="U77" s="35" t="str">
        <f>IF($U$22="Corner Attachment","F.10.5.6.c","F.10.5.8.a")</f>
        <v>F.10.5.8.a</v>
      </c>
      <c r="V77" s="124"/>
      <c r="W77" s="15"/>
      <c r="X77" s="15"/>
      <c r="Y77" s="15"/>
      <c r="Z77" s="116" t="s">
        <v>691</v>
      </c>
      <c r="AA77" s="26">
        <f>0.577*AA72*AA75*PI()*((AA73/2)^2)*IF($A$25="mm",1/(10^6),1)</f>
        <v>0</v>
      </c>
      <c r="AB77" s="177" t="str">
        <f>IF(AA77=0,"",AA77/$U$23)</f>
        <v/>
      </c>
      <c r="AC77" s="11" t="str">
        <f>IF(AB77&lt;1,"REJECT","EQ")</f>
        <v>EQ</v>
      </c>
      <c r="AE77" s="35" t="str">
        <f>IF($U$22="Corner Attachment","F.10.5.6.c","F.10.5.8.a")</f>
        <v>F.10.5.8.a</v>
      </c>
      <c r="AF77" s="124"/>
      <c r="AG77" s="15"/>
      <c r="AH77" s="15"/>
      <c r="AI77" s="15"/>
      <c r="AJ77" s="116" t="s">
        <v>691</v>
      </c>
      <c r="AK77" s="26">
        <f>0.577*AK72*AK75*PI()*((AK73/2)^2)*IF($A$25="mm",1/(10^6),1)</f>
        <v>0</v>
      </c>
      <c r="AL77" s="177" t="str">
        <f>IF(AK77=0,"",AK77/$U$23)</f>
        <v/>
      </c>
      <c r="AM77" s="11" t="str">
        <f>IF(AL77&lt;1,"REJECT","EQ")</f>
        <v>EQ</v>
      </c>
      <c r="AO77" s="35" t="str">
        <f>IF($U$22="Corner Attachment","F.10.5.6.c","F.10.5.8.a")</f>
        <v>F.10.5.8.a</v>
      </c>
      <c r="AP77" s="124"/>
      <c r="AQ77" s="15"/>
      <c r="AR77" s="15"/>
      <c r="AS77" s="15"/>
      <c r="AT77" s="116" t="s">
        <v>691</v>
      </c>
      <c r="AU77" s="26">
        <f>0.577*AU72*AU75*PI()*((AU73/2)^2)*IF($A$25="mm",1/(10^6),1)</f>
        <v>0</v>
      </c>
      <c r="AV77" s="177" t="str">
        <f>IF(AU77=0,"",AU77/$U$23)</f>
        <v/>
      </c>
      <c r="AW77" s="11" t="str">
        <f>IF(AV77&lt;1,"REJECT","EQ")</f>
        <v>EQ</v>
      </c>
      <c r="AY77" s="35" t="str">
        <f>IF($U$22="Corner Attachment","F.10.5.6.c","F.10.5.8.a")</f>
        <v>F.10.5.8.a</v>
      </c>
      <c r="AZ77" s="124"/>
      <c r="BA77" s="15"/>
      <c r="BB77" s="15"/>
      <c r="BC77" s="15"/>
      <c r="BD77" s="116" t="s">
        <v>691</v>
      </c>
      <c r="BE77" s="26">
        <f>0.577*BE72*BE75*PI()*((BE73/2)^2)*IF($A$25="mm",1/(10^6),1)</f>
        <v>0</v>
      </c>
      <c r="BF77" s="177" t="str">
        <f>IF(BE77=0,"",BE77/$U$23)</f>
        <v/>
      </c>
      <c r="BG77" s="11" t="str">
        <f>IF(BF77&lt;1,"REJECT","EQ")</f>
        <v>EQ</v>
      </c>
      <c r="BI77" s="35" t="str">
        <f>IF($U$22="Corner Attachment","F.10.5.6.c","F.10.5.8.a")</f>
        <v>F.10.5.8.a</v>
      </c>
      <c r="BJ77" s="124"/>
      <c r="BK77" s="15"/>
      <c r="BL77" s="15"/>
      <c r="BM77" s="15"/>
      <c r="BN77" s="116" t="s">
        <v>691</v>
      </c>
      <c r="BO77" s="26">
        <f>0.577*BO72*BO75*PI()*((BO73/2)^2)*IF($A$25="mm",1/(10^6),1)</f>
        <v>0</v>
      </c>
      <c r="BP77" s="177" t="str">
        <f>IF(BO77=0,"",BO77/$U$23)</f>
        <v/>
      </c>
      <c r="BQ77" s="11" t="str">
        <f>IF(OR($L$23&lt;40*IF($A$25="mm",1,2.2046),AND($U$22="Corner Attachment",NOT($U$24="None"))),"N/A",IF(BP77&lt;1,"REJECT","EQ"))</f>
        <v>N/A</v>
      </c>
      <c r="BS77" s="35"/>
      <c r="BT77" s="124"/>
      <c r="BU77" s="15"/>
      <c r="BV77" s="15"/>
      <c r="BW77" s="15"/>
      <c r="BX77" s="116" t="s">
        <v>698</v>
      </c>
      <c r="BY77" s="26" t="e">
        <f>2*BY67*BY70*BY69*BY68*IF($A$25="mm",1/10^6,1)</f>
        <v>#N/A</v>
      </c>
      <c r="BZ77" s="177" t="e">
        <f>IF(BY77=0,"",BY77/$U$23)</f>
        <v>#N/A</v>
      </c>
      <c r="CA77" s="11" t="str">
        <f>IF(CA64="N/A","N/A",IF(BZ77&lt;1,"REJECT","EQ"))</f>
        <v>N/A</v>
      </c>
      <c r="CC77" s="35"/>
      <c r="CD77" s="124"/>
      <c r="CE77" s="15"/>
      <c r="CF77" s="15"/>
      <c r="CG77" s="15"/>
      <c r="CH77" s="116" t="s">
        <v>698</v>
      </c>
      <c r="CI77" s="26" t="e">
        <f>2*CI67*CI70*CI69*CI68*IF($A$25="mm",1/10^6,1)</f>
        <v>#N/A</v>
      </c>
      <c r="CJ77" s="177" t="e">
        <f>IF(CI77=0,"",CI77/$U$23)</f>
        <v>#N/A</v>
      </c>
      <c r="CK77" s="11" t="str">
        <f>IF(CK64="N/A","N/A",IF(CJ77&lt;1,"REJECT","EQ"))</f>
        <v>N/A</v>
      </c>
      <c r="CM77" s="35"/>
      <c r="CN77" s="124"/>
      <c r="CO77" s="15"/>
      <c r="CP77" s="15"/>
      <c r="CQ77" s="15"/>
      <c r="CR77" s="116" t="s">
        <v>698</v>
      </c>
      <c r="CS77" s="26" t="e">
        <f>2*CS67*CS70*CS69*CS68*IF($A$25="mm",1/10^6,1)</f>
        <v>#N/A</v>
      </c>
      <c r="CT77" s="177" t="e">
        <f>IF(CS77=0,"",CS77/$U$23)</f>
        <v>#N/A</v>
      </c>
      <c r="CU77" s="11" t="str">
        <f>IF(CU64="N/A","N/A",IF(CT77&lt;1,"REJECT","EQ"))</f>
        <v>N/A</v>
      </c>
      <c r="CW77" s="35"/>
      <c r="CX77" s="124"/>
      <c r="CY77" s="15"/>
      <c r="CZ77" s="15"/>
      <c r="DA77" s="15"/>
      <c r="DB77" s="116" t="s">
        <v>698</v>
      </c>
      <c r="DC77" s="26" t="e">
        <f>2*DC67*DC70*DC69*DC68*IF($A$25="mm",1/10^6,1)</f>
        <v>#N/A</v>
      </c>
      <c r="DD77" s="177" t="e">
        <f>IF(DC77=0,"",DC77/$U$23)</f>
        <v>#N/A</v>
      </c>
      <c r="DE77" s="11" t="str">
        <f>IF(DE64="N/A","N/A",IF(DD77&lt;1,"REJECT","EQ"))</f>
        <v>N/A</v>
      </c>
      <c r="DG77" s="35"/>
      <c r="DH77" s="124"/>
      <c r="DI77" s="15"/>
      <c r="DJ77" s="15"/>
      <c r="DK77" s="15"/>
      <c r="DL77" s="116" t="s">
        <v>698</v>
      </c>
      <c r="DM77" s="26" t="e">
        <f>2*DM67*DM70*DM69*DM68*IF($A$25="mm",1/10^6,1)</f>
        <v>#N/A</v>
      </c>
      <c r="DN77" s="177" t="e">
        <f>IF(DM77=0,"",DM77/$U$23)</f>
        <v>#N/A</v>
      </c>
      <c r="DO77" s="11" t="str">
        <f>IF(DO64="N/A","N/A",IF(DN77&lt;1,"REJECT","EQ"))</f>
        <v>N/A</v>
      </c>
    </row>
    <row r="78" spans="1:119" ht="15" customHeight="1" x14ac:dyDescent="0.2">
      <c r="A78" s="295" t="str" cm="1">
        <f t="array" ref="A78">IF(COUNTIF(I79:I83,"BLANK"),"BLANK",IF(OR(SUMPRODUCT(--ISERROR(I79:I83))&gt;0,COUNTIF(I79:I83,"REJECT")),"REJECT",IF(COUNTIF(I79:I83,"CHECK"),"CHECK","EQ")))</f>
        <v>BLANK</v>
      </c>
      <c r="B78" s="295"/>
      <c r="C78" s="295"/>
      <c r="D78" s="295"/>
      <c r="E78" s="295"/>
      <c r="F78" s="295"/>
      <c r="G78" s="295"/>
      <c r="H78" s="295"/>
      <c r="I78" s="295"/>
      <c r="K78" s="337" t="s">
        <v>699</v>
      </c>
      <c r="L78" s="337"/>
      <c r="M78" s="337"/>
      <c r="N78" s="338" t="s">
        <v>699</v>
      </c>
      <c r="O78" s="337"/>
      <c r="P78" s="339"/>
      <c r="Q78" s="338" t="s">
        <v>699</v>
      </c>
      <c r="R78" s="337"/>
      <c r="S78" s="339"/>
      <c r="U78" s="35"/>
      <c r="V78" s="124"/>
      <c r="W78" s="15"/>
      <c r="X78" s="15"/>
      <c r="Y78" s="15"/>
      <c r="Z78" s="116" t="s">
        <v>696</v>
      </c>
      <c r="AA78" s="26" t="e">
        <f>AA69*AA70*AA76*IF($A$25="mm",1/10^6,1)</f>
        <v>#N/A</v>
      </c>
      <c r="AB78" s="177" t="e">
        <f>IF(AA78=0,"",AA78/$U$23)</f>
        <v>#N/A</v>
      </c>
      <c r="AC78" s="11" t="e">
        <f>IF(AB78&lt;1,"REJECT","EQ")</f>
        <v>#N/A</v>
      </c>
      <c r="AE78" s="35"/>
      <c r="AF78" s="124"/>
      <c r="AG78" s="15"/>
      <c r="AH78" s="15"/>
      <c r="AI78" s="15"/>
      <c r="AJ78" s="116" t="s">
        <v>696</v>
      </c>
      <c r="AK78" s="26" t="e">
        <f>AK69*AK70*AK76*IF($A$25="mm",1/10^6,1)</f>
        <v>#N/A</v>
      </c>
      <c r="AL78" s="177" t="e">
        <f>IF(AK78=0,"",AK78/$U$23)</f>
        <v>#N/A</v>
      </c>
      <c r="AM78" s="11" t="e">
        <f>IF(AL78&lt;1,"REJECT","EQ")</f>
        <v>#N/A</v>
      </c>
      <c r="AO78" s="35"/>
      <c r="AP78" s="124"/>
      <c r="AQ78" s="15"/>
      <c r="AR78" s="15"/>
      <c r="AS78" s="15"/>
      <c r="AT78" s="116" t="s">
        <v>696</v>
      </c>
      <c r="AU78" s="26" t="e">
        <f>AU69*AU70*AU76*IF($A$25="mm",1/10^6,1)</f>
        <v>#N/A</v>
      </c>
      <c r="AV78" s="177" t="e">
        <f>IF(AU78=0,"",AU78/$U$23)</f>
        <v>#N/A</v>
      </c>
      <c r="AW78" s="11" t="e">
        <f>IF(AV78&lt;1,"REJECT","EQ")</f>
        <v>#N/A</v>
      </c>
      <c r="AY78" s="35"/>
      <c r="AZ78" s="124"/>
      <c r="BA78" s="15"/>
      <c r="BB78" s="15"/>
      <c r="BC78" s="15"/>
      <c r="BD78" s="116" t="s">
        <v>696</v>
      </c>
      <c r="BE78" s="26" t="e">
        <f>BE69*BE70*BE76*IF($A$25="mm",1/10^6,1)</f>
        <v>#N/A</v>
      </c>
      <c r="BF78" s="177" t="e">
        <f>IF(BE78=0,"",BE78/$U$23)</f>
        <v>#N/A</v>
      </c>
      <c r="BG78" s="11" t="e">
        <f>IF(BF78&lt;1,"REJECT","EQ")</f>
        <v>#N/A</v>
      </c>
      <c r="BI78" s="35"/>
      <c r="BJ78" s="124"/>
      <c r="BK78" s="15"/>
      <c r="BL78" s="15"/>
      <c r="BM78" s="15"/>
      <c r="BN78" s="116" t="s">
        <v>696</v>
      </c>
      <c r="BO78" s="26" t="e">
        <f>BO69*BO70*BO76*IF($A$25="mm",1/10^6,1)</f>
        <v>#N/A</v>
      </c>
      <c r="BP78" s="177" t="e">
        <f>IF(BO78=0,"",BO78/$U$23)</f>
        <v>#N/A</v>
      </c>
      <c r="BQ78" s="11" t="str">
        <f>IF(OR($L$23&lt;40*IF($A$25="mm",1,2.2046),AND($U$22="Corner Attachment",NOT($U$24="None"))),"N/A",IF(BP78&lt;1,"REJECT","EQ"))</f>
        <v>N/A</v>
      </c>
      <c r="BS78" s="35"/>
      <c r="BT78" s="124"/>
      <c r="BU78" s="15"/>
      <c r="BV78" s="15"/>
      <c r="BW78" s="15"/>
      <c r="BX78" s="15"/>
      <c r="BY78" s="26"/>
      <c r="BZ78" s="177"/>
      <c r="CA78" s="11"/>
      <c r="CC78" s="35"/>
      <c r="CD78" s="124"/>
      <c r="CE78" s="15"/>
      <c r="CF78" s="15"/>
      <c r="CG78" s="15"/>
      <c r="CH78" s="15"/>
      <c r="CI78" s="26"/>
      <c r="CJ78" s="177"/>
      <c r="CK78" s="11"/>
      <c r="CM78" s="35"/>
      <c r="CN78" s="124"/>
      <c r="CO78" s="15"/>
      <c r="CP78" s="15"/>
      <c r="CQ78" s="15"/>
      <c r="CR78" s="15"/>
      <c r="CS78" s="26"/>
      <c r="CT78" s="177"/>
      <c r="CU78" s="11"/>
      <c r="CW78" s="35"/>
      <c r="CX78" s="124"/>
      <c r="CY78" s="15"/>
      <c r="CZ78" s="15"/>
      <c r="DA78" s="15"/>
      <c r="DB78" s="15"/>
      <c r="DC78" s="26"/>
      <c r="DD78" s="177"/>
      <c r="DE78" s="11"/>
      <c r="DG78" s="35"/>
      <c r="DH78" s="124"/>
      <c r="DI78" s="15"/>
      <c r="DJ78" s="15"/>
      <c r="DK78" s="15"/>
      <c r="DL78" s="15"/>
      <c r="DM78" s="26"/>
      <c r="DN78" s="177"/>
      <c r="DO78" s="11"/>
    </row>
    <row r="79" spans="1:119" ht="15" customHeight="1" x14ac:dyDescent="0.2">
      <c r="A79" s="11"/>
      <c r="B79" s="15"/>
      <c r="C79" s="15"/>
      <c r="D79" s="15"/>
      <c r="E79" s="15"/>
      <c r="F79" s="15" t="s">
        <v>700</v>
      </c>
      <c r="G79" s="164"/>
      <c r="I79" s="11" t="str">
        <f>IF(G79="","BLANK","EQ")</f>
        <v>BLANK</v>
      </c>
      <c r="K79" s="11" t="s">
        <v>701</v>
      </c>
      <c r="L79" s="11">
        <f>IF($A$25="mm",Q70/1000,Q70)</f>
        <v>0</v>
      </c>
      <c r="M79" s="25" t="str">
        <f>IF($A$25="mm","m","in")</f>
        <v>in</v>
      </c>
      <c r="N79" s="180" t="s">
        <v>702</v>
      </c>
      <c r="O79" s="181" t="e">
        <f ca="1">L79*L80</f>
        <v>#VALUE!</v>
      </c>
      <c r="P79" s="50" t="str">
        <f>IF($A$25="mm","m^2","in^2")</f>
        <v>in^2</v>
      </c>
      <c r="Q79" s="180" t="s">
        <v>703</v>
      </c>
      <c r="R79" s="181" t="e">
        <f ca="1">(L79*L80^3)/12</f>
        <v>#VALUE!</v>
      </c>
      <c r="S79" s="50" t="str">
        <f>IF($A$25="mm","m^4","in^4")</f>
        <v>in^4</v>
      </c>
      <c r="U79" s="35"/>
      <c r="V79" s="124"/>
      <c r="W79" s="15"/>
      <c r="X79" s="15"/>
      <c r="Y79" s="15"/>
      <c r="Z79" s="116" t="s">
        <v>698</v>
      </c>
      <c r="AA79" s="26" t="e">
        <f>2*AA69*AA72*AA71*AA70*IF($A$25="mm",1/10^6,1)</f>
        <v>#N/A</v>
      </c>
      <c r="AB79" s="177" t="e">
        <f>IF(AA79=0,"",AA79/$U$23)</f>
        <v>#N/A</v>
      </c>
      <c r="AC79" s="11" t="e">
        <f>IF(AB79&lt;1,"REJECT","EQ")</f>
        <v>#N/A</v>
      </c>
      <c r="AE79" s="35"/>
      <c r="AF79" s="124"/>
      <c r="AG79" s="15"/>
      <c r="AH79" s="15"/>
      <c r="AI79" s="15"/>
      <c r="AJ79" s="116" t="s">
        <v>698</v>
      </c>
      <c r="AK79" s="26" t="e">
        <f>2*AK69*AK72*AK71*AK70*IF($A$25="mm",1/10^6,1)</f>
        <v>#N/A</v>
      </c>
      <c r="AL79" s="177" t="e">
        <f>IF(AK79=0,"",AK79/$U$23)</f>
        <v>#N/A</v>
      </c>
      <c r="AM79" s="11" t="e">
        <f>IF(AL79&lt;1,"REJECT","EQ")</f>
        <v>#N/A</v>
      </c>
      <c r="AO79" s="35"/>
      <c r="AP79" s="124"/>
      <c r="AQ79" s="15"/>
      <c r="AR79" s="15"/>
      <c r="AS79" s="15"/>
      <c r="AT79" s="116" t="s">
        <v>698</v>
      </c>
      <c r="AU79" s="26" t="e">
        <f>2*AU69*AU72*AU71*AU70*IF($A$25="mm",1/10^6,1)</f>
        <v>#N/A</v>
      </c>
      <c r="AV79" s="177" t="e">
        <f>IF(AU79=0,"",AU79/$U$23)</f>
        <v>#N/A</v>
      </c>
      <c r="AW79" s="11" t="e">
        <f>IF(AV79&lt;1,"REJECT","EQ")</f>
        <v>#N/A</v>
      </c>
      <c r="AY79" s="35"/>
      <c r="AZ79" s="124"/>
      <c r="BA79" s="15"/>
      <c r="BB79" s="15"/>
      <c r="BC79" s="15"/>
      <c r="BD79" s="116" t="s">
        <v>698</v>
      </c>
      <c r="BE79" s="26" t="e">
        <f>2*BE69*BE72*BE71*BE70*IF($A$25="mm",1/10^6,1)</f>
        <v>#N/A</v>
      </c>
      <c r="BF79" s="177" t="e">
        <f>IF(BE79=0,"",BE79/$U$23)</f>
        <v>#N/A</v>
      </c>
      <c r="BG79" s="11" t="e">
        <f>IF(BF79&lt;1,"REJECT","EQ")</f>
        <v>#N/A</v>
      </c>
      <c r="BI79" s="35"/>
      <c r="BJ79" s="124"/>
      <c r="BK79" s="15"/>
      <c r="BL79" s="15"/>
      <c r="BM79" s="15"/>
      <c r="BN79" s="116" t="s">
        <v>698</v>
      </c>
      <c r="BO79" s="26" t="e">
        <f>2*BO69*BO72*BO71*BO70*IF($A$25="mm",1/10^6,1)</f>
        <v>#N/A</v>
      </c>
      <c r="BP79" s="177" t="e">
        <f>IF(BO79=0,"",BO79/$U$23)</f>
        <v>#N/A</v>
      </c>
      <c r="BQ79" s="11" t="str">
        <f>IF(OR($L$23&lt;40*IF($A$25="mm",1,2.2046),AND($U$22="Corner Attachment",NOT($U$24="None"))),"N/A",IF(BP79&lt;1,"REJECT","EQ"))</f>
        <v>N/A</v>
      </c>
      <c r="BS79" s="35"/>
      <c r="BT79" s="124"/>
      <c r="BU79" s="15"/>
      <c r="BV79" s="11"/>
      <c r="BW79" s="12" t="s">
        <v>704</v>
      </c>
      <c r="BX79" s="15"/>
      <c r="BY79" s="26"/>
      <c r="BZ79" s="177"/>
      <c r="CA79" s="11"/>
      <c r="CC79" s="35"/>
      <c r="CD79" s="124"/>
      <c r="CE79" s="15"/>
      <c r="CF79" s="11"/>
      <c r="CG79" s="12" t="s">
        <v>704</v>
      </c>
      <c r="CH79" s="15"/>
      <c r="CI79" s="26"/>
      <c r="CJ79" s="177"/>
      <c r="CK79" s="11"/>
      <c r="CM79" s="35"/>
      <c r="CN79" s="124"/>
      <c r="CO79" s="15"/>
      <c r="CP79" s="11"/>
      <c r="CQ79" s="12" t="s">
        <v>704</v>
      </c>
      <c r="CR79" s="15"/>
      <c r="CS79" s="26"/>
      <c r="CT79" s="177"/>
      <c r="CU79" s="11"/>
      <c r="CW79" s="35"/>
      <c r="CX79" s="124"/>
      <c r="CY79" s="15"/>
      <c r="CZ79" s="11"/>
      <c r="DA79" s="12" t="s">
        <v>704</v>
      </c>
      <c r="DB79" s="15"/>
      <c r="DC79" s="26"/>
      <c r="DD79" s="177"/>
      <c r="DE79" s="11"/>
      <c r="DG79" s="35"/>
      <c r="DH79" s="124"/>
      <c r="DI79" s="15"/>
      <c r="DJ79" s="11"/>
      <c r="DK79" s="12" t="s">
        <v>704</v>
      </c>
      <c r="DL79" s="15"/>
      <c r="DM79" s="26"/>
      <c r="DN79" s="177"/>
      <c r="DO79" s="11"/>
    </row>
    <row r="80" spans="1:119" ht="15" customHeight="1" thickBot="1" x14ac:dyDescent="0.25">
      <c r="B80" s="15"/>
      <c r="C80" s="15"/>
      <c r="D80" s="15"/>
      <c r="E80" s="15"/>
      <c r="F80" s="15" t="s">
        <v>705</v>
      </c>
      <c r="G80" s="81"/>
      <c r="I80" s="11" t="str">
        <f>IF(G80="","BLANK","EQ")</f>
        <v>BLANK</v>
      </c>
      <c r="K80" s="22" t="s">
        <v>706</v>
      </c>
      <c r="L80" s="11" t="str">
        <f ca="1">IF($A$25="mm",Q76/1000,Q76)</f>
        <v>Layup</v>
      </c>
      <c r="M80" s="25" t="str">
        <f>IF($A$25="mm","m","in")</f>
        <v>in</v>
      </c>
      <c r="N80" s="180" t="s">
        <v>707</v>
      </c>
      <c r="O80" s="181" t="e">
        <f ca="1">L82*L83</f>
        <v>#VALUE!</v>
      </c>
      <c r="P80" s="50" t="str">
        <f>IF($A$25="mm","m^2","in^2")</f>
        <v>in^2</v>
      </c>
      <c r="Q80" s="180" t="s">
        <v>708</v>
      </c>
      <c r="R80" s="181" t="e">
        <f ca="1">(L82*L83^3)/12</f>
        <v>#VALUE!</v>
      </c>
      <c r="S80" s="50" t="str">
        <f>IF($A$25="mm","m^4","in^4")</f>
        <v>in^4</v>
      </c>
      <c r="U80" s="35"/>
      <c r="V80" s="124"/>
      <c r="W80" s="15"/>
      <c r="X80" s="15"/>
      <c r="Y80" s="15"/>
      <c r="Z80" s="15" t="s">
        <v>709</v>
      </c>
      <c r="AA80" s="26" t="e">
        <f>MIN(AA75,AA68)*IF($A$25="mm",1/10^6,1)*AA70*PI()*(AA73/2)^2</f>
        <v>#N/A</v>
      </c>
      <c r="AB80" s="177" t="e">
        <f>IF(AA80=0,"",AA80/$U$23)</f>
        <v>#N/A</v>
      </c>
      <c r="AC80" s="11" t="e">
        <f>IF(AA65&gt;0,"N/A",IF(AB80&lt;1,"REJECT","EQ"))</f>
        <v>#N/A</v>
      </c>
      <c r="AE80" s="35"/>
      <c r="AF80" s="124"/>
      <c r="AG80" s="15"/>
      <c r="AH80" s="15"/>
      <c r="AI80" s="15"/>
      <c r="AJ80" s="15" t="s">
        <v>709</v>
      </c>
      <c r="AK80" s="26" t="e">
        <f>MIN(AK75,AK68)*IF($A$25="mm",1/10^6,1)*AK70*PI()*(AK73/2)^2</f>
        <v>#N/A</v>
      </c>
      <c r="AL80" s="177" t="e">
        <f>IF(AK80=0,"",AK80/$U$23)</f>
        <v>#N/A</v>
      </c>
      <c r="AM80" s="11" t="e">
        <f>IF(AK65&gt;0,"N/A",IF(AL80&lt;1,"REJECT","EQ"))</f>
        <v>#N/A</v>
      </c>
      <c r="AO80" s="35"/>
      <c r="AP80" s="124"/>
      <c r="AQ80" s="15"/>
      <c r="AR80" s="15"/>
      <c r="AS80" s="15"/>
      <c r="AT80" s="15" t="s">
        <v>709</v>
      </c>
      <c r="AU80" s="26" t="e">
        <f>MIN(AU75,AU68)*IF($A$25="mm",1/10^6,1)*AU70*PI()*(AU73/2)^2</f>
        <v>#N/A</v>
      </c>
      <c r="AV80" s="177" t="e">
        <f>IF(AU80=0,"",AU80/$U$23)</f>
        <v>#N/A</v>
      </c>
      <c r="AW80" s="11" t="e">
        <f>IF(AU65&gt;0,"N/A",IF(AV80&lt;1,"REJECT","EQ"))</f>
        <v>#N/A</v>
      </c>
      <c r="AY80" s="35"/>
      <c r="AZ80" s="124"/>
      <c r="BA80" s="15"/>
      <c r="BB80" s="15"/>
      <c r="BC80" s="15"/>
      <c r="BD80" s="15" t="s">
        <v>709</v>
      </c>
      <c r="BE80" s="26" t="e">
        <f>MIN(BE75,BE68)*IF($A$25="mm",1/10^6,1)*BE70*PI()*(BE73/2)^2</f>
        <v>#N/A</v>
      </c>
      <c r="BF80" s="177" t="e">
        <f>IF(BE80=0,"",BE80/$U$23)</f>
        <v>#N/A</v>
      </c>
      <c r="BG80" s="11" t="e">
        <f>IF(BE65&gt;0,"N/A",IF(BF80&lt;1,"REJECT","EQ"))</f>
        <v>#N/A</v>
      </c>
      <c r="BI80" s="35"/>
      <c r="BJ80" s="124"/>
      <c r="BK80" s="15"/>
      <c r="BL80" s="15"/>
      <c r="BM80" s="15"/>
      <c r="BN80" s="15" t="s">
        <v>709</v>
      </c>
      <c r="BO80" s="26" t="e">
        <f>MIN(BO75,BO68)*IF($A$25="mm",1/10^6,1)*BO70*PI()*(BO73/2)^2</f>
        <v>#N/A</v>
      </c>
      <c r="BP80" s="177" t="e">
        <f>IF(BO80=0,"",BO80/$U$23)</f>
        <v>#N/A</v>
      </c>
      <c r="BQ80" s="11" t="str">
        <f>IF(OR(BO65&gt;0,$L$23&lt;40*IF($A$25="mm",1,2.2046),AND($U$22="Corner Attachment",NOT($U$24="None"))),"N/A",IF(BP80&lt;1,"REJECT","EQ"))</f>
        <v>N/A</v>
      </c>
      <c r="BS80" s="295" t="str">
        <f>IF(COUNTIF(CA81:CA90,"BLANK"),"BLANK",IF(OR(SUMPRODUCT(--ISERROR(CA81:CA90))&gt;0,COUNTIF(CA81:CA90,"REJECT")),"REJECT",IF(COUNTIF(CA81:CA90,"CHECK"),"CHECK","EQ")))</f>
        <v>BLANK</v>
      </c>
      <c r="BT80" s="295"/>
      <c r="BU80" s="295"/>
      <c r="BV80" s="295"/>
      <c r="BW80" s="295"/>
      <c r="BX80" s="295"/>
      <c r="BY80" s="295"/>
      <c r="BZ80" s="295"/>
      <c r="CA80" s="295"/>
      <c r="CC80" s="295" t="str">
        <f>IF(COUNTIF(CK81:CK90,"BLANK"),"BLANK",IF(OR(SUMPRODUCT(--ISERROR(CK81:CK90))&gt;0,COUNTIF(CK81:CK90,"REJECT")),"REJECT",IF(COUNTIF(CK81:CK90,"CHECK"),"CHECK","EQ")))</f>
        <v>BLANK</v>
      </c>
      <c r="CD80" s="295"/>
      <c r="CE80" s="295"/>
      <c r="CF80" s="295"/>
      <c r="CG80" s="295"/>
      <c r="CH80" s="295"/>
      <c r="CI80" s="295"/>
      <c r="CJ80" s="295"/>
      <c r="CK80" s="295"/>
      <c r="CM80" s="295" t="str">
        <f>IF(COUNTIF(CU81:CU90,"BLANK"),"BLANK",IF(OR(SUMPRODUCT(--ISERROR(CU81:CU90))&gt;0,COUNTIF(CU81:CU90,"REJECT")),"REJECT",IF(COUNTIF(CU81:CU90,"CHECK"),"CHECK","EQ")))</f>
        <v>BLANK</v>
      </c>
      <c r="CN80" s="295"/>
      <c r="CO80" s="295"/>
      <c r="CP80" s="295"/>
      <c r="CQ80" s="295"/>
      <c r="CR80" s="295"/>
      <c r="CS80" s="295"/>
      <c r="CT80" s="295"/>
      <c r="CU80" s="295"/>
      <c r="CW80" s="295" t="str">
        <f>IF(COUNTIF(DE81:DE90,"BLANK"),"BLANK",IF(OR(SUMPRODUCT(--ISERROR(DE81:DE90))&gt;0,COUNTIF(DE81:DE90,"REJECT")),"REJECT",IF(COUNTIF(DE81:DE90,"CHECK"),"CHECK","EQ")))</f>
        <v>BLANK</v>
      </c>
      <c r="CX80" s="295"/>
      <c r="CY80" s="295"/>
      <c r="CZ80" s="295"/>
      <c r="DA80" s="295"/>
      <c r="DB80" s="295"/>
      <c r="DC80" s="295"/>
      <c r="DD80" s="295"/>
      <c r="DE80" s="295"/>
      <c r="DG80" s="295" t="str">
        <f>IF(COUNTIF(DO81:DO90,"BLANK"),"BLANK",IF(OR(SUMPRODUCT(--ISERROR(DO81:DO90))&gt;0,COUNTIF(DO81:DO90,"REJECT")),"REJECT",IF(COUNTIF(DO81:DO90,"CHECK"),"CHECK","EQ")))</f>
        <v>EQ</v>
      </c>
      <c r="DH80" s="295"/>
      <c r="DI80" s="295"/>
      <c r="DJ80" s="295"/>
      <c r="DK80" s="295"/>
      <c r="DL80" s="295"/>
      <c r="DM80" s="295"/>
      <c r="DN80" s="295"/>
      <c r="DO80" s="295"/>
    </row>
    <row r="81" spans="1:119" ht="15" customHeight="1" thickBot="1" x14ac:dyDescent="0.25">
      <c r="A81" s="12"/>
      <c r="B81" s="15"/>
      <c r="C81" s="15"/>
      <c r="D81" s="15"/>
      <c r="E81" s="15"/>
      <c r="F81" s="15" t="s">
        <v>710</v>
      </c>
      <c r="G81" s="16"/>
      <c r="I81" s="11" t="str">
        <f>IF(G81="","BLANK","EQ")</f>
        <v>BLANK</v>
      </c>
      <c r="K81" s="22" t="s">
        <v>711</v>
      </c>
      <c r="L81" s="11">
        <f>IF($A$25="mm",Q74/1000,Q74)</f>
        <v>0</v>
      </c>
      <c r="M81" s="25" t="str">
        <f>IF($A$25="mm","m","in")</f>
        <v>in</v>
      </c>
      <c r="N81" s="180" t="s">
        <v>712</v>
      </c>
      <c r="O81" s="182" t="e">
        <f ca="1">L80/2</f>
        <v>#VALUE!</v>
      </c>
      <c r="P81" s="50" t="str">
        <f>IF($A$25="mm","m","in")</f>
        <v>in</v>
      </c>
      <c r="Q81" s="180" t="s">
        <v>713</v>
      </c>
      <c r="R81" s="181" t="e">
        <f ca="1">IF(O83="","",R79+(O79*(O83-O81)^2))</f>
        <v>#VALUE!</v>
      </c>
      <c r="S81" s="50" t="str">
        <f>IF($A$25="mm","m^4","in^4")</f>
        <v>in^4</v>
      </c>
      <c r="U81" s="128"/>
      <c r="V81" s="128"/>
      <c r="W81" s="128"/>
      <c r="X81" s="128"/>
      <c r="Y81" s="128"/>
      <c r="Z81" s="128"/>
      <c r="AA81" s="128"/>
      <c r="AB81" s="128"/>
      <c r="AC81" s="128"/>
      <c r="AE81" s="128"/>
      <c r="AF81" s="128"/>
      <c r="AG81" s="128"/>
      <c r="AH81" s="128"/>
      <c r="AI81" s="128"/>
      <c r="AJ81" s="128"/>
      <c r="AK81" s="128"/>
      <c r="AL81" s="128"/>
      <c r="AM81" s="128"/>
      <c r="AO81" s="128"/>
      <c r="AP81" s="128"/>
      <c r="AQ81" s="128"/>
      <c r="AR81" s="128"/>
      <c r="AS81" s="128"/>
      <c r="AT81" s="128"/>
      <c r="AU81" s="128"/>
      <c r="AV81" s="128"/>
      <c r="AW81" s="128"/>
      <c r="AY81" s="128"/>
      <c r="AZ81" s="128"/>
      <c r="BA81" s="128"/>
      <c r="BB81" s="128"/>
      <c r="BC81" s="128"/>
      <c r="BD81" s="128"/>
      <c r="BE81" s="128"/>
      <c r="BF81" s="128"/>
      <c r="BG81" s="128"/>
      <c r="BI81" s="128"/>
      <c r="BJ81" s="128"/>
      <c r="BK81" s="128"/>
      <c r="BL81" s="128"/>
      <c r="BM81" s="128"/>
      <c r="BN81" s="128"/>
      <c r="BO81" s="128"/>
      <c r="BP81" s="128"/>
      <c r="BQ81" s="128"/>
      <c r="BS81" s="35"/>
      <c r="BT81" s="124"/>
      <c r="BU81" s="15"/>
      <c r="BV81" s="15"/>
      <c r="BW81" s="15"/>
      <c r="BX81" s="15" t="s">
        <v>714</v>
      </c>
      <c r="BY81" s="348"/>
      <c r="BZ81" s="349"/>
      <c r="CA81" s="11" t="str">
        <f>IF(BY81="","BLANK","EQ")</f>
        <v>BLANK</v>
      </c>
      <c r="CC81" s="35"/>
      <c r="CD81" s="124"/>
      <c r="CE81" s="15"/>
      <c r="CF81" s="15"/>
      <c r="CG81" s="15"/>
      <c r="CH81" s="15" t="s">
        <v>714</v>
      </c>
      <c r="CI81" s="348"/>
      <c r="CJ81" s="349"/>
      <c r="CK81" s="11" t="str">
        <f>IF(CI81="","BLANK","EQ")</f>
        <v>BLANK</v>
      </c>
      <c r="CM81" s="35"/>
      <c r="CN81" s="124"/>
      <c r="CO81" s="15"/>
      <c r="CP81" s="15"/>
      <c r="CQ81" s="15"/>
      <c r="CR81" s="15" t="s">
        <v>714</v>
      </c>
      <c r="CS81" s="348"/>
      <c r="CT81" s="349"/>
      <c r="CU81" s="11" t="str">
        <f>IF(CS81="","BLANK","EQ")</f>
        <v>BLANK</v>
      </c>
      <c r="CW81" s="35"/>
      <c r="CX81" s="124"/>
      <c r="CY81" s="15"/>
      <c r="CZ81" s="15"/>
      <c r="DA81" s="15"/>
      <c r="DB81" s="15" t="s">
        <v>714</v>
      </c>
      <c r="DC81" s="348"/>
      <c r="DD81" s="349"/>
      <c r="DE81" s="11" t="str">
        <f>IF(DC81="","BLANK","EQ")</f>
        <v>BLANK</v>
      </c>
      <c r="DG81" s="35"/>
      <c r="DH81" s="124"/>
      <c r="DI81" s="15"/>
      <c r="DJ81" s="15"/>
      <c r="DK81" s="15"/>
      <c r="DL81" s="15" t="s">
        <v>714</v>
      </c>
      <c r="DM81" s="348"/>
      <c r="DN81" s="349"/>
      <c r="DO81" s="11" t="str">
        <f>IF(OR($L$23&lt;40*IF($A$25="mm",1,2.2046),AND($U$22="Corner Attachment",NOT($U$25="None")),DM81="Composite"),"N/A",IF(DM81="","BLANK","EQ"))</f>
        <v>N/A</v>
      </c>
    </row>
    <row r="82" spans="1:119" ht="15" customHeight="1" thickBot="1" x14ac:dyDescent="0.25">
      <c r="A82" s="12"/>
      <c r="B82" s="15"/>
      <c r="C82" s="32" t="s">
        <v>715</v>
      </c>
      <c r="D82" s="11">
        <f>G73*G74</f>
        <v>0</v>
      </c>
      <c r="E82" s="15"/>
      <c r="F82" s="32" t="s">
        <v>716</v>
      </c>
      <c r="G82" s="11">
        <f>G79*G80*G81</f>
        <v>0</v>
      </c>
      <c r="I82" s="11" t="str">
        <f>IF(D82=G82,"EQ",IF(OR(D82=0,G82=0),"BLANK","CHECK"))</f>
        <v>EQ</v>
      </c>
      <c r="K82" s="11" t="s">
        <v>717</v>
      </c>
      <c r="L82" s="11">
        <f>IF($A$25="mm",Q70/1000,Q70)</f>
        <v>0</v>
      </c>
      <c r="M82" s="25" t="str">
        <f>IF($A$25="mm","m","in")</f>
        <v>in</v>
      </c>
      <c r="N82" s="180" t="s">
        <v>718</v>
      </c>
      <c r="O82" s="182" t="e">
        <f ca="1">(L81-0.5*L83)</f>
        <v>#VALUE!</v>
      </c>
      <c r="P82" s="50" t="str">
        <f>IF($A$25="mm","m","in")</f>
        <v>in</v>
      </c>
      <c r="Q82" s="180" t="s">
        <v>719</v>
      </c>
      <c r="R82" s="181" t="e">
        <f ca="1">IF(O83="","",R80+(O80*(O83-O82)^2))</f>
        <v>#VALUE!</v>
      </c>
      <c r="S82" s="50" t="str">
        <f>IF($A$25="mm","m^4","in^4")</f>
        <v>in^4</v>
      </c>
      <c r="V82" s="128"/>
      <c r="W82" s="128"/>
      <c r="X82" s="128"/>
      <c r="Y82" s="37" t="s">
        <v>720</v>
      </c>
      <c r="Z82" s="128"/>
      <c r="AA82" s="128"/>
      <c r="AB82" s="128"/>
      <c r="AC82" s="128"/>
      <c r="AE82" s="128"/>
      <c r="AF82" s="128"/>
      <c r="AG82" s="128"/>
      <c r="AH82" s="128"/>
      <c r="AI82" s="37" t="s">
        <v>720</v>
      </c>
      <c r="AJ82" s="128"/>
      <c r="AK82" s="128"/>
      <c r="AL82" s="128"/>
      <c r="AM82" s="128"/>
      <c r="AO82" s="128"/>
      <c r="AP82" s="128"/>
      <c r="AQ82" s="128"/>
      <c r="AR82" s="128"/>
      <c r="AS82" s="37" t="s">
        <v>720</v>
      </c>
      <c r="AT82" s="128"/>
      <c r="AU82" s="128"/>
      <c r="AV82" s="128"/>
      <c r="AW82" s="128"/>
      <c r="AY82" s="128"/>
      <c r="AZ82" s="128"/>
      <c r="BA82" s="128"/>
      <c r="BB82" s="128"/>
      <c r="BC82" s="37" t="s">
        <v>720</v>
      </c>
      <c r="BD82" s="128"/>
      <c r="BE82" s="128"/>
      <c r="BF82" s="128"/>
      <c r="BG82" s="128"/>
      <c r="BI82" s="128"/>
      <c r="BJ82" s="128"/>
      <c r="BK82" s="128"/>
      <c r="BL82" s="128"/>
      <c r="BM82" s="37" t="s">
        <v>720</v>
      </c>
      <c r="BN82" s="128"/>
      <c r="BO82" s="128"/>
      <c r="BP82" s="128"/>
      <c r="BQ82" s="128"/>
      <c r="BS82" s="183"/>
      <c r="BU82" s="170"/>
      <c r="BV82" s="170"/>
      <c r="BW82" s="170"/>
      <c r="BX82" s="11"/>
      <c r="BY82" s="184"/>
      <c r="BZ82" s="185"/>
      <c r="CA82" s="11" t="str">
        <f>IF(BY81="Composite","N/A",IF(BY82="","BLANK","EQ"))</f>
        <v>BLANK</v>
      </c>
      <c r="CC82" s="183"/>
      <c r="CE82" s="170"/>
      <c r="CF82" s="170"/>
      <c r="CG82" s="170"/>
      <c r="CH82" s="11"/>
      <c r="CI82" s="184"/>
      <c r="CJ82" s="185"/>
      <c r="CK82" s="11" t="str">
        <f>IF(CI81="Composite","N/A",IF(CI82="","BLANK","EQ"))</f>
        <v>BLANK</v>
      </c>
      <c r="CM82" s="183"/>
      <c r="CO82" s="170"/>
      <c r="CP82" s="170"/>
      <c r="CQ82" s="170"/>
      <c r="CR82" s="11"/>
      <c r="CS82" s="184"/>
      <c r="CT82" s="185"/>
      <c r="CU82" s="11" t="str">
        <f>IF(CS81="Composite","N/A",IF(CS82="","BLANK","EQ"))</f>
        <v>BLANK</v>
      </c>
      <c r="CW82" s="183"/>
      <c r="CY82" s="170"/>
      <c r="CZ82" s="170"/>
      <c r="DA82" s="170"/>
      <c r="DB82" s="11"/>
      <c r="DC82" s="184"/>
      <c r="DD82" s="185"/>
      <c r="DE82" s="11" t="str">
        <f>IF(DC81="Composite","N/A",IF(DC82="","BLANK","EQ"))</f>
        <v>BLANK</v>
      </c>
      <c r="DG82" s="183"/>
      <c r="DI82" s="170"/>
      <c r="DJ82" s="170"/>
      <c r="DK82" s="170"/>
      <c r="DL82" s="11"/>
      <c r="DM82" s="184"/>
      <c r="DN82" s="185"/>
      <c r="DO82" s="11" t="str">
        <f>IF(OR($L$23&lt;40*IF($A$25="mm",1,2.2046),AND($U$22="Corner Attachment",NOT($U$25="None")),DM81="Composite"),"N/A",IF(DM82="","BLANK","EQ"))</f>
        <v>N/A</v>
      </c>
    </row>
    <row r="83" spans="1:119" ht="15" customHeight="1" thickBot="1" x14ac:dyDescent="0.25">
      <c r="A83" s="12" t="s">
        <v>721</v>
      </c>
      <c r="B83" s="15"/>
      <c r="C83" s="15"/>
      <c r="D83" s="15"/>
      <c r="E83" s="15"/>
      <c r="F83" s="15" t="s">
        <v>722</v>
      </c>
      <c r="G83" s="16"/>
      <c r="H83" s="25" t="str">
        <f>IF($A$25="mm","kg","lbs")</f>
        <v>lbs</v>
      </c>
      <c r="I83" s="11" t="str">
        <f>IF(G83="","BLANK",IF($A$25="mm",IF(G83&gt;12,"REJECT","EQ"),IF(G83&gt;26.4,"REJECT","EQ")))</f>
        <v>BLANK</v>
      </c>
      <c r="K83" s="11" t="s">
        <v>723</v>
      </c>
      <c r="L83" s="11" t="str">
        <f ca="1">IF($A$25="mm",Q77/1000,Q77)</f>
        <v>Typo</v>
      </c>
      <c r="M83" s="25" t="str">
        <f>IF($A$25="mm","m","in")</f>
        <v>in</v>
      </c>
      <c r="N83" s="180" t="s">
        <v>724</v>
      </c>
      <c r="O83" s="182">
        <f ca="1">IF(OR(Q70="",Q76="",Q77=""),0,(O79*O81+O80*O82)/(O79+O80))</f>
        <v>0</v>
      </c>
      <c r="P83" s="50" t="str">
        <f>IF($A$25="mm","m","in")</f>
        <v>in</v>
      </c>
      <c r="Q83" s="180" t="s">
        <v>725</v>
      </c>
      <c r="R83" s="181" t="e">
        <f ca="1">IF(O83="",0,R81+R82)</f>
        <v>#VALUE!</v>
      </c>
      <c r="S83" s="50" t="str">
        <f>IF($A$25="mm","m^4","in^4")</f>
        <v>in^4</v>
      </c>
      <c r="U83" s="295" t="str" cm="1">
        <f t="array" ref="U83">IF(COUNTIF(AC84:AC91,"BLANK"),"BLANK",IF(OR(SUMPRODUCT(--ISERROR(AC84:AC91))&gt;0,COUNTIF(AC84:AC91,"REJECT")),"REJECT",IF(COUNTIF(AC84:AC91,"CHECK"),"CHECK","EQ")))</f>
        <v>EQ</v>
      </c>
      <c r="V83" s="295"/>
      <c r="W83" s="295"/>
      <c r="X83" s="295"/>
      <c r="Y83" s="295"/>
      <c r="Z83" s="295"/>
      <c r="AA83" s="295"/>
      <c r="AB83" s="295"/>
      <c r="AC83" s="295"/>
      <c r="AE83" s="295" t="str">
        <f>IF(COUNTIF(AM84:AM91,"BLANK"),"BLANK",IF(OR(SUMPRODUCT(--ISERROR(AM84:AM91))&gt;0,COUNTIF(AM84:AM91,"REJECT")),"REJECT",IF(COUNTIF(AM84:AM91,"CHECK"),"CHECK","EQ")))</f>
        <v>EQ</v>
      </c>
      <c r="AF83" s="295"/>
      <c r="AG83" s="295"/>
      <c r="AH83" s="295"/>
      <c r="AI83" s="295"/>
      <c r="AJ83" s="295"/>
      <c r="AK83" s="295"/>
      <c r="AL83" s="295"/>
      <c r="AM83" s="295"/>
      <c r="AO83" s="295" t="str">
        <f>IF(COUNTIF(AW84:AW91,"BLANK"),"BLANK",IF(OR(SUMPRODUCT(--ISERROR(AW84:AW91))&gt;0,COUNTIF(AW84:AW91,"REJECT")),"REJECT",IF(COUNTIF(AW84:AW91,"CHECK"),"CHECK","EQ")))</f>
        <v>EQ</v>
      </c>
      <c r="AP83" s="295"/>
      <c r="AQ83" s="295"/>
      <c r="AR83" s="295"/>
      <c r="AS83" s="295"/>
      <c r="AT83" s="295"/>
      <c r="AU83" s="295"/>
      <c r="AV83" s="295"/>
      <c r="AW83" s="295"/>
      <c r="AY83" s="295" t="str">
        <f>IF(COUNTIF(BG84:BG91,"BLANK"),"BLANK",IF(OR(SUMPRODUCT(--ISERROR(BG84:BG91))&gt;0,COUNTIF(BG84:BG91,"REJECT")),"REJECT",IF(COUNTIF(BG84:BG91,"CHECK"),"CHECK","EQ")))</f>
        <v>EQ</v>
      </c>
      <c r="AZ83" s="295"/>
      <c r="BA83" s="295"/>
      <c r="BB83" s="295"/>
      <c r="BC83" s="295"/>
      <c r="BD83" s="295"/>
      <c r="BE83" s="295"/>
      <c r="BF83" s="295"/>
      <c r="BG83" s="295"/>
      <c r="BI83" s="295" t="str">
        <f>IF(COUNTIF(BQ84:BQ91,"BLANK"),"BLANK",IF(OR(SUMPRODUCT(--ISERROR(BQ84:BQ91))&gt;0,COUNTIF(BQ84:BQ91,"REJECT")),"REJECT",IF(COUNTIF(BQ84:BQ91,"CHECK"),"CHECK","EQ")))</f>
        <v>EQ</v>
      </c>
      <c r="BJ83" s="295"/>
      <c r="BK83" s="295"/>
      <c r="BL83" s="295"/>
      <c r="BM83" s="295"/>
      <c r="BN83" s="295"/>
      <c r="BO83" s="295"/>
      <c r="BP83" s="295"/>
      <c r="BQ83" s="295"/>
      <c r="BS83" s="186" t="s">
        <v>368</v>
      </c>
      <c r="BX83" s="15" t="str">
        <f>IF(BY82="Round","Chassis tube diameter:","Square side, Size B required:")</f>
        <v>Square side, Size B required:</v>
      </c>
      <c r="BY83" s="79"/>
      <c r="BZ83" s="25" t="str">
        <f>IF($A$25="mm","mm","in")</f>
        <v>in</v>
      </c>
      <c r="CA83" s="11" t="str">
        <f>IF(BY81="Composite","N/A",IF(BY83="","BLANK",IF(OR(BY83&lt;0.984,AND($A$25="mm",BY83&lt;25)),"REJECT","EQ")))</f>
        <v>BLANK</v>
      </c>
      <c r="CC83" s="186" t="s">
        <v>368</v>
      </c>
      <c r="CH83" s="15" t="str">
        <f>IF(CI82="Round","Chassis tube diameter:","Square side, Size B required:")</f>
        <v>Square side, Size B required:</v>
      </c>
      <c r="CI83" s="79"/>
      <c r="CJ83" s="25" t="str">
        <f>IF($A$25="mm","mm","in")</f>
        <v>in</v>
      </c>
      <c r="CK83" s="11" t="str">
        <f>IF(CI81="Composite","N/A",IF(CI83="","BLANK",IF(OR(CI83&lt;0.984,AND($A$25="mm",CI83&lt;25)),"REJECT","EQ")))</f>
        <v>BLANK</v>
      </c>
      <c r="CM83" s="186" t="s">
        <v>368</v>
      </c>
      <c r="CR83" s="15" t="str">
        <f>IF(CS82="Round","Chassis tube diameter:","Square side, Size B required:")</f>
        <v>Square side, Size B required:</v>
      </c>
      <c r="CS83" s="79"/>
      <c r="CT83" s="25" t="str">
        <f>IF($A$25="mm","mm","in")</f>
        <v>in</v>
      </c>
      <c r="CU83" s="11" t="str">
        <f>IF(CS81="Composite","N/A",IF(CS83="","BLANK",IF(OR(CS83&lt;0.984,AND($A$25="mm",CS83&lt;25)),"REJECT","EQ")))</f>
        <v>BLANK</v>
      </c>
      <c r="CW83" s="186" t="s">
        <v>368</v>
      </c>
      <c r="DB83" s="15" t="str">
        <f>IF(DC82="Round","Chassis tube diameter:","Square side, Size B required:")</f>
        <v>Square side, Size B required:</v>
      </c>
      <c r="DC83" s="79"/>
      <c r="DD83" s="25" t="str">
        <f>IF($A$25="mm","mm","in")</f>
        <v>in</v>
      </c>
      <c r="DE83" s="11" t="str">
        <f>IF(DC81="Composite","N/A",IF(DC83="","BLANK",IF(OR(DC83&lt;0.984,AND($A$25="mm",DC83&lt;25)),"REJECT","EQ")))</f>
        <v>BLANK</v>
      </c>
      <c r="DG83" s="186" t="s">
        <v>368</v>
      </c>
      <c r="DL83" s="15" t="str">
        <f>IF(DM82="Round","Chassis tube diameter:","Square side, Size B required:")</f>
        <v>Square side, Size B required:</v>
      </c>
      <c r="DM83" s="79"/>
      <c r="DN83" s="25" t="str">
        <f>IF($A$25="mm","mm","in")</f>
        <v>in</v>
      </c>
      <c r="DO83" s="11" t="str">
        <f>IF(OR($L$23&lt;40*IF($A$25="mm",1,2.2046),AND($U$22="Corner Attachment",NOT($U$25="None")),DM81="Composite"),"N/A",
IF(DM83="","BLANK",IF(OR(DM83&lt;0.984,AND($A$25="mm",DM83&lt;25)),"REJECT","EQ")))</f>
        <v>N/A</v>
      </c>
    </row>
    <row r="84" spans="1:119" ht="15" customHeight="1" thickBot="1" x14ac:dyDescent="0.25">
      <c r="A84" s="35"/>
      <c r="B84" s="12"/>
      <c r="C84" s="12"/>
      <c r="D84" s="12"/>
      <c r="F84" s="12"/>
      <c r="G84" s="12"/>
      <c r="H84" s="15"/>
      <c r="I84" s="11"/>
      <c r="K84" s="11"/>
      <c r="L84" s="11"/>
      <c r="N84" s="32"/>
      <c r="O84" s="340" t="s">
        <v>726</v>
      </c>
      <c r="P84" s="340"/>
      <c r="Q84" s="296">
        <f>P71</f>
        <v>0</v>
      </c>
      <c r="R84" s="296"/>
      <c r="U84" s="12"/>
      <c r="V84" s="11"/>
      <c r="W84" s="11"/>
      <c r="X84" s="11"/>
      <c r="Y84" s="11"/>
      <c r="Z84" s="15" t="s">
        <v>727</v>
      </c>
      <c r="AA84" s="298"/>
      <c r="AB84" s="347"/>
      <c r="AC84" s="11" t="str">
        <f>IF(AA65=0,"N/A",
IF(AA84="","BLANK","EQ"))</f>
        <v>N/A</v>
      </c>
      <c r="AF84" s="11"/>
      <c r="AG84" s="11"/>
      <c r="AH84" s="11"/>
      <c r="AI84" s="11"/>
      <c r="AJ84" s="15" t="s">
        <v>727</v>
      </c>
      <c r="AK84" s="298"/>
      <c r="AL84" s="347"/>
      <c r="AM84" s="11" t="str">
        <f>IF(AK65=0,"N/A",
IF(AK84="","BLANK","EQ"))</f>
        <v>N/A</v>
      </c>
      <c r="AO84" s="12"/>
      <c r="AP84" s="11"/>
      <c r="AQ84" s="11"/>
      <c r="AR84" s="11"/>
      <c r="AS84" s="11"/>
      <c r="AT84" s="15" t="s">
        <v>727</v>
      </c>
      <c r="AU84" s="298"/>
      <c r="AV84" s="347"/>
      <c r="AW84" s="11" t="str">
        <f>IF(AU65=0,"N/A",
IF(AU84="","BLANK","EQ"))</f>
        <v>N/A</v>
      </c>
      <c r="AY84" s="12"/>
      <c r="AZ84" s="11"/>
      <c r="BA84" s="11"/>
      <c r="BB84" s="11"/>
      <c r="BC84" s="11"/>
      <c r="BD84" s="15" t="s">
        <v>727</v>
      </c>
      <c r="BE84" s="298"/>
      <c r="BF84" s="347"/>
      <c r="BG84" s="11" t="str">
        <f>IF(BE65=0,"N/A",
IF(BE84="","BLANK","EQ"))</f>
        <v>N/A</v>
      </c>
      <c r="BI84" s="12"/>
      <c r="BJ84" s="11"/>
      <c r="BK84" s="11"/>
      <c r="BL84" s="11"/>
      <c r="BM84" s="11"/>
      <c r="BN84" s="15" t="s">
        <v>727</v>
      </c>
      <c r="BO84" s="298"/>
      <c r="BP84" s="347"/>
      <c r="BQ84" s="11" t="str">
        <f>IF(BO65=0,"N/A",
IF(BO84="","BLANK","EQ"))</f>
        <v>N/A</v>
      </c>
      <c r="BS84" s="44"/>
      <c r="BX84" s="15" t="s">
        <v>728</v>
      </c>
      <c r="BY84" s="16"/>
      <c r="BZ84" s="25" t="str">
        <f>IF($A$25="mm","mm","in")</f>
        <v>in</v>
      </c>
      <c r="CA84" s="11" t="str">
        <f>IF(BY81="Composite","N/A",IF(BY84="","BLANK",IF(OR(BY84&lt;0.047,AND($A$25="mm",BY84&lt;1.1938)),"REJECT","EQ")))</f>
        <v>BLANK</v>
      </c>
      <c r="CC84" s="44"/>
      <c r="CH84" s="15" t="s">
        <v>728</v>
      </c>
      <c r="CI84" s="16"/>
      <c r="CJ84" s="25" t="str">
        <f>IF($A$25="mm","mm","in")</f>
        <v>in</v>
      </c>
      <c r="CK84" s="11" t="str">
        <f>IF(CI81="Composite","N/A",IF(CI84="","BLANK",IF(OR(CI84&lt;0.047,AND($A$25="mm",CI84&lt;1.1938)),"REJECT","EQ")))</f>
        <v>BLANK</v>
      </c>
      <c r="CM84" s="44"/>
      <c r="CR84" s="15" t="s">
        <v>728</v>
      </c>
      <c r="CS84" s="16"/>
      <c r="CT84" s="25" t="str">
        <f>IF($A$25="mm","mm","in")</f>
        <v>in</v>
      </c>
      <c r="CU84" s="11" t="str">
        <f>IF(CS81="Composite","N/A",IF(CS84="","BLANK",IF(OR(CS84&lt;0.047,AND($A$25="mm",CS84&lt;1.1938)),"REJECT","EQ")))</f>
        <v>BLANK</v>
      </c>
      <c r="CW84" s="44"/>
      <c r="DB84" s="15" t="s">
        <v>728</v>
      </c>
      <c r="DC84" s="16"/>
      <c r="DD84" s="25" t="str">
        <f>IF($A$25="mm","mm","in")</f>
        <v>in</v>
      </c>
      <c r="DE84" s="11" t="str">
        <f>IF(DC81="Composite","N/A",IF(DC84="","BLANK",IF(OR(DC84&lt;0.047,AND($A$25="mm",DC84&lt;1.1938)),"REJECT","EQ")))</f>
        <v>BLANK</v>
      </c>
      <c r="DG84" s="44"/>
      <c r="DL84" s="15" t="s">
        <v>728</v>
      </c>
      <c r="DM84" s="16"/>
      <c r="DN84" s="25" t="str">
        <f>IF($A$25="mm","mm","in")</f>
        <v>in</v>
      </c>
      <c r="DO84" s="11" t="str">
        <f>IF(OR($L$23&lt;40*IF($A$25="mm",1,2.2046),AND($U$22="Corner Attachment",NOT($U$25="None")),DM81="Composite"),"N/A",
IF(DM84="","BLANK",IF(OR(DM84&lt;0.047,AND($A$25="mm",DM84&lt;1.1938)),"REJECT","EQ")))</f>
        <v>N/A</v>
      </c>
    </row>
    <row r="85" spans="1:119" ht="15" customHeight="1" x14ac:dyDescent="0.2">
      <c r="A85" s="35"/>
      <c r="B85" s="12"/>
      <c r="C85" s="12"/>
      <c r="D85" s="12"/>
      <c r="F85" s="12"/>
      <c r="G85" s="12"/>
      <c r="H85" s="15"/>
      <c r="I85" s="11"/>
      <c r="K85" s="12"/>
      <c r="L85" s="307" t="s">
        <v>729</v>
      </c>
      <c r="M85" s="307"/>
      <c r="N85" s="307"/>
      <c r="O85" s="307"/>
      <c r="P85" s="11">
        <f>IF($A$25="mm",1.25/1000,0.049)</f>
        <v>4.9000000000000002E-2</v>
      </c>
      <c r="Q85" s="11">
        <f>IF(P71="Composite",Q76+Q77,Q74)*IF($A$25="mm",1/1000,1)</f>
        <v>0</v>
      </c>
      <c r="R85" s="25" t="str">
        <f>IF($A$25="mm","m","in")</f>
        <v>in</v>
      </c>
      <c r="S85" s="11" t="str">
        <f>IF(NOT(OR(P71="Isotropic",P71="Composite")),"N/A","EQ")</f>
        <v>N/A</v>
      </c>
      <c r="U85" s="12"/>
      <c r="V85" s="11"/>
      <c r="W85" s="11"/>
      <c r="X85" s="11"/>
      <c r="Y85" s="11"/>
      <c r="Z85" s="15" t="str">
        <f>IF(AA84="Round Tube","Wall Thickness (W):","Mount thickness (B):")</f>
        <v>Mount thickness (B):</v>
      </c>
      <c r="AA85" s="79"/>
      <c r="AB85" s="25" t="str">
        <f>IF($A$25="mm","mm","in")</f>
        <v>in</v>
      </c>
      <c r="AC85" s="11" t="str">
        <f>IF(AA65=0,"N/A",
IF(OR(AA85="",AA85&lt;=0),"BLANK","EQ"))</f>
        <v>N/A</v>
      </c>
      <c r="AF85" s="11"/>
      <c r="AG85" s="11"/>
      <c r="AH85" s="11"/>
      <c r="AI85" s="11"/>
      <c r="AJ85" s="15" t="str">
        <f>IF(AK84="Round Tube","Wall Thickness (W):","Mount thickness (B):")</f>
        <v>Mount thickness (B):</v>
      </c>
      <c r="AK85" s="79"/>
      <c r="AL85" s="25" t="str">
        <f>IF($A$25="mm","mm","in")</f>
        <v>in</v>
      </c>
      <c r="AM85" s="11" t="str">
        <f>IF(AK65=0,"N/A",
IF(OR(AK85="",AK85&lt;=0),"BLANK","EQ"))</f>
        <v>N/A</v>
      </c>
      <c r="AO85" s="12"/>
      <c r="AP85" s="11"/>
      <c r="AQ85" s="11"/>
      <c r="AR85" s="11"/>
      <c r="AS85" s="11"/>
      <c r="AT85" s="15" t="str">
        <f>IF(AU84="Round Tube","Wall Thickness (W):","Mount thickness (B):")</f>
        <v>Mount thickness (B):</v>
      </c>
      <c r="AU85" s="79"/>
      <c r="AV85" s="25" t="str">
        <f>IF($A$25="mm","mm","in")</f>
        <v>in</v>
      </c>
      <c r="AW85" s="11" t="str">
        <f>IF(AU65=0,"N/A",
IF(OR(AU85="",AU85&lt;=0),"BLANK","EQ"))</f>
        <v>N/A</v>
      </c>
      <c r="AX85" s="15"/>
      <c r="AY85" s="12"/>
      <c r="AZ85" s="11"/>
      <c r="BA85" s="11"/>
      <c r="BB85" s="11"/>
      <c r="BC85" s="11"/>
      <c r="BD85" s="15" t="str">
        <f>IF(BE84="Round Tube","Wall Thickness (W):","Mount thickness (B):")</f>
        <v>Mount thickness (B):</v>
      </c>
      <c r="BE85" s="79"/>
      <c r="BF85" s="25" t="str">
        <f>IF($A$25="mm","mm","in")</f>
        <v>in</v>
      </c>
      <c r="BG85" s="11" t="str">
        <f>IF(BE65=0,"N/A",
IF(OR(BE85="",BE85&lt;=0),"BLANK","EQ"))</f>
        <v>N/A</v>
      </c>
      <c r="BI85" s="12"/>
      <c r="BJ85" s="11"/>
      <c r="BK85" s="11"/>
      <c r="BL85" s="11"/>
      <c r="BM85" s="11"/>
      <c r="BN85" s="15" t="str">
        <f>IF(BO84="Round Tube","Wall Thickness (W):","Mount thickness (B):")</f>
        <v>Mount thickness (B):</v>
      </c>
      <c r="BO85" s="79"/>
      <c r="BP85" s="25" t="str">
        <f>IF($A$25="mm","mm","in")</f>
        <v>in</v>
      </c>
      <c r="BQ85" s="11" t="str">
        <f>IF(BO65=0,"N/A",
IF(OR(BO85="",BO85&lt;=0),"BLANK","EQ"))</f>
        <v>N/A</v>
      </c>
      <c r="BS85" s="12" t="s">
        <v>586</v>
      </c>
      <c r="BT85" s="15"/>
      <c r="BU85" s="15"/>
      <c r="BV85" s="15"/>
      <c r="BW85" s="12"/>
      <c r="BX85" s="15" t="s">
        <v>730</v>
      </c>
      <c r="BY85" s="16"/>
      <c r="CA85" s="11" t="str">
        <f>IF(BY81="Composite","N/A",IF(BY85="","BLANK",IF(BY85&lt;=2,"EQ","REJECT")))</f>
        <v>BLANK</v>
      </c>
      <c r="CC85" s="12" t="s">
        <v>586</v>
      </c>
      <c r="CD85" s="15"/>
      <c r="CE85" s="15"/>
      <c r="CF85" s="15"/>
      <c r="CG85" s="12"/>
      <c r="CH85" s="15" t="s">
        <v>730</v>
      </c>
      <c r="CI85" s="16"/>
      <c r="CK85" s="11" t="str">
        <f>IF(CI81="Composite","N/A",IF(CI85="","BLANK",IF(CI85&lt;=2,"EQ","REJECT")))</f>
        <v>BLANK</v>
      </c>
      <c r="CM85" s="12" t="s">
        <v>586</v>
      </c>
      <c r="CN85" s="15"/>
      <c r="CO85" s="15"/>
      <c r="CP85" s="15"/>
      <c r="CQ85" s="12"/>
      <c r="CR85" s="15" t="s">
        <v>730</v>
      </c>
      <c r="CS85" s="16"/>
      <c r="CU85" s="11" t="str">
        <f>IF(CS81="Composite","N/A",IF(CS85="","BLANK",IF(CS85&lt;=2,"EQ","REJECT")))</f>
        <v>BLANK</v>
      </c>
      <c r="CW85" s="12" t="s">
        <v>586</v>
      </c>
      <c r="CX85" s="15"/>
      <c r="CY85" s="15"/>
      <c r="CZ85" s="15"/>
      <c r="DA85" s="12"/>
      <c r="DB85" s="15" t="s">
        <v>730</v>
      </c>
      <c r="DC85" s="16"/>
      <c r="DE85" s="11" t="str">
        <f>IF(DC81="Composite","N/A",IF(DC85="","BLANK",IF(DC85&lt;=2,"EQ","REJECT")))</f>
        <v>BLANK</v>
      </c>
      <c r="DG85" s="12" t="s">
        <v>586</v>
      </c>
      <c r="DH85" s="15"/>
      <c r="DI85" s="15"/>
      <c r="DJ85" s="15"/>
      <c r="DK85" s="12"/>
      <c r="DL85" s="15" t="s">
        <v>730</v>
      </c>
      <c r="DM85" s="16"/>
      <c r="DO85" s="11" t="str">
        <f>IF(OR($L$23&lt;40*IF($A$25="mm",1,2.2046),AND($U$22="Corner Attachment",NOT($U$25="None")),DM81="Composite"),"N/A",
IF(DM85="","BLANK",IF(DM85&lt;=2,"EQ","REJECT")))</f>
        <v>N/A</v>
      </c>
    </row>
    <row r="86" spans="1:119" ht="15" customHeight="1" x14ac:dyDescent="0.2">
      <c r="A86" s="295" t="str" cm="1">
        <f t="array" ref="A86">IF(COUNTIF(I87:I89,"BLANK"),"BLANK",IF(OR(SUMPRODUCT(--ISERROR(I87:I89))&gt;0,COUNTIF(I87:I89,"REJECT")),"REJECT",IF(COUNTIF(I87:I89,"CHECK"),"CHECK","EQ")))</f>
        <v>BLANK</v>
      </c>
      <c r="B86" s="295"/>
      <c r="C86" s="295"/>
      <c r="D86" s="295"/>
      <c r="E86" s="295"/>
      <c r="F86" s="295"/>
      <c r="G86" s="295"/>
      <c r="H86" s="295"/>
      <c r="I86" s="295"/>
      <c r="K86" s="15"/>
      <c r="L86" s="307" t="s">
        <v>731</v>
      </c>
      <c r="M86" s="307"/>
      <c r="N86" s="307"/>
      <c r="O86" s="307"/>
      <c r="P86" s="26">
        <f>Q70*P85/IF($A$25="mm",1000,1)</f>
        <v>0</v>
      </c>
      <c r="Q86" s="26">
        <f>Q70*IF(P71="Composite",O79+O80,Q85/IF($A$25="mm",1000,1))</f>
        <v>0</v>
      </c>
      <c r="R86" s="25" t="str">
        <f>IF($A$25="mm","m^2","in^2")</f>
        <v>in^2</v>
      </c>
      <c r="S86" s="11" t="str">
        <f>IF(NOT(OR(P71="Isotropic",P71="Composite")),"N/A","EQ")</f>
        <v>N/A</v>
      </c>
      <c r="U86" s="12"/>
      <c r="V86" s="11"/>
      <c r="W86" s="11"/>
      <c r="X86" s="11"/>
      <c r="Y86" s="11"/>
      <c r="Z86" s="15" t="str">
        <f>IF(AA84="Round Tube","Outer Diameter (OD):","Mount length (L):")</f>
        <v>Mount length (L):</v>
      </c>
      <c r="AA86" s="79"/>
      <c r="AB86" s="25" t="str">
        <f>IF($A$25="mm","mm","in")</f>
        <v>in</v>
      </c>
      <c r="AC86" s="11" t="str">
        <f>IF(AA65=0,"N/A",
IF(OR(AA86="",AA86&lt;=0),"BLANK","EQ"))</f>
        <v>N/A</v>
      </c>
      <c r="AF86" s="11"/>
      <c r="AG86" s="11"/>
      <c r="AH86" s="11"/>
      <c r="AI86" s="11"/>
      <c r="AJ86" s="15" t="str">
        <f>IF(AK84="Round Tube","Outer Diameter (OD):","Mount length (L):")</f>
        <v>Mount length (L):</v>
      </c>
      <c r="AK86" s="79"/>
      <c r="AL86" s="25" t="str">
        <f>IF($A$25="mm","mm","in")</f>
        <v>in</v>
      </c>
      <c r="AM86" s="11" t="str">
        <f>IF(AK65=0,"N/A",
IF(OR(AK86="",AK86&lt;=0),"BLANK","EQ"))</f>
        <v>N/A</v>
      </c>
      <c r="AO86" s="12"/>
      <c r="AP86" s="11"/>
      <c r="AQ86" s="11"/>
      <c r="AR86" s="11"/>
      <c r="AS86" s="11"/>
      <c r="AT86" s="15" t="str">
        <f>IF(AU84="Round Tube","Outer Diameter (OD):","Mount length (L):")</f>
        <v>Mount length (L):</v>
      </c>
      <c r="AU86" s="79"/>
      <c r="AV86" s="25" t="str">
        <f>IF($A$25="mm","mm","in")</f>
        <v>in</v>
      </c>
      <c r="AW86" s="11" t="str">
        <f>IF(AU65=0,"N/A",
IF(OR(AU86="",AU86&lt;=0),"BLANK","EQ"))</f>
        <v>N/A</v>
      </c>
      <c r="AX86" s="36"/>
      <c r="AY86" s="12"/>
      <c r="AZ86" s="11"/>
      <c r="BA86" s="11"/>
      <c r="BB86" s="11"/>
      <c r="BC86" s="11"/>
      <c r="BD86" s="15" t="str">
        <f>IF(BE84="Round Tube","Outer Diameter (OD):","Mount length (L):")</f>
        <v>Mount length (L):</v>
      </c>
      <c r="BE86" s="79"/>
      <c r="BF86" s="25" t="str">
        <f>IF($A$25="mm","mm","in")</f>
        <v>in</v>
      </c>
      <c r="BG86" s="11" t="str">
        <f>IF(BE65=0,"N/A",
IF(OR(BE86="",BE86&lt;=0),"BLANK","EQ"))</f>
        <v>N/A</v>
      </c>
      <c r="BI86" s="12"/>
      <c r="BJ86" s="11"/>
      <c r="BK86" s="11"/>
      <c r="BL86" s="11"/>
      <c r="BM86" s="11"/>
      <c r="BN86" s="15" t="str">
        <f>IF(BO84="Round Tube","Outer Diameter (OD):","Mount length (L):")</f>
        <v>Mount length (L):</v>
      </c>
      <c r="BO86" s="79"/>
      <c r="BP86" s="25" t="str">
        <f>IF($A$25="mm","mm","in")</f>
        <v>in</v>
      </c>
      <c r="BQ86" s="11" t="str">
        <f>IF(BO65=0,"N/A",
IF(OR(BO86="",BO86&lt;=0),"BLANK","EQ"))</f>
        <v>N/A</v>
      </c>
      <c r="BS86" s="12" t="s">
        <v>218</v>
      </c>
      <c r="BT86" s="15"/>
      <c r="BU86" s="15"/>
      <c r="BV86" s="15"/>
      <c r="BW86" s="15"/>
      <c r="BX86" s="15" t="s">
        <v>732</v>
      </c>
      <c r="BY86" s="26" t="e">
        <f>INDEX($I$3:$I$19,MATCH(BY64,$E$3:$E$19,0))</f>
        <v>#N/A</v>
      </c>
      <c r="BZ86" s="25" t="str">
        <f>IF($A$25="mm","Pa","psi")</f>
        <v>psi</v>
      </c>
      <c r="CA86" s="11" t="str">
        <f>IF(CA85="N/A","N/A","EQ")</f>
        <v>EQ</v>
      </c>
      <c r="CC86" s="12" t="s">
        <v>218</v>
      </c>
      <c r="CD86" s="15"/>
      <c r="CE86" s="15"/>
      <c r="CF86" s="15"/>
      <c r="CG86" s="15"/>
      <c r="CH86" s="15" t="s">
        <v>732</v>
      </c>
      <c r="CI86" s="26" t="e">
        <f>INDEX($I$3:$I$19,MATCH(CI64,$E$3:$E$19,0))</f>
        <v>#N/A</v>
      </c>
      <c r="CJ86" s="25" t="str">
        <f>IF($A$25="mm","Pa","psi")</f>
        <v>psi</v>
      </c>
      <c r="CK86" s="11" t="str">
        <f>IF(CK85="N/A","N/A","EQ")</f>
        <v>EQ</v>
      </c>
      <c r="CM86" s="12" t="s">
        <v>218</v>
      </c>
      <c r="CN86" s="15"/>
      <c r="CO86" s="15"/>
      <c r="CP86" s="15"/>
      <c r="CQ86" s="15"/>
      <c r="CR86" s="15" t="s">
        <v>732</v>
      </c>
      <c r="CS86" s="26" t="e">
        <f>INDEX($I$3:$I$19,MATCH(CS64,$E$3:$E$19,0))</f>
        <v>#N/A</v>
      </c>
      <c r="CT86" s="25" t="str">
        <f>IF($A$25="mm","Pa","psi")</f>
        <v>psi</v>
      </c>
      <c r="CU86" s="11" t="str">
        <f>IF(CU85="N/A","N/A","EQ")</f>
        <v>EQ</v>
      </c>
      <c r="CW86" s="12" t="s">
        <v>218</v>
      </c>
      <c r="CX86" s="15"/>
      <c r="CY86" s="15"/>
      <c r="CZ86" s="15"/>
      <c r="DA86" s="15"/>
      <c r="DB86" s="15" t="s">
        <v>732</v>
      </c>
      <c r="DC86" s="26" t="e">
        <f>INDEX($I$3:$I$19,MATCH(DC64,$E$3:$E$19,0))</f>
        <v>#N/A</v>
      </c>
      <c r="DD86" s="25" t="str">
        <f>IF($A$25="mm","Pa","psi")</f>
        <v>psi</v>
      </c>
      <c r="DE86" s="11" t="str">
        <f>IF(DE85="N/A","N/A","EQ")</f>
        <v>EQ</v>
      </c>
      <c r="DG86" s="12" t="s">
        <v>218</v>
      </c>
      <c r="DH86" s="15"/>
      <c r="DI86" s="15"/>
      <c r="DJ86" s="15"/>
      <c r="DK86" s="15"/>
      <c r="DL86" s="15" t="s">
        <v>732</v>
      </c>
      <c r="DM86" s="26" t="e">
        <f>INDEX($I$3:$I$19,MATCH(DM64,$E$3:$E$19,0))</f>
        <v>#N/A</v>
      </c>
      <c r="DN86" s="25" t="str">
        <f>IF($A$25="mm","Pa","psi")</f>
        <v>psi</v>
      </c>
      <c r="DO86" s="11" t="str">
        <f>IF(DO85="N/A","N/A","EQ")</f>
        <v>N/A</v>
      </c>
    </row>
    <row r="87" spans="1:119" ht="15" customHeight="1" x14ac:dyDescent="0.2">
      <c r="A87" s="12"/>
      <c r="B87" s="15"/>
      <c r="C87" s="15"/>
      <c r="D87" s="15"/>
      <c r="E87" s="15"/>
      <c r="F87" s="15" t="s">
        <v>733</v>
      </c>
      <c r="G87" s="16"/>
      <c r="H87" s="25" t="str">
        <f>IF($A$25="mm","mm","in")</f>
        <v>in</v>
      </c>
      <c r="I87" s="11" t="str">
        <f>IF(AND(G87&gt;=0,ISNUMBER(G87)),"EQ","BLANK")</f>
        <v>BLANK</v>
      </c>
      <c r="K87" s="124"/>
      <c r="L87" s="307" t="s">
        <v>734</v>
      </c>
      <c r="M87" s="307"/>
      <c r="N87" s="307"/>
      <c r="O87" s="307"/>
      <c r="P87" s="26">
        <f>IF($A$25="mm",1/1000,1)*Q70*P85^3/12</f>
        <v>0</v>
      </c>
      <c r="Q87" s="26">
        <f>IF(P71="Composite",R83,IF($A$25="mm",1/1000,1)*Q70*Q85^3/12)</f>
        <v>0</v>
      </c>
      <c r="R87" s="25" t="str">
        <f>IF($A$25="mm","m^4","in^4")</f>
        <v>in^4</v>
      </c>
      <c r="S87" s="11" t="str">
        <f>IF(NOT(OR(P71="Isotropic",P71="Composite")),"N/A","EQ")</f>
        <v>N/A</v>
      </c>
      <c r="U87" s="12"/>
      <c r="V87" s="11"/>
      <c r="W87" s="11"/>
      <c r="X87" s="11"/>
      <c r="Y87" s="11"/>
      <c r="Z87" s="15" t="str">
        <f>IF(AA84="Single Layer","Mount length (L):",IF(AA84="Round Tube","Outer Diameter (OD):","Minimum gusset thickness (T):"))</f>
        <v>Minimum gusset thickness (T):</v>
      </c>
      <c r="AA87" s="79"/>
      <c r="AB87" s="25" t="str">
        <f>IF($A$25="mm","mm","in")</f>
        <v>in</v>
      </c>
      <c r="AC87" s="11" t="str">
        <f>IF(AA65=0,"N/A",
IF(OR(AA87="",AA87&lt;=0),"BLANK",
IF(AA$84="Single Layer",IF(AA87=AA86,"EQ","REJECT"),"EQ")))</f>
        <v>N/A</v>
      </c>
      <c r="AF87" s="11"/>
      <c r="AG87" s="11"/>
      <c r="AH87" s="11"/>
      <c r="AI87" s="11"/>
      <c r="AJ87" s="15" t="str">
        <f>IF(AK84="Single Layer","Mount length (L):",IF(AK84="Round Tube","Outer Diameter (OD):","Minimum gusset thickness (T):"))</f>
        <v>Minimum gusset thickness (T):</v>
      </c>
      <c r="AK87" s="79"/>
      <c r="AL87" s="25" t="str">
        <f>IF($A$25="mm","mm","in")</f>
        <v>in</v>
      </c>
      <c r="AM87" s="11" t="str">
        <f>IF(AK65=0,"N/A",
IF(OR(AK87="",AK87&lt;=0),"BLANK",
IF(AK$84="Single Layer",IF(AK87=AK86,"EQ","REJECT"),"EQ")))</f>
        <v>N/A</v>
      </c>
      <c r="AO87" s="12"/>
      <c r="AP87" s="11"/>
      <c r="AQ87" s="11"/>
      <c r="AR87" s="11"/>
      <c r="AS87" s="11"/>
      <c r="AT87" s="15" t="str">
        <f>IF(AU84="Single Layer","Mount length (L):",IF(AU84="Round Tube","Outer Diameter (OD):","Minimum gusset thickness (T):"))</f>
        <v>Minimum gusset thickness (T):</v>
      </c>
      <c r="AU87" s="79"/>
      <c r="AV87" s="25" t="str">
        <f>IF($A$25="mm","mm","in")</f>
        <v>in</v>
      </c>
      <c r="AW87" s="11" t="str">
        <f>IF(AU65=0,"N/A",
IF(OR(AU87="",AU87&lt;=0),"BLANK",
IF(AU$84="Single Layer",IF(AU87=AU86,"EQ","REJECT"),"EQ")))</f>
        <v>N/A</v>
      </c>
      <c r="AY87" s="12"/>
      <c r="AZ87" s="11"/>
      <c r="BA87" s="11"/>
      <c r="BB87" s="11"/>
      <c r="BC87" s="11"/>
      <c r="BD87" s="15" t="str">
        <f>IF(BE84="Single Layer","Mount length (L):",IF(BE84="Round Tube","Outer Diameter (OD):","Minimum gusset thickness (T):"))</f>
        <v>Minimum gusset thickness (T):</v>
      </c>
      <c r="BE87" s="79"/>
      <c r="BF87" s="25" t="str">
        <f>IF($A$25="mm","mm","in")</f>
        <v>in</v>
      </c>
      <c r="BG87" s="11" t="str">
        <f>IF(BE65=0,"N/A",
IF(OR(BE87="",BE87&lt;=0),"BLANK",
IF(BE$84="Single Layer",IF(BE87=BE86,"EQ","REJECT"),"EQ")))</f>
        <v>N/A</v>
      </c>
      <c r="BI87" s="12"/>
      <c r="BJ87" s="11"/>
      <c r="BK87" s="11"/>
      <c r="BL87" s="11"/>
      <c r="BM87" s="11"/>
      <c r="BN87" s="15" t="str">
        <f>IF(BO84="Single Layer","Mount length (L):",IF(BO84="Round Tube","Outer Diameter (OD):","Minimum gusset thickness (T):"))</f>
        <v>Minimum gusset thickness (T):</v>
      </c>
      <c r="BO87" s="79"/>
      <c r="BP87" s="25" t="str">
        <f>IF($A$25="mm","mm","in")</f>
        <v>in</v>
      </c>
      <c r="BQ87" s="11" t="str">
        <f>IF(BO65=0,"N/A",
IF(OR(BO87="",BO87&lt;=0),"BLANK",
IF(BO$84="Single Layer",IF(BO87=BO86,"EQ","REJECT"),"EQ")))</f>
        <v>N/A</v>
      </c>
      <c r="BS87" s="12"/>
      <c r="BT87" s="15"/>
      <c r="BU87" s="15"/>
      <c r="BV87" s="15"/>
      <c r="BW87" s="15"/>
      <c r="BX87" s="15" t="s">
        <v>735</v>
      </c>
      <c r="BY87" s="26">
        <f>IF(BY82="Round",
(PI()/4)*((BY83/2)^4-((BY83-2*BY84)/2)^4),
(BY83^4-(BY83-2*BY84)^4)/12)</f>
        <v>0</v>
      </c>
      <c r="BZ87" s="25" t="str">
        <f>IF($A$25="mm","mm^4","in^4")</f>
        <v>in^4</v>
      </c>
      <c r="CA87" s="11" t="str">
        <f>IF(CA86="N/A","N/A",
IF(IF($A$25="mm",1,25.4^4)*BY87&lt;8509,"REJECT","EQ"))</f>
        <v>REJECT</v>
      </c>
      <c r="CC87" s="12"/>
      <c r="CD87" s="15"/>
      <c r="CE87" s="15"/>
      <c r="CF87" s="15"/>
      <c r="CG87" s="15"/>
      <c r="CH87" s="15" t="s">
        <v>735</v>
      </c>
      <c r="CI87" s="26">
        <f>IF(CI82="Round",
(PI()/4)*((CI83/2)^4-((CI83-2*CI84)/2)^4),
(CI83^4-(CI83-2*CI84)^4)/12)</f>
        <v>0</v>
      </c>
      <c r="CJ87" s="25" t="str">
        <f>IF($A$25="mm","mm^4","in^4")</f>
        <v>in^4</v>
      </c>
      <c r="CK87" s="11" t="str">
        <f>IF(CK86="N/A","N/A",
IF(IF($A$25="mm",1,25.4^4)*CI87&lt;8509,"REJECT","EQ"))</f>
        <v>REJECT</v>
      </c>
      <c r="CM87" s="12"/>
      <c r="CN87" s="15"/>
      <c r="CO87" s="15"/>
      <c r="CP87" s="15"/>
      <c r="CQ87" s="15"/>
      <c r="CR87" s="15" t="s">
        <v>735</v>
      </c>
      <c r="CS87" s="26">
        <f>IF(CS82="Round",
(PI()/4)*((CS83/2)^4-((CS83-2*CS84)/2)^4),
(CS83^4-(CS83-2*CS84)^4)/12)</f>
        <v>0</v>
      </c>
      <c r="CT87" s="25" t="str">
        <f>IF($A$25="mm","mm^4","in^4")</f>
        <v>in^4</v>
      </c>
      <c r="CU87" s="11" t="str">
        <f>IF(CU86="N/A","N/A",
IF(IF($A$25="mm",1,25.4^4)*CS87&lt;8509,"REJECT","EQ"))</f>
        <v>REJECT</v>
      </c>
      <c r="CW87" s="12"/>
      <c r="CX87" s="15"/>
      <c r="CY87" s="15"/>
      <c r="CZ87" s="15"/>
      <c r="DA87" s="15"/>
      <c r="DB87" s="15" t="s">
        <v>735</v>
      </c>
      <c r="DC87" s="26">
        <f>IF(DC82="Round",
(PI()/4)*((DC83/2)^4-((DC83-2*DC84)/2)^4),
(DC83^4-(DC83-2*DC84)^4)/12)</f>
        <v>0</v>
      </c>
      <c r="DD87" s="25" t="str">
        <f>IF($A$25="mm","mm^4","in^4")</f>
        <v>in^4</v>
      </c>
      <c r="DE87" s="11" t="str">
        <f>IF(DE86="N/A","N/A",
IF(IF($A$25="mm",1,25.4^4)*DC87&lt;8509,"REJECT","EQ"))</f>
        <v>REJECT</v>
      </c>
      <c r="DG87" s="12"/>
      <c r="DH87" s="15"/>
      <c r="DI87" s="15"/>
      <c r="DJ87" s="15"/>
      <c r="DK87" s="15"/>
      <c r="DL87" s="15" t="s">
        <v>735</v>
      </c>
      <c r="DM87" s="26">
        <f>IF(DM82="Round",
(PI()/4)*((DM83/2)^4-((DM83-2*DM84)/2)^4),
(DM83^4-(DM83-2*DM84)^4)/12)</f>
        <v>0</v>
      </c>
      <c r="DN87" s="25" t="str">
        <f>IF($A$25="mm","mm^4","in^4")</f>
        <v>in^4</v>
      </c>
      <c r="DO87" s="11" t="str">
        <f>IF(DO86="N/A","N/A",
IF(IF($A$25="mm",1,25.4^4)*DM87&lt;8509,"REJECT","EQ"))</f>
        <v>N/A</v>
      </c>
    </row>
    <row r="88" spans="1:119" ht="15" customHeight="1" x14ac:dyDescent="0.2">
      <c r="A88" s="15"/>
      <c r="B88" s="15"/>
      <c r="C88" s="15"/>
      <c r="D88" s="15"/>
      <c r="E88" s="15"/>
      <c r="F88" s="188" t="s">
        <v>736</v>
      </c>
      <c r="G88" s="81"/>
      <c r="H88" s="25" t="str">
        <f>IF($A$25="mm","mm","in")</f>
        <v>in</v>
      </c>
      <c r="I88" s="11" t="str">
        <f t="shared" ref="I88:I89" si="8">IF(AND(G88&gt;=0,NOT(G88="")),"EQ","BLANK")</f>
        <v>BLANK</v>
      </c>
      <c r="K88" s="12" t="s">
        <v>218</v>
      </c>
      <c r="L88" s="307" t="s">
        <v>651</v>
      </c>
      <c r="M88" s="307"/>
      <c r="N88" s="307"/>
      <c r="O88" s="307"/>
      <c r="P88" s="26">
        <f>$G$4</f>
        <v>29000000</v>
      </c>
      <c r="Q88" s="26" t="e">
        <f>INDEX($G$3:$G$19,MATCH(Q73,$E$3:$E$19,0))</f>
        <v>#N/A</v>
      </c>
      <c r="R88" s="25" t="str">
        <f>IF($A$25="mm","Pa","psi")</f>
        <v>psi</v>
      </c>
      <c r="S88" s="11" t="str">
        <f>IF(NOT(OR(P71="Isotropic",P71="Composite")),"N/A",IF(Q88=0,"BLANK","EQ"))</f>
        <v>N/A</v>
      </c>
      <c r="U88" s="12"/>
      <c r="V88" s="11"/>
      <c r="W88" s="11"/>
      <c r="X88" s="11"/>
      <c r="Y88" s="11"/>
      <c r="Z88" s="15" t="str">
        <f>IF(AA84="Single Layer","Mount thickness (B):",IF(AA84="Round Tube","Wall Thickness (W):","Minimum gusset height normal to mount face (H):"))</f>
        <v>Minimum gusset height normal to mount face (H):</v>
      </c>
      <c r="AA88" s="79"/>
      <c r="AB88" s="25" t="str">
        <f>IF($A$25="mm","mm","in")</f>
        <v>in</v>
      </c>
      <c r="AC88" s="11" t="str">
        <f>IF(AA65=0,"N/A",
IF(OR(AA88="",AA88&lt;=0),"BLANK",
IF(AA$84="Single Layer",IF(AA88=AA85,"EQ","REJECT"),"EQ")))</f>
        <v>N/A</v>
      </c>
      <c r="AF88" s="11"/>
      <c r="AG88" s="11"/>
      <c r="AH88" s="11"/>
      <c r="AI88" s="11"/>
      <c r="AJ88" s="15" t="str">
        <f>IF(AK84="Single Layer","Mount thickness (B):",IF(AK84="Round Tube","Wall Thickness (W):","Minimum gusset height normal to mount face (H):"))</f>
        <v>Minimum gusset height normal to mount face (H):</v>
      </c>
      <c r="AK88" s="79"/>
      <c r="AL88" s="25" t="str">
        <f>IF($A$25="mm","mm","in")</f>
        <v>in</v>
      </c>
      <c r="AM88" s="11" t="str">
        <f>IF(AK65=0,"N/A",
IF(OR(AK88="",AK88&lt;=0),"BLANK",
IF(AK$84="Single Layer",IF(AK88=AK85,"EQ","REJECT"),"EQ")))</f>
        <v>N/A</v>
      </c>
      <c r="AO88" s="12"/>
      <c r="AP88" s="11"/>
      <c r="AQ88" s="11"/>
      <c r="AR88" s="11"/>
      <c r="AS88" s="11"/>
      <c r="AT88" s="15" t="str">
        <f>IF(AU84="Single Layer","Mount thickness (B):",IF(AU84="Round Tube","Wall Thickness (W):","Minimum gusset height normal to mount face (H):"))</f>
        <v>Minimum gusset height normal to mount face (H):</v>
      </c>
      <c r="AU88" s="79"/>
      <c r="AV88" s="25" t="str">
        <f>IF($A$25="mm","mm","in")</f>
        <v>in</v>
      </c>
      <c r="AW88" s="11" t="str">
        <f>IF(AU65=0,"N/A",
IF(OR(AU88="",AU88&lt;=0),"BLANK",
IF(AU$84="Single Layer",IF(AU88=AU85,"EQ","REJECT"),"EQ")))</f>
        <v>N/A</v>
      </c>
      <c r="AY88" s="12"/>
      <c r="AZ88" s="11"/>
      <c r="BA88" s="11"/>
      <c r="BB88" s="11"/>
      <c r="BC88" s="11"/>
      <c r="BD88" s="15" t="str">
        <f>IF(BE84="Single Layer","Mount thickness (B):",IF(BE84="Round Tube","Wall Thickness (W):","Minimum gusset height normal to mount face (H):"))</f>
        <v>Minimum gusset height normal to mount face (H):</v>
      </c>
      <c r="BE88" s="79"/>
      <c r="BF88" s="25" t="str">
        <f>IF($A$25="mm","mm","in")</f>
        <v>in</v>
      </c>
      <c r="BG88" s="11" t="str">
        <f>IF(BE65=0,"N/A",
IF(OR(BE88="",BE88&lt;=0),"BLANK",
IF(BE$84="Single Layer",IF(BE88=BE85,"EQ","REJECT"),"EQ")))</f>
        <v>N/A</v>
      </c>
      <c r="BI88" s="12"/>
      <c r="BJ88" s="11"/>
      <c r="BK88" s="11"/>
      <c r="BL88" s="11"/>
      <c r="BM88" s="11"/>
      <c r="BN88" s="15" t="str">
        <f>IF(BO84="Single Layer","Mount thickness (B):",IF(BO84="Round Tube","Wall Thickness (W):","Minimum gusset height normal to mount face (H):"))</f>
        <v>Minimum gusset height normal to mount face (H):</v>
      </c>
      <c r="BO88" s="79"/>
      <c r="BP88" s="25" t="str">
        <f>IF($A$25="mm","mm","in")</f>
        <v>in</v>
      </c>
      <c r="BQ88" s="11" t="str">
        <f>IF(BO65=0,"N/A",
IF(OR(BO88="",BO88&lt;=0),"BLANK",
IF(BO$84="Single Layer",IF(BO88=BO85,"EQ","REJECT"),"EQ")))</f>
        <v>N/A</v>
      </c>
      <c r="BT88" s="15"/>
      <c r="BU88" s="15"/>
      <c r="BV88" s="15"/>
      <c r="BX88" s="15" t="s">
        <v>737</v>
      </c>
      <c r="BY88" s="16"/>
      <c r="BZ88" s="25" t="str">
        <f>IF($A$25="mm","mm","in")</f>
        <v>in</v>
      </c>
      <c r="CA88" s="11" t="str">
        <f>IF(CA87="N/A","N/A",
IF(BY88="","BLANK","EQ"))</f>
        <v>BLANK</v>
      </c>
      <c r="CD88" s="15"/>
      <c r="CE88" s="15"/>
      <c r="CF88" s="15"/>
      <c r="CH88" s="15" t="s">
        <v>737</v>
      </c>
      <c r="CI88" s="16"/>
      <c r="CJ88" s="25" t="str">
        <f>IF($A$25="mm","mm","in")</f>
        <v>in</v>
      </c>
      <c r="CK88" s="11" t="str">
        <f>IF(CK87="N/A","N/A",
IF(CI88="","BLANK","EQ"))</f>
        <v>BLANK</v>
      </c>
      <c r="CN88" s="15"/>
      <c r="CO88" s="15"/>
      <c r="CP88" s="15"/>
      <c r="CR88" s="15" t="s">
        <v>737</v>
      </c>
      <c r="CS88" s="16"/>
      <c r="CT88" s="25" t="str">
        <f>IF($A$25="mm","mm","in")</f>
        <v>in</v>
      </c>
      <c r="CU88" s="11" t="str">
        <f>IF(CU87="N/A","N/A",
IF(CS88="","BLANK","EQ"))</f>
        <v>BLANK</v>
      </c>
      <c r="CX88" s="15"/>
      <c r="CY88" s="15"/>
      <c r="CZ88" s="15"/>
      <c r="DB88" s="15" t="s">
        <v>737</v>
      </c>
      <c r="DC88" s="16"/>
      <c r="DD88" s="25" t="str">
        <f>IF($A$25="mm","mm","in")</f>
        <v>in</v>
      </c>
      <c r="DE88" s="11" t="str">
        <f>IF(DE87="N/A","N/A",
IF(DC88="","BLANK","EQ"))</f>
        <v>BLANK</v>
      </c>
      <c r="DH88" s="15"/>
      <c r="DI88" s="15"/>
      <c r="DJ88" s="15"/>
      <c r="DL88" s="15" t="s">
        <v>737</v>
      </c>
      <c r="DM88" s="16"/>
      <c r="DN88" s="25" t="str">
        <f>IF($A$25="mm","mm","in")</f>
        <v>in</v>
      </c>
      <c r="DO88" s="11" t="str">
        <f>IF(DO87="N/A","N/A",
IF(DM88="","BLANK","EQ"))</f>
        <v>N/A</v>
      </c>
    </row>
    <row r="89" spans="1:119" ht="15" customHeight="1" x14ac:dyDescent="0.2">
      <c r="A89" s="124"/>
      <c r="B89" s="15"/>
      <c r="C89" s="15"/>
      <c r="D89" s="15"/>
      <c r="E89" s="15"/>
      <c r="F89" s="188" t="s">
        <v>738</v>
      </c>
      <c r="G89" s="16"/>
      <c r="H89" s="25" t="str">
        <f>IF($A$25="mm","mm","in")</f>
        <v>in</v>
      </c>
      <c r="I89" s="11" t="str">
        <f t="shared" si="8"/>
        <v>BLANK</v>
      </c>
      <c r="K89" s="307" t="s">
        <v>656</v>
      </c>
      <c r="L89" s="307"/>
      <c r="M89" s="307"/>
      <c r="N89" s="307"/>
      <c r="O89" s="307"/>
      <c r="P89" s="26">
        <f>$I$4</f>
        <v>43500</v>
      </c>
      <c r="Q89" s="26" t="e">
        <f>INDEX($I$3:$I$19,MATCH(Q73,$E$3:$E$19,0))</f>
        <v>#N/A</v>
      </c>
      <c r="R89" s="84" t="e">
        <f>IF(OR(Q89=0,Q89=""),0,Q89/P89)</f>
        <v>#N/A</v>
      </c>
      <c r="S89" s="11" t="str">
        <f>IF(NOT(OR(P71="Isotropic",P71="Composite")),"N/A",IF(OR(Q89="",Q89=0),"BLANK",IF(Q89&gt;=1,"EQ",IF(Q89&gt;=0.95,"CHECK","REJECT"))))</f>
        <v>N/A</v>
      </c>
      <c r="U89" s="12" t="str">
        <f>IF(OR(AA66="Steel Unwelded",AA66="Steel Welded"),"F.3.4.2","F.3.5")</f>
        <v>F.3.5</v>
      </c>
      <c r="V89" s="28">
        <f>IF(AA84="L-Shape",AA86^2/(2*(AA86+AA88)),AA86/2)</f>
        <v>0</v>
      </c>
      <c r="W89" s="11"/>
      <c r="X89" s="11"/>
      <c r="Y89" s="11"/>
      <c r="Z89" s="15" t="str">
        <f>$U$23&amp;$V$23&amp;" Bending in shear M*y / I &lt; Su:"</f>
        <v>3371lbs Bending in shear M*y / I &lt; Su:</v>
      </c>
      <c r="AA89" s="26" t="str">
        <f>IF(OR(AA85="",AA86="",),"",IF(AA84="Round Tube",IF($A$25="mm",1/10^6,1)*$U$23*AA65*V89/((PI()/4)*((AA86/2)^4-((AA86-2*AA85)/2)^4)),
IF($A$25="mm",1/10^6,1)*$U$23*AA65*V89/(IF($A$25="mm",1/10^12,1)*(IF(AA84="Rectangular Tube",2,1)*(AA85*AA86^3)/12+
IF(AA84="Single Layer",0,IF(AA84="L-Shape",AA85*AA86*(AA86/2-V89)^2+(AA88*AA87^3)/12+AA88*AA87*V89^2,
2*((AA88*AA87^3)/12+AA88*AA87*V89^2)))))))</f>
        <v/>
      </c>
      <c r="AB89" s="53" t="str">
        <f>IF(AA89="","",IF(U90=0,"",AA89/U90))</f>
        <v/>
      </c>
      <c r="AC89" s="11" t="str">
        <f>IF(AA65=0,"N/A",
IF(AB89="","BLANK",IF(AB89&lt;=1,"EQ","REJECT")))</f>
        <v>N/A</v>
      </c>
      <c r="AE89" s="12" t="str">
        <f>IF(OR(AK66="Steel Unwelded",AK66="Steel Welded"),"F.3.4.2","F.3.5")</f>
        <v>F.3.5</v>
      </c>
      <c r="AF89" s="28">
        <f>IF(AK84="L-Shape",AK86^2/(2*(AK86+AK88)),AK86/2)</f>
        <v>0</v>
      </c>
      <c r="AG89" s="11"/>
      <c r="AH89" s="11"/>
      <c r="AI89" s="11"/>
      <c r="AJ89" s="15" t="str">
        <f>$U$23&amp;$V$23&amp;" Bending in shear M*y / I &lt; Su:"</f>
        <v>3371lbs Bending in shear M*y / I &lt; Su:</v>
      </c>
      <c r="AK89" s="26" t="str">
        <f>IF(OR(AK85="",AK86="",),"",IF(AK84="Round Tube",IF($A$25="mm",1/10^6,1)*$U$23*AK65*AF89/((PI()/4)*((AK86/2)^4-((AK86-2*AK85)/2)^4)),
IF($A$25="mm",1/10^6,1)*$U$23*AK65*AF89/(IF($A$25="mm",1/10^12,1)*(IF(AK84="Rectangular Tube",2,1)*(AK85*AK86^3)/12+
IF(AK84="Single Layer",0,IF(AK84="L-Shape",AK85*AK86*(AK86/2-AF89)^2+(AK88*AK87^3)/12+AK88*AK87*AF89^2,
2*((AK88*AK87^3)/12+AK88*AK87*AF89^2)))))))</f>
        <v/>
      </c>
      <c r="AL89" s="53" t="str">
        <f>IF(AK89="","",IF(AE90=0,"",AK89/AE90))</f>
        <v/>
      </c>
      <c r="AM89" s="11" t="str">
        <f>IF(AK65=0,"N/A",
IF(AL89="","BLANK",IF(AL89&lt;=1,"EQ","REJECT")))</f>
        <v>N/A</v>
      </c>
      <c r="AO89" s="12" t="str">
        <f>IF(OR(AU66="Steel Unwelded",AU66="Steel Welded"),"F.3.4.2","F.3.5")</f>
        <v>F.3.5</v>
      </c>
      <c r="AP89" s="28">
        <f>IF(AU84="L-Shape",AU86^2/(2*(AU86+AU88)),AU86/2)</f>
        <v>0</v>
      </c>
      <c r="AQ89" s="11"/>
      <c r="AR89" s="11"/>
      <c r="AS89" s="11"/>
      <c r="AT89" s="15" t="str">
        <f>$U$23&amp;$V$23&amp;" Bending in shear M*y / I &lt; Su:"</f>
        <v>3371lbs Bending in shear M*y / I &lt; Su:</v>
      </c>
      <c r="AU89" s="26" t="str">
        <f>IF(OR(AU85="",AU86="",),"",IF(AU84="Round Tube",IF($A$25="mm",1/10^6,1)*$U$23*AU65*AP89/((PI()/4)*((AU86/2)^4-((AU86-2*AU85)/2)^4)),
IF($A$25="mm",1/10^6,1)*$U$23*AU65*AP89/(IF($A$25="mm",1/10^12,1)*(IF(AU84="Rectangular Tube",2,1)*(AU85*AU86^3)/12+
IF(AU84="Single Layer",0,IF(AU84="L-Shape",AU85*AU86*(AU86/2-AP89)^2+(AU88*AU87^3)/12+AU88*AU87*AP89^2,
2*((AU88*AU87^3)/12+AU88*AU87*AP89^2)))))))</f>
        <v/>
      </c>
      <c r="AV89" s="53" t="str">
        <f>IF(AU89="","",IF(AO90=0,"",AU89/AO90))</f>
        <v/>
      </c>
      <c r="AW89" s="11" t="str">
        <f>IF(AU65=0,"N/A",
IF(AV89="","BLANK",IF(AV89&lt;=1,"EQ","REJECT")))</f>
        <v>N/A</v>
      </c>
      <c r="AY89" s="12" t="str">
        <f>IF(OR(BE66="Steel Unwelded",BE66="Steel Welded"),"F.3.4.2","F.3.5")</f>
        <v>F.3.5</v>
      </c>
      <c r="AZ89" s="28">
        <f>IF(BE84="L-Shape",BE86^2/(2*(BE86+BE88)),BE86/2)</f>
        <v>0</v>
      </c>
      <c r="BA89" s="11"/>
      <c r="BB89" s="11"/>
      <c r="BC89" s="11"/>
      <c r="BD89" s="15" t="str">
        <f>$U$23&amp;$V$23&amp;" Bending in shear M*y / I &lt; Su:"</f>
        <v>3371lbs Bending in shear M*y / I &lt; Su:</v>
      </c>
      <c r="BE89" s="26" t="str">
        <f>IF(OR(BE85="",BE86="",),"",IF(BE84="Round Tube",IF($A$25="mm",1/10^6,1)*$U$23*BE65*AZ89/((PI()/4)*((BE86/2)^4-((BE86-2*BE85)/2)^4)),
IF($A$25="mm",1/10^6,1)*$U$23*BE65*AZ89/(IF($A$25="mm",1/10^12,1)*(IF(BE84="Rectangular Tube",2,1)*(BE85*BE86^3)/12+
IF(BE84="Single Layer",0,IF(BE84="L-Shape",BE85*BE86*(BE86/2-AZ89)^2+(BE88*BE87^3)/12+BE88*BE87*AZ89^2,
2*((BE88*BE87^3)/12+BE88*BE87*AZ89^2)))))))</f>
        <v/>
      </c>
      <c r="BF89" s="53" t="str">
        <f>IF(BE89="","",IF(AY90=0,"",BE89/AY90))</f>
        <v/>
      </c>
      <c r="BG89" s="11" t="str">
        <f>IF(BE65=0,"N/A",
IF(BF89="","BLANK",IF(BF89&lt;=1,"EQ","REJECT")))</f>
        <v>N/A</v>
      </c>
      <c r="BI89" s="12" t="str">
        <f>IF(OR(BO66="Steel Unwelded",BO66="Steel Welded"),"F.3.4.2","F.3.5")</f>
        <v>F.3.5</v>
      </c>
      <c r="BJ89" s="28">
        <f>IF(BO84="L-Shape",BO86^2/(2*(BO86+BO88)),BO86/2)</f>
        <v>0</v>
      </c>
      <c r="BK89" s="11"/>
      <c r="BL89" s="11"/>
      <c r="BM89" s="11"/>
      <c r="BN89" s="15" t="str">
        <f>$U$23&amp;$V$23&amp;" Bending in shear M*y / I &lt; Su:"</f>
        <v>3371lbs Bending in shear M*y / I &lt; Su:</v>
      </c>
      <c r="BO89" s="26" t="str">
        <f>IF(OR(BO85="",BO86="",),"",IF(BO84="Round Tube",IF($A$25="mm",1/10^6,1)*$U$23*BO65*BJ89/((PI()/4)*((BO86/2)^4-((BO86-2*BO85)/2)^4)),
IF($A$25="mm",1/10^6,1)*$U$23*BO65*BJ89/(IF($A$25="mm",1/10^12,1)*(IF(BO84="Rectangular Tube",2,1)*(BO85*BO86^3)/12+
IF(BO84="Single Layer",0,IF(BO84="L-Shape",BO85*BO86*(BO86/2-BJ89)^2+(BO88*BO87^3)/12+BO88*BO87*BJ89^2,
2*((BO88*BO87^3)/12+BO88*BO87*BJ89^2)))))))</f>
        <v/>
      </c>
      <c r="BP89" s="53" t="str">
        <f>IF(BO89="","",IF(BI90=0,"",BO89/BI90))</f>
        <v/>
      </c>
      <c r="BQ89" s="11" t="str">
        <f>IF(BO65=0,"N/A",
IF(BP89="","BLANK",IF(BP89&lt;=1,"EQ","REJECT")))</f>
        <v>N/A</v>
      </c>
      <c r="BT89" s="15"/>
      <c r="BU89" s="15"/>
      <c r="BV89" s="15"/>
      <c r="BX89" s="15" t="s">
        <v>739</v>
      </c>
      <c r="BY89" s="16"/>
      <c r="BZ89" s="25" t="str">
        <f>IF($A$25="mm","mm","in")</f>
        <v>in</v>
      </c>
      <c r="CA89" s="11" t="str">
        <f>IF(CA88="N/A","N/A",
IF(OR(BY88="",BY89=""),"BLANK",IF(BY89&gt;BY88,"REJECT","EQ")))</f>
        <v>BLANK</v>
      </c>
      <c r="CD89" s="15"/>
      <c r="CE89" s="15"/>
      <c r="CF89" s="15"/>
      <c r="CH89" s="15" t="s">
        <v>739</v>
      </c>
      <c r="CI89" s="16"/>
      <c r="CJ89" s="25" t="str">
        <f>IF($A$25="mm","mm","in")</f>
        <v>in</v>
      </c>
      <c r="CK89" s="11" t="str">
        <f>IF(CK88="N/A","N/A",
IF(OR(CI88="",CI89=""),"BLANK",IF(CI89&gt;CI88,"REJECT","EQ")))</f>
        <v>BLANK</v>
      </c>
      <c r="CN89" s="15"/>
      <c r="CO89" s="15"/>
      <c r="CP89" s="15"/>
      <c r="CR89" s="15" t="s">
        <v>739</v>
      </c>
      <c r="CS89" s="16"/>
      <c r="CT89" s="25" t="str">
        <f>IF($A$25="mm","mm","in")</f>
        <v>in</v>
      </c>
      <c r="CU89" s="11" t="str">
        <f>IF(CU88="N/A","N/A",
IF(OR(CS88="",CS89=""),"BLANK",IF(CS89&gt;CS88,"REJECT","EQ")))</f>
        <v>BLANK</v>
      </c>
      <c r="CX89" s="15"/>
      <c r="CY89" s="15"/>
      <c r="CZ89" s="15"/>
      <c r="DB89" s="15" t="s">
        <v>739</v>
      </c>
      <c r="DC89" s="16"/>
      <c r="DD89" s="25" t="str">
        <f>IF($A$25="mm","mm","in")</f>
        <v>in</v>
      </c>
      <c r="DE89" s="11" t="str">
        <f>IF(DE88="N/A","N/A",
IF(OR(DC88="",DC89=""),"BLANK",IF(DC89&gt;DC88,"REJECT","EQ")))</f>
        <v>BLANK</v>
      </c>
      <c r="DH89" s="15"/>
      <c r="DI89" s="15"/>
      <c r="DJ89" s="15"/>
      <c r="DL89" s="15" t="s">
        <v>739</v>
      </c>
      <c r="DM89" s="16"/>
      <c r="DN89" s="25" t="str">
        <f>IF($A$25="mm","mm","in")</f>
        <v>in</v>
      </c>
      <c r="DO89" s="11" t="str">
        <f>IF(DO88="N/A","N/A",
IF(OR(DM88="",DM89=""),"BLANK",IF(DM89&gt;DM88,"REJECT","EQ")))</f>
        <v>N/A</v>
      </c>
    </row>
    <row r="90" spans="1:119" ht="15" customHeight="1" x14ac:dyDescent="0.2">
      <c r="B90" s="15"/>
      <c r="C90" s="15"/>
      <c r="D90" s="15"/>
      <c r="E90" s="12" t="s">
        <v>740</v>
      </c>
      <c r="F90" s="15"/>
      <c r="G90" s="11"/>
      <c r="I90" s="11"/>
      <c r="K90" s="124"/>
      <c r="L90" s="307" t="s">
        <v>659</v>
      </c>
      <c r="M90" s="307"/>
      <c r="N90" s="307"/>
      <c r="O90" s="307"/>
      <c r="P90" s="26">
        <f>$K$4</f>
        <v>25099.499999999996</v>
      </c>
      <c r="Q90" s="26" t="e">
        <f>INDEX($K$3:$K$19,MATCH(Q73,$E$3:$E$19,0))</f>
        <v>#N/A</v>
      </c>
      <c r="R90" s="84" t="e">
        <f>IF(OR(Q90=0,Q90=""),0,Q90/P90)</f>
        <v>#N/A</v>
      </c>
      <c r="S90" s="11" t="str">
        <f>IF(NOT(OR(P71="Isotropic",P71="Composite")),"N/A",IF(OR(Q90="",Q90=0),"BLANK",IF(Q90&gt;=1,"EQ",IF(Q90&gt;=0.95,"CHECK","REJECT"))))</f>
        <v>N/A</v>
      </c>
      <c r="U90" s="26" t="e">
        <f>AA68</f>
        <v>#N/A</v>
      </c>
      <c r="V90" s="28">
        <f>IF(AA84="L-Shape",AA88^2/(2*(AA86+AA88)),
IF(AA84="U-Shape",AA88^2/(AA86+2*AA88),
IF(AA84="Round Tube",AA87/2,AA88/2)))</f>
        <v>0</v>
      </c>
      <c r="W90" s="11"/>
      <c r="X90" s="11"/>
      <c r="Y90" s="11"/>
      <c r="Z90" s="15" t="str">
        <f>$U$23&amp;$V$23&amp;" Bending normal M*y / I &lt; Su:"</f>
        <v>3371lbs Bending normal M*y / I &lt; Su:</v>
      </c>
      <c r="AA90" s="26" t="str">
        <f>IF(OR(AA85="",AA86="",),"",IF(AA84="Round Tube",IF($A$25="mm",1/10^6,1)*$U$23*AA65*V90/((PI()/4)*((AA87/2)^4-((AA87-2*AA88)/2)^4)),
IF($A$25="mm",1/10^6,1)*$U$23*AA65*V90/(IF($A$25="mm",1/10^12,1)*((AA86*AA85^3)/12+
IF(AA84="Single Layer",0,IF(OR(AA84="L-Shape",AA84="U-Shape"),AA85*AA86*V90^2+IF(AA84="U-Shape",2,1)*((AA87*AA88^3)/12+AA88*AA87*(AA88/2-V90)^2),
IF(AA84="Rectangular Tube",1,0)*((AA86*AA85^3)/12+2*AA86*AA85*V90^2)+2*(AA87*AA88^3)/12))))))</f>
        <v/>
      </c>
      <c r="AB90" s="53" t="str">
        <f>IF(AA90="","",IF(U90=0,"",AA90/U90))</f>
        <v/>
      </c>
      <c r="AC90" s="11" t="str">
        <f>IF(AA65=0,"N/A",
IF(AB90="","BLANK",IF(AB90&lt;=1,"EQ","REJECT")))</f>
        <v>N/A</v>
      </c>
      <c r="AE90" s="26" t="e">
        <f>AK68</f>
        <v>#N/A</v>
      </c>
      <c r="AF90" s="28">
        <f>IF(AK84="L-Shape",AK88^2/(2*(AK86+AK88)),
IF(AK84="U-Shape",AK88^2/(AK86+2*AK88),
IF(AK84="Round Tube",AK87/2,AK88/2)))</f>
        <v>0</v>
      </c>
      <c r="AG90" s="11"/>
      <c r="AH90" s="11"/>
      <c r="AI90" s="11"/>
      <c r="AJ90" s="15" t="str">
        <f>$U$23&amp;$V$23&amp;" Bending normal M*y / I &lt; Su:"</f>
        <v>3371lbs Bending normal M*y / I &lt; Su:</v>
      </c>
      <c r="AK90" s="26" t="str">
        <f>IF(OR(AK85="",AK86="",),"",IF(AK84="Round Tube",IF($A$25="mm",1/10^6,1)*$U$23*AK65*AF90/((PI()/4)*((AK87/2)^4-((AK87-2*AK88)/2)^4)),
IF($A$25="mm",1/10^6,1)*$U$23*AK65*AF90/(IF($A$25="mm",1/10^12,1)*((AK86*AK85^3)/12+
IF(AK84="Single Layer",0,IF(OR(AK84="L-Shape",AK84="U-Shape"),AK85*AK86*AF90^2+IF(AK84="U-Shape",2,1)*((AK87*AK88^3)/12+AK88*AK87*(AK88/2-AF90)^2),
IF(AK84="Rectangular Tube",1,0)*((AK86*AK85^3)/12+2*AK86*AK85*AF90^2)+2*(AK87*AK88^3)/12))))))</f>
        <v/>
      </c>
      <c r="AL90" s="53" t="str">
        <f>IF(AK90="","",IF(AE90=0,"",AK90/AE90))</f>
        <v/>
      </c>
      <c r="AM90" s="11" t="str">
        <f>IF(AK65=0,"N/A",
IF(AL90="","BLANK",IF(AL90&lt;=1,"EQ","REJECT")))</f>
        <v>N/A</v>
      </c>
      <c r="AO90" s="26" t="e">
        <f>AU68</f>
        <v>#N/A</v>
      </c>
      <c r="AP90" s="28">
        <f>IF(AU84="L-Shape",AU88^2/(2*(AU86+AU88)),
IF(AU84="U-Shape",AU88^2/(AU86+2*AU88),
IF(AU84="Round Tube",AU87/2,AU88/2)))</f>
        <v>0</v>
      </c>
      <c r="AQ90" s="11"/>
      <c r="AR90" s="11"/>
      <c r="AS90" s="11"/>
      <c r="AT90" s="15" t="str">
        <f>$U$23&amp;$V$23&amp;" Bending normal M*y / I &lt; Su:"</f>
        <v>3371lbs Bending normal M*y / I &lt; Su:</v>
      </c>
      <c r="AU90" s="26" t="str">
        <f>IF(OR(AU85="",AU86="",),"",IF(AU84="Round Tube",IF($A$25="mm",1/10^6,1)*$U$23*AU65*AP90/((PI()/4)*((AU87/2)^4-((AU87-2*AU88)/2)^4)),
IF($A$25="mm",1/10^6,1)*$U$23*AU65*AP90/(IF($A$25="mm",1/10^12,1)*((AU86*AU85^3)/12+
IF(AU84="Single Layer",0,IF(OR(AU84="L-Shape",AU84="U-Shape"),AU85*AU86*AP90^2+IF(AU84="U-Shape",2,1)*((AU87*AU88^3)/12+AU88*AU87*(AU88/2-AP90)^2),
IF(AU84="Rectangular Tube",1,0)*((AU86*AU85^3)/12+2*AU86*AU85*AP90^2)+2*(AU87*AU88^3)/12))))))</f>
        <v/>
      </c>
      <c r="AV90" s="53" t="str">
        <f>IF(AU90="","",IF(AO90=0,"",AU90/AO90))</f>
        <v/>
      </c>
      <c r="AW90" s="11" t="str">
        <f>IF(AU65=0,"N/A",
IF(AV90="","BLANK",IF(AV90&lt;=1,"EQ","REJECT")))</f>
        <v>N/A</v>
      </c>
      <c r="AY90" s="26" t="e">
        <f>BE68</f>
        <v>#N/A</v>
      </c>
      <c r="AZ90" s="28">
        <f>IF(BE84="L-Shape",BE88^2/(2*(BE86+BE88)),
IF(BE84="U-Shape",BE88^2/(BE86+2*BE88),
IF(BE84="Round Tube",BE87/2,BE88/2)))</f>
        <v>0</v>
      </c>
      <c r="BA90" s="11"/>
      <c r="BB90" s="11"/>
      <c r="BC90" s="11"/>
      <c r="BD90" s="15" t="str">
        <f>$U$23&amp;$V$23&amp;" Bending normal M*y / I &lt; Su:"</f>
        <v>3371lbs Bending normal M*y / I &lt; Su:</v>
      </c>
      <c r="BE90" s="26" t="str">
        <f>IF(OR(BE85="",BE86="",),"",IF(BE84="Round Tube",IF($A$25="mm",1/10^6,1)*$U$23*BE65*AZ90/((PI()/4)*((BE87/2)^4-((BE87-2*BE88)/2)^4)),
IF($A$25="mm",1/10^6,1)*$U$23*BE65*AZ90/(IF($A$25="mm",1/10^12,1)*((BE86*BE85^3)/12+
IF(BE84="Single Layer",0,IF(OR(BE84="L-Shape",BE84="U-Shape"),BE85*BE86*AZ90^2+IF(BE84="U-Shape",2,1)*((BE87*BE88^3)/12+BE88*BE87*(BE88/2-AZ90)^2),
IF(BE84="Rectangular Tube",1,0)*((BE86*BE85^3)/12+2*BE86*BE85*AZ90^2)+2*(BE87*BE88^3)/12))))))</f>
        <v/>
      </c>
      <c r="BF90" s="53" t="str">
        <f>IF(BE90="","",IF(AY90=0,"",BE90/AY90))</f>
        <v/>
      </c>
      <c r="BG90" s="11" t="str">
        <f>IF(BE65=0,"N/A",
IF(BF90="","BLANK",IF(BF90&lt;=1,"EQ","REJECT")))</f>
        <v>N/A</v>
      </c>
      <c r="BI90" s="26" t="e">
        <f>BO68</f>
        <v>#N/A</v>
      </c>
      <c r="BJ90" s="28">
        <f>IF(BO84="L-Shape",BO88^2/(2*(BO86+BO88)),
IF(BO84="U-Shape",BO88^2/(BO86+2*BO88),
IF(BO84="Round Tube",BO87/2,BO88/2)))</f>
        <v>0</v>
      </c>
      <c r="BK90" s="11"/>
      <c r="BL90" s="11"/>
      <c r="BM90" s="11"/>
      <c r="BN90" s="15" t="str">
        <f>$U$23&amp;$V$23&amp;" Bending normal M*y / I &lt; Su:"</f>
        <v>3371lbs Bending normal M*y / I &lt; Su:</v>
      </c>
      <c r="BO90" s="26" t="str">
        <f>IF(OR(BO85="",BO86="",),"",IF(BO84="Round Tube",IF($A$25="mm",1/10^6,1)*$U$23*BO65*BJ90/((PI()/4)*((BO87/2)^4-((BO87-2*BO88)/2)^4)),
IF($A$25="mm",1/10^6,1)*$U$23*BO65*BJ90/(IF($A$25="mm",1/10^12,1)*((BO86*BO85^3)/12+
IF(BO84="Single Layer",0,IF(OR(BO84="L-Shape",BO84="U-Shape"),BO85*BO86*BJ90^2+IF(BO84="U-Shape",2,1)*((BO87*BO88^3)/12+BO88*BO87*(BO88/2-BJ90)^2),
IF(BO84="Rectangular Tube",1,0)*((BO86*BO85^3)/12+2*BO86*BO85*BJ90^2)+2*(BO87*BO88^3)/12))))))</f>
        <v/>
      </c>
      <c r="BP90" s="53" t="str">
        <f>IF(BO90="","",IF(BI90=0,"",BO90/BI90))</f>
        <v/>
      </c>
      <c r="BQ90" s="11" t="str">
        <f>IF(BO65=0,"N/A",
IF(BP90="","BLANK",IF(BP90&lt;=1,"EQ","REJECT")))</f>
        <v>N/A</v>
      </c>
      <c r="BS90" s="24" t="s">
        <v>599</v>
      </c>
      <c r="BT90" s="15"/>
      <c r="BU90" s="15"/>
      <c r="BV90" s="15"/>
      <c r="BX90" s="15" t="str">
        <f>IF(BY85=1,"Tube Max Bending Force (Su*I*L)/(2*a^2*(1-a/L)^2*OD/2):","Tube Max Bending Force (Su*I)/(a*(1-a/L)*OD/2):")</f>
        <v>Tube Max Bending Force (Su*I)/(a*(1-a/L)*OD/2):</v>
      </c>
      <c r="BY90" s="26" t="str">
        <f>IF(OR(BY88="",BY83=""),"",IF(BY89=0,"N/A",
(BY86*BY87*IF($A$25="mm",1/(10^12),1))*
IF(BY85=1,BY88*IF($A$25="mm",1/1000,1)/(2*(IF($A$25="mm",1/1000,1)^3)*BY89^2*(1-BY89/BY88)^2*BY83/2),
1/((IF($A$25="mm",1/1000,1)^2)*BY89*(1-BY89/BY88)*BY83/2))))</f>
        <v/>
      </c>
      <c r="BZ90" s="84" t="str">
        <f>IF(OR(BY90="",BY90="N/A"),"",BY90/$U$23)</f>
        <v/>
      </c>
      <c r="CA90" s="11" t="str">
        <f>IF(CA89="N/A","N/A",
IF(BY90="","BLANK",IF(BZ90&lt;0.95,"CHECK","EQ")))</f>
        <v>BLANK</v>
      </c>
      <c r="CC90" s="24" t="s">
        <v>599</v>
      </c>
      <c r="CD90" s="15"/>
      <c r="CE90" s="15"/>
      <c r="CF90" s="15"/>
      <c r="CH90" s="15" t="str">
        <f>IF(CI85=1,"Tube Max Bending Force (Su*I*L)/(2*a^2*(1-a/L)^2*OD/2):","Tube Max Bending Force (Su*I)/(a*(1-a/L)*OD/2):")</f>
        <v>Tube Max Bending Force (Su*I)/(a*(1-a/L)*OD/2):</v>
      </c>
      <c r="CI90" s="26" t="str">
        <f>IF(OR(CI88="",CI83=""),"",IF(CI89=0,"N/A",
(CI86*CI87*IF($A$25="mm",1/(10^12),1))*
IF(CI85=1,CI88*IF($A$25="mm",1/1000,1)/(2*(IF($A$25="mm",1/1000,1)^3)*CI89^2*(1-CI89/CI88)^2*CI83/2),
1/((IF($A$25="mm",1/1000,1)^2)*CI89*(1-CI89/CI88)*CI83/2))))</f>
        <v/>
      </c>
      <c r="CJ90" s="84" t="str">
        <f>IF(OR(CI90="",CI90="N/A"),"",CI90/$U$23)</f>
        <v/>
      </c>
      <c r="CK90" s="11" t="str">
        <f>IF(CK89="N/A","N/A",
IF(CI90="","BLANK",IF(CJ90&lt;0.95,"CHECK","EQ")))</f>
        <v>BLANK</v>
      </c>
      <c r="CM90" s="24" t="s">
        <v>599</v>
      </c>
      <c r="CN90" s="15"/>
      <c r="CO90" s="15"/>
      <c r="CP90" s="15"/>
      <c r="CR90" s="15" t="str">
        <f>IF(CS85=1,"Tube Max Bending Force (Su*I*L)/(2*a^2*(1-a/L)^2*OD/2):","Tube Max Bending Force (Su*I)/(a*(1-a/L)*OD/2):")</f>
        <v>Tube Max Bending Force (Su*I)/(a*(1-a/L)*OD/2):</v>
      </c>
      <c r="CS90" s="26" t="str">
        <f>IF(OR(CS88="",CS83=""),"",IF(CS89=0,"N/A",
(CS86*CS87*IF($A$25="mm",1/(10^12),1))*
IF(CS85=1,CS88*IF($A$25="mm",1/1000,1)/(2*(IF($A$25="mm",1/1000,1)^3)*CS89^2*(1-CS89/CS88)^2*CS83/2),
1/((IF($A$25="mm",1/1000,1)^2)*CS89*(1-CS89/CS88)*CS83/2))))</f>
        <v/>
      </c>
      <c r="CT90" s="84" t="str">
        <f>IF(OR(CS90="",CS90="N/A"),"",CS90/$U$23)</f>
        <v/>
      </c>
      <c r="CU90" s="11" t="str">
        <f>IF(CU89="N/A","N/A",
IF(CS90="","BLANK",IF(CT90&lt;0.95,"CHECK","EQ")))</f>
        <v>BLANK</v>
      </c>
      <c r="CW90" s="24" t="s">
        <v>599</v>
      </c>
      <c r="CX90" s="15"/>
      <c r="CY90" s="15"/>
      <c r="CZ90" s="15"/>
      <c r="DB90" s="15" t="str">
        <f>IF(DC85=1,"Tube Max Bending Force (Su*I*L)/(2*a^2*(1-a/L)^2*OD/2):","Tube Max Bending Force (Su*I)/(a*(1-a/L)*OD/2):")</f>
        <v>Tube Max Bending Force (Su*I)/(a*(1-a/L)*OD/2):</v>
      </c>
      <c r="DC90" s="26" t="str">
        <f>IF(OR(DC88="",DC83=""),"",IF(DC89=0,"N/A",
(DC86*DC87*IF($A$25="mm",1/(10^12),1))*
IF(DC85=1,DC88*IF($A$25="mm",1/1000,1)/(2*(IF($A$25="mm",1/1000,1)^3)*DC89^2*(1-DC89/DC88)^2*DC83/2),
1/((IF($A$25="mm",1/1000,1)^2)*DC89*(1-DC89/DC88)*DC83/2))))</f>
        <v/>
      </c>
      <c r="DD90" s="84" t="str">
        <f>IF(OR(DC90="",DC90="N/A"),"",DC90/$U$23)</f>
        <v/>
      </c>
      <c r="DE90" s="11" t="str">
        <f>IF(DE89="N/A","N/A",
IF(DC90="","BLANK",IF(DD90&lt;0.95,"CHECK","EQ")))</f>
        <v>BLANK</v>
      </c>
      <c r="DG90" s="24" t="s">
        <v>599</v>
      </c>
      <c r="DH90" s="15"/>
      <c r="DI90" s="15"/>
      <c r="DJ90" s="15"/>
      <c r="DL90" s="15" t="str">
        <f>IF(DM85=1,"Tube Max Bending Force (Su*I*L)/(2*a^2*(1-a/L)^2*OD/2):","Tube Max Bending Force (Su*I)/(a*(1-a/L)*OD/2):")</f>
        <v>Tube Max Bending Force (Su*I)/(a*(1-a/L)*OD/2):</v>
      </c>
      <c r="DM90" s="26" t="str">
        <f>IF(OR(DM88="",DM83=""),"",IF(DM89=0,"N/A",
(DM86*DM87*IF($A$25="mm",1/(10^12),1))*
IF(DM85=1,DM88*IF($A$25="mm",1/1000,1)/(2*(IF($A$25="mm",1/1000,1)^3)*DM89^2*(1-DM89/DM88)^2*DM83/2),
1/((IF($A$25="mm",1/1000,1)^2)*DM89*(1-DM89/DM88)*DM83/2))))</f>
        <v/>
      </c>
      <c r="DN90" s="84" t="str">
        <f>IF(OR(DM90="",DM90="N/A"),"",DM90/$U$23)</f>
        <v/>
      </c>
      <c r="DO90" s="11" t="str">
        <f>IF(DO89="N/A","N/A",
IF(DM90="","BLANK",IF(DN90&lt;0.95,"CHECK","EQ")))</f>
        <v>N/A</v>
      </c>
    </row>
    <row r="91" spans="1:119" ht="15" customHeight="1" x14ac:dyDescent="0.2">
      <c r="A91" s="11"/>
      <c r="B91" s="11"/>
      <c r="C91" s="11"/>
      <c r="D91" s="11"/>
      <c r="E91" s="12" t="s">
        <v>741</v>
      </c>
      <c r="F91" s="11"/>
      <c r="G91" s="11"/>
      <c r="H91" s="11"/>
      <c r="I91" s="11"/>
      <c r="K91" s="334" t="s">
        <v>742</v>
      </c>
      <c r="L91" s="334"/>
      <c r="M91" s="335" t="s">
        <v>743</v>
      </c>
      <c r="N91" s="335"/>
      <c r="O91" s="335"/>
      <c r="P91" s="181">
        <f>P88*P87</f>
        <v>0</v>
      </c>
      <c r="Q91" s="181" t="e">
        <f>IF(Q88=0,0,Q88*Q87)</f>
        <v>#N/A</v>
      </c>
      <c r="R91" s="189" t="e">
        <f>IF(OR(P91=0,Q91=""),0,Q91/P91)</f>
        <v>#N/A</v>
      </c>
      <c r="S91" s="128" t="str">
        <f>IF(NOT(OR(P71="Isotropic",P71="Composite")),"N/A",IF(R91="","EQ",IF(R91&gt;=1,"EQ",IF(R91&gt;=0.95,"CHECK","REJECT"))))</f>
        <v>N/A</v>
      </c>
      <c r="U91" s="83" t="e">
        <f>AA69</f>
        <v>#N/A</v>
      </c>
      <c r="Z91" s="15" t="s">
        <v>744</v>
      </c>
      <c r="AA91" s="26" t="str">
        <f>IF(OR(AA85="",AA86=""),"",3*$U$23/(IF($A$25="mm",1/10^6,1)*2*
((AA86*AA85*IF(AA84="Rectangular Tube",2,1))+AA88*AA87*IF(AA84="Single Layer",0,IF(AA84="L-Shape",1,2)))))</f>
        <v/>
      </c>
      <c r="AB91" s="53" t="str">
        <f>IF(AA91="","",IF(U91=0,"",AA91/U91))</f>
        <v/>
      </c>
      <c r="AC91" s="11" t="str">
        <f>IF(AA65=0,"N/A",
IF(AB91="","BLANK",IF(AB91&lt;=1,"EQ","REJECT")))</f>
        <v>N/A</v>
      </c>
      <c r="AE91" s="83" t="e">
        <f>AK69</f>
        <v>#N/A</v>
      </c>
      <c r="AF91" s="25"/>
      <c r="AJ91" s="15" t="s">
        <v>744</v>
      </c>
      <c r="AK91" s="26" t="str">
        <f>IF(OR(AK85="",AK86=""),"",3*$U$23/(IF($A$25="mm",1/10^6,1)*2*
((AK86*AK85*IF(AK84="Rectangular Tube",2,1))+AK88*AK87*IF(AK84="Single Layer",0,IF(AK84="L-Shape",1,2)))))</f>
        <v/>
      </c>
      <c r="AL91" s="53" t="str">
        <f>IF(AK91="","",IF(AE91=0,"",AK91/AE91))</f>
        <v/>
      </c>
      <c r="AM91" s="11" t="str">
        <f>IF(AK65=0,"N/A",
IF(AL91="","BLANK",IF(AL91&lt;=1,"EQ","REJECT")))</f>
        <v>N/A</v>
      </c>
      <c r="AO91" s="83" t="e">
        <f>AU69</f>
        <v>#N/A</v>
      </c>
      <c r="AT91" s="15" t="s">
        <v>744</v>
      </c>
      <c r="AU91" s="26" t="str">
        <f>IF(OR(AU85="",AU86=""),"",3*$U$23/(IF($A$25="mm",1/10^6,1)*2*
((AU86*AU85*IF(AU84="Rectangular Tube",2,1))+AU88*AU87*IF(AU84="Single Layer",0,IF(AU84="L-Shape",1,2)))))</f>
        <v/>
      </c>
      <c r="AV91" s="53" t="str">
        <f>IF(AU91="","",IF(AO91=0,"",AU91/AO91))</f>
        <v/>
      </c>
      <c r="AW91" s="11" t="str">
        <f>IF(AU65=0,"N/A",
IF(AV91="","BLANK",IF(AV91&lt;=1,"EQ","REJECT")))</f>
        <v>N/A</v>
      </c>
      <c r="AY91" s="83" t="e">
        <f>BE69</f>
        <v>#N/A</v>
      </c>
      <c r="BD91" s="15" t="s">
        <v>744</v>
      </c>
      <c r="BE91" s="26" t="str">
        <f>IF(OR(BE85="",BE86=""),"",3*$U$23/(IF($A$25="mm",1/10^6,1)*2*
((BE86*BE85*IF(BE84="Rectangular Tube",2,1))+BE88*BE87*IF(BE84="Single Layer",0,IF(BE84="L-Shape",1,2)))))</f>
        <v/>
      </c>
      <c r="BF91" s="53" t="str">
        <f>IF(BE91="","",IF(AY91=0,"",BE91/AY91))</f>
        <v/>
      </c>
      <c r="BG91" s="11" t="str">
        <f>IF(BE65=0,"N/A",
IF(BF91="","BLANK",IF(BF91&lt;=1,"EQ","REJECT")))</f>
        <v>N/A</v>
      </c>
      <c r="BI91" s="83" t="e">
        <f>BO69</f>
        <v>#N/A</v>
      </c>
      <c r="BN91" s="15" t="s">
        <v>744</v>
      </c>
      <c r="BO91" s="26" t="str">
        <f>IF(OR(BO85="",BO86=""),"",3*$U$23/(IF($A$25="mm",1/10^6,1)*2*
((BO86*BO85*IF(BO84="Rectangular Tube",2,1))+BO88*BO87*IF(BO84="Single Layer",0,IF(BO84="L-Shape",1,2)))))</f>
        <v/>
      </c>
      <c r="BP91" s="53" t="str">
        <f>IF(BO91="","",IF(BI91=0,"",BO91/BI91))</f>
        <v/>
      </c>
      <c r="BQ91" s="11" t="str">
        <f>IF(BO65=0,"N/A",
IF(BP91="","BLANK",IF(BP91&lt;=1,"EQ","REJECT")))</f>
        <v>N/A</v>
      </c>
      <c r="BS91" s="25" t="s">
        <v>745</v>
      </c>
      <c r="BT91" s="124"/>
      <c r="BU91" s="15"/>
      <c r="BV91" s="15"/>
      <c r="BW91" s="15"/>
      <c r="BX91" s="15"/>
      <c r="BY91" s="26"/>
      <c r="BZ91" s="177"/>
      <c r="CA91" s="11"/>
      <c r="CC91" s="25" t="s">
        <v>745</v>
      </c>
      <c r="CD91" s="124"/>
      <c r="CE91" s="15"/>
      <c r="CF91" s="15"/>
      <c r="CG91" s="15"/>
      <c r="CH91" s="15"/>
      <c r="CI91" s="26"/>
      <c r="CJ91" s="177"/>
      <c r="CK91" s="11"/>
      <c r="CM91" s="25" t="s">
        <v>745</v>
      </c>
      <c r="CN91" s="124"/>
      <c r="CO91" s="15"/>
      <c r="CP91" s="15"/>
      <c r="CQ91" s="15"/>
      <c r="CR91" s="15"/>
      <c r="CS91" s="26"/>
      <c r="CT91" s="177"/>
      <c r="CU91" s="11"/>
      <c r="CW91" s="25" t="s">
        <v>745</v>
      </c>
      <c r="CX91" s="124"/>
      <c r="CY91" s="15"/>
      <c r="CZ91" s="15"/>
      <c r="DA91" s="15"/>
      <c r="DB91" s="15"/>
      <c r="DC91" s="26"/>
      <c r="DD91" s="177"/>
      <c r="DE91" s="11"/>
      <c r="DG91" s="25" t="s">
        <v>745</v>
      </c>
      <c r="DH91" s="124"/>
      <c r="DI91" s="15"/>
      <c r="DJ91" s="15"/>
      <c r="DK91" s="15"/>
      <c r="DL91" s="15"/>
      <c r="DM91" s="26"/>
      <c r="DN91" s="177"/>
      <c r="DO91" s="11"/>
    </row>
    <row r="92" spans="1:119" ht="15" customHeight="1" x14ac:dyDescent="0.2">
      <c r="A92" s="15"/>
      <c r="B92" s="15"/>
      <c r="C92" s="15"/>
      <c r="D92" s="15"/>
      <c r="E92" s="15"/>
      <c r="F92" s="15"/>
      <c r="G92" s="11"/>
      <c r="I92" s="11"/>
      <c r="K92" s="37" t="s">
        <v>746</v>
      </c>
      <c r="L92" s="335" t="s">
        <v>747</v>
      </c>
      <c r="M92" s="335"/>
      <c r="N92" s="335"/>
      <c r="O92" s="335"/>
      <c r="P92" s="181">
        <f>P89*P86</f>
        <v>0</v>
      </c>
      <c r="Q92" s="181" t="e">
        <f>IF(OR(P68="Tube",Q88=0),0,Q89*Q86)</f>
        <v>#N/A</v>
      </c>
      <c r="R92" s="189" t="e">
        <f>IF(OR(P92=0,Q92=""),0,Q92/P92)</f>
        <v>#N/A</v>
      </c>
      <c r="S92" s="128" t="str">
        <f>IF(NOT(OR(P71="Isotropic",P71="Composite")),"N/A",IF(OR(Q86=0,Q89=0),"BLANK",IF(R92&gt;=1,"EQ",IF(R92&gt;=0.95,"CHECK","REJECT"))))</f>
        <v>N/A</v>
      </c>
      <c r="U92" s="35"/>
      <c r="V92" s="124"/>
      <c r="W92" s="15"/>
      <c r="X92" s="15"/>
      <c r="Y92" s="15"/>
      <c r="Z92" s="15"/>
      <c r="AA92" s="26"/>
      <c r="AB92" s="177"/>
      <c r="AC92" s="11"/>
      <c r="AE92" s="35"/>
      <c r="AF92" s="124"/>
      <c r="AG92" s="15"/>
      <c r="AH92" s="15"/>
      <c r="AI92" s="15"/>
      <c r="AJ92" s="15"/>
      <c r="AK92" s="26"/>
      <c r="AL92" s="177"/>
      <c r="AM92" s="11"/>
      <c r="AO92" s="35"/>
      <c r="AP92" s="124"/>
      <c r="AQ92" s="15"/>
      <c r="AR92" s="15"/>
      <c r="AS92" s="15"/>
      <c r="AT92" s="15"/>
      <c r="AU92" s="26"/>
      <c r="AV92" s="177"/>
      <c r="AW92" s="11"/>
      <c r="AY92" s="35"/>
      <c r="AZ92" s="124"/>
      <c r="BA92" s="15"/>
      <c r="BB92" s="15"/>
      <c r="BC92" s="15"/>
      <c r="BD92" s="15"/>
      <c r="BE92" s="26"/>
      <c r="BF92" s="177"/>
      <c r="BG92" s="11"/>
      <c r="BI92" s="35"/>
      <c r="BJ92" s="124"/>
      <c r="BK92" s="15"/>
      <c r="BL92" s="15"/>
      <c r="BM92" s="15"/>
      <c r="BN92" s="15"/>
      <c r="BO92" s="26"/>
      <c r="BP92" s="177"/>
      <c r="BQ92" s="11"/>
      <c r="BS92" s="128"/>
      <c r="BT92" s="128"/>
      <c r="BU92" s="128"/>
      <c r="BV92" s="128"/>
      <c r="BW92" s="128"/>
      <c r="BX92" s="128"/>
      <c r="BY92" s="128"/>
      <c r="BZ92" s="128"/>
      <c r="CA92" s="128"/>
      <c r="CC92" s="128"/>
      <c r="CD92" s="128"/>
      <c r="CE92" s="128"/>
      <c r="CF92" s="128"/>
      <c r="CG92" s="128"/>
      <c r="CH92" s="128"/>
      <c r="CI92" s="128"/>
      <c r="CJ92" s="128"/>
      <c r="CK92" s="128"/>
      <c r="CM92" s="128"/>
      <c r="CN92" s="128"/>
      <c r="CO92" s="128"/>
      <c r="CP92" s="128"/>
      <c r="CQ92" s="128"/>
      <c r="CR92" s="128"/>
      <c r="CS92" s="128"/>
      <c r="CT92" s="128"/>
      <c r="CU92" s="128"/>
      <c r="CW92" s="128"/>
      <c r="CX92" s="128"/>
      <c r="CY92" s="128"/>
      <c r="CZ92" s="128"/>
      <c r="DA92" s="128"/>
      <c r="DB92" s="128"/>
      <c r="DC92" s="128"/>
      <c r="DD92" s="128"/>
      <c r="DE92" s="128"/>
      <c r="DG92" s="128"/>
      <c r="DH92" s="128"/>
      <c r="DI92" s="128"/>
      <c r="DJ92" s="128"/>
      <c r="DK92" s="128"/>
      <c r="DL92" s="128"/>
      <c r="DM92" s="128"/>
      <c r="DN92" s="128"/>
      <c r="DO92" s="128"/>
    </row>
    <row r="93" spans="1:119" ht="15" customHeight="1" x14ac:dyDescent="0.2">
      <c r="A93" s="295" t="str" cm="1">
        <f t="array" ref="A93">IF(COUNTIF(I94:I117,"BLANK"),"BLANK",IF(OR(SUMPRODUCT(--ISERROR(I94:I117))&gt;0,COUNTIF(I94:I117,"REJECT")),"REJECT",IF(COUNTIF(I94:I117,"CHECK"),"CHECK","EQ")))</f>
        <v>BLANK</v>
      </c>
      <c r="B93" s="295"/>
      <c r="C93" s="295"/>
      <c r="D93" s="295"/>
      <c r="E93" s="295"/>
      <c r="F93" s="295"/>
      <c r="G93" s="295"/>
      <c r="H93" s="295"/>
      <c r="I93" s="295"/>
      <c r="K93" s="37" t="s">
        <v>748</v>
      </c>
      <c r="L93" s="335" t="s">
        <v>749</v>
      </c>
      <c r="M93" s="335"/>
      <c r="N93" s="335"/>
      <c r="O93" s="335"/>
      <c r="P93" s="181">
        <f>4*P89*P87/(P85/2)</f>
        <v>0</v>
      </c>
      <c r="Q93" s="181" t="e">
        <f>IF(Q88=0,0,4*Q89*Q87/(IF(P71="Composite",MAX(ABS(O83-O81),ABS(O83-O82)),Q85/2)))</f>
        <v>#N/A</v>
      </c>
      <c r="R93" s="189" t="e">
        <f>IF(OR(P93=0,Q93=""),0,Q93/P93)</f>
        <v>#N/A</v>
      </c>
      <c r="S93" s="128" t="str">
        <f>IF(NOT(OR(P71="Isotropic",P71="Composite")),"N/A",IF(OR(Q87=0,Q89=0),"BLANK",IF(R93&gt;=1,"EQ",IF(R93&gt;=0.95,"CHECK","REJECT"))))</f>
        <v>N/A</v>
      </c>
      <c r="U93" s="128"/>
      <c r="V93" s="128"/>
      <c r="W93" s="128"/>
      <c r="X93" s="128"/>
      <c r="Y93" s="37" t="s">
        <v>750</v>
      </c>
      <c r="Z93" s="128"/>
      <c r="AA93" s="128"/>
      <c r="AB93" s="128"/>
      <c r="AC93" s="128"/>
      <c r="AE93" s="128"/>
      <c r="AF93" s="128"/>
      <c r="AG93" s="128"/>
      <c r="AH93" s="128"/>
      <c r="AI93" s="37" t="s">
        <v>750</v>
      </c>
      <c r="AJ93" s="128"/>
      <c r="AK93" s="128"/>
      <c r="AL93" s="128"/>
      <c r="AM93" s="128"/>
      <c r="AO93" s="37"/>
      <c r="AP93" s="37"/>
      <c r="AQ93" s="37"/>
      <c r="AR93" s="37"/>
      <c r="AS93" s="37" t="s">
        <v>750</v>
      </c>
      <c r="AT93" s="37"/>
      <c r="AU93" s="37"/>
      <c r="AV93" s="37"/>
      <c r="AW93" s="37"/>
      <c r="AY93" s="37"/>
      <c r="AZ93" s="37"/>
      <c r="BA93" s="37"/>
      <c r="BB93" s="37"/>
      <c r="BC93" s="37" t="s">
        <v>750</v>
      </c>
      <c r="BD93" s="37"/>
      <c r="BE93" s="37"/>
      <c r="BF93" s="37"/>
      <c r="BG93" s="37"/>
      <c r="BJ93" s="37"/>
      <c r="BK93" s="37"/>
      <c r="BL93" s="37"/>
      <c r="BM93" s="37" t="s">
        <v>750</v>
      </c>
      <c r="BN93" s="37"/>
      <c r="BO93" s="37"/>
      <c r="BP93" s="37"/>
      <c r="BQ93" s="37"/>
      <c r="BS93" s="128"/>
      <c r="BT93" s="128"/>
      <c r="BU93" s="128"/>
      <c r="BV93" s="128"/>
      <c r="BW93" s="37" t="s">
        <v>751</v>
      </c>
      <c r="BX93" s="128"/>
      <c r="BY93" s="128"/>
      <c r="BZ93" s="128"/>
      <c r="CA93" s="128"/>
      <c r="CC93" s="128"/>
      <c r="CD93" s="128"/>
      <c r="CE93" s="128"/>
      <c r="CF93" s="128"/>
      <c r="CG93" s="37" t="s">
        <v>751</v>
      </c>
      <c r="CH93" s="128"/>
      <c r="CI93" s="128"/>
      <c r="CJ93" s="128"/>
      <c r="CK93" s="128"/>
      <c r="CM93" s="128"/>
      <c r="CN93" s="128"/>
      <c r="CO93" s="128"/>
      <c r="CP93" s="128"/>
      <c r="CQ93" s="37" t="s">
        <v>751</v>
      </c>
      <c r="CR93" s="128"/>
      <c r="CS93" s="128"/>
      <c r="CT93" s="128"/>
      <c r="CU93" s="128"/>
      <c r="CW93" s="128"/>
      <c r="CX93" s="128"/>
      <c r="CY93" s="128"/>
      <c r="CZ93" s="128"/>
      <c r="DA93" s="37" t="s">
        <v>751</v>
      </c>
      <c r="DB93" s="128"/>
      <c r="DC93" s="128"/>
      <c r="DD93" s="128"/>
      <c r="DE93" s="128"/>
      <c r="DG93" s="128"/>
      <c r="DH93" s="128"/>
      <c r="DI93" s="128"/>
      <c r="DJ93" s="128"/>
      <c r="DK93" s="37" t="s">
        <v>751</v>
      </c>
      <c r="DL93" s="128"/>
      <c r="DM93" s="128"/>
      <c r="DN93" s="128"/>
      <c r="DO93" s="128"/>
    </row>
    <row r="94" spans="1:119" ht="15" customHeight="1" thickBot="1" x14ac:dyDescent="0.25">
      <c r="A94" s="11"/>
      <c r="B94" s="11"/>
      <c r="C94" s="11"/>
      <c r="D94" s="11"/>
      <c r="E94" s="11"/>
      <c r="F94" s="15" t="s">
        <v>752</v>
      </c>
      <c r="G94" s="190"/>
      <c r="H94" s="35"/>
      <c r="I94" s="11" t="str">
        <f>IF(G94="","BLANK","EQ")</f>
        <v>BLANK</v>
      </c>
      <c r="K94" s="12" t="s">
        <v>753</v>
      </c>
      <c r="L94" s="307" t="s">
        <v>754</v>
      </c>
      <c r="M94" s="307"/>
      <c r="N94" s="307"/>
      <c r="O94" s="307"/>
      <c r="P94" s="181">
        <f>IF(P87=0,0,P93/(48*P88*P87))</f>
        <v>0</v>
      </c>
      <c r="Q94" s="181" t="e">
        <f>IF(OR(Q93="",Q88=0),0,P93/(48*Q88*Q87))</f>
        <v>#N/A</v>
      </c>
      <c r="R94" s="189" t="e">
        <f>IF(OR(P94=0,Q94=""),0,Q94/P94)</f>
        <v>#N/A</v>
      </c>
      <c r="S94" s="128" t="str">
        <f>IF(NOT(OR(P71="Isotropic",P71="Composite")),"N/A",IF(OR(Q93=0,Q88=0,Q87=0),"BLANK",IF(R94&lt;=1,"EQ",IF(R94&lt;=1.05,"CHECK","REJECT"))))</f>
        <v>N/A</v>
      </c>
      <c r="U94" s="295" t="str">
        <f>IF(COUNTIF(AC95:AC120,"BLANK"),"BLANK",IF(OR(SUMPRODUCT(--ISERROR(AC95:AC120))&gt;0,COUNTIF(AC95:AC120,"REJECT")),"REJECT",IF(COUNTIF(AC95:AC120,"CHECK"),"CHECK","EQ")))</f>
        <v>EQ</v>
      </c>
      <c r="V94" s="295"/>
      <c r="W94" s="295"/>
      <c r="X94" s="295"/>
      <c r="Y94" s="295"/>
      <c r="Z94" s="295"/>
      <c r="AA94" s="295"/>
      <c r="AB94" s="295"/>
      <c r="AC94" s="295"/>
      <c r="AE94" s="295" t="str">
        <f>IF(COUNTIF(AM95:AM120,"BLANK"),"BLANK",IF(OR(SUMPRODUCT(--ISERROR(AM95:AM120))&gt;0,COUNTIF(AM95:AM120,"REJECT")),"REJECT",IF(COUNTIF(AM95:AM120,"CHECK"),"CHECK","EQ")))</f>
        <v>EQ</v>
      </c>
      <c r="AF94" s="295"/>
      <c r="AG94" s="295"/>
      <c r="AH94" s="295"/>
      <c r="AI94" s="295"/>
      <c r="AJ94" s="295"/>
      <c r="AK94" s="295"/>
      <c r="AL94" s="295"/>
      <c r="AM94" s="295"/>
      <c r="AO94" s="295" t="str">
        <f>IF(COUNTIF(AW95:AW120,"BLANK"),"BLANK",IF(OR(SUMPRODUCT(--ISERROR(AW95:AW120))&gt;0,COUNTIF(AW95:AW120,"REJECT")),"REJECT",IF(COUNTIF(AW95:AW120,"CHECK"),"CHECK","EQ")))</f>
        <v>EQ</v>
      </c>
      <c r="AP94" s="295"/>
      <c r="AQ94" s="295"/>
      <c r="AR94" s="295"/>
      <c r="AS94" s="295"/>
      <c r="AT94" s="295"/>
      <c r="AU94" s="295"/>
      <c r="AV94" s="295"/>
      <c r="AW94" s="295"/>
      <c r="AY94" s="295" t="str">
        <f>IF(COUNTIF(BG95:BG120,"BLANK"),"BLANK",IF(OR(SUMPRODUCT(--ISERROR(BG95:BG120))&gt;0,COUNTIF(BG95:BG120,"REJECT")),"REJECT",IF(COUNTIF(BG95:BG120,"CHECK"),"CHECK","EQ")))</f>
        <v>EQ</v>
      </c>
      <c r="AZ94" s="295"/>
      <c r="BA94" s="295"/>
      <c r="BB94" s="295"/>
      <c r="BC94" s="295"/>
      <c r="BD94" s="295"/>
      <c r="BE94" s="295"/>
      <c r="BF94" s="295"/>
      <c r="BG94" s="295"/>
      <c r="BI94" s="295" t="str">
        <f>IF(COUNTIF(BQ95:BQ120,"BLANK"),"BLANK",IF(OR(SUMPRODUCT(--ISERROR(BQ95:BQ120))&gt;0,COUNTIF(BQ95:BQ120,"REJECT")),"REJECT",IF(COUNTIF(BQ95:BQ120,"CHECK"),"CHECK","EQ")))</f>
        <v>EQ</v>
      </c>
      <c r="BJ94" s="295"/>
      <c r="BK94" s="295"/>
      <c r="BL94" s="295"/>
      <c r="BM94" s="295"/>
      <c r="BN94" s="295"/>
      <c r="BO94" s="295"/>
      <c r="BP94" s="295"/>
      <c r="BQ94" s="295"/>
      <c r="BS94" s="295" t="str">
        <f>IF(COUNTIF(CA95:CA102,"BLANK"),"BLANK",IF(OR(SUMPRODUCT(--ISERROR(CA95:CA102))&gt;0,COUNTIF(CA95:CA102,"REJECT")),"REJECT",IF(COUNTIF(CA95:CA102,"CHECK"),"CHECK","EQ")))</f>
        <v>EQ</v>
      </c>
      <c r="BT94" s="295"/>
      <c r="BU94" s="295"/>
      <c r="BV94" s="295"/>
      <c r="BW94" s="295"/>
      <c r="BX94" s="295"/>
      <c r="BY94" s="295"/>
      <c r="BZ94" s="295"/>
      <c r="CA94" s="295"/>
      <c r="CC94" s="295" t="str">
        <f>IF(COUNTIF(CK95:CK102,"BLANK"),"BLANK",IF(OR(SUMPRODUCT(--ISERROR(CK95:CK102))&gt;0,COUNTIF(CK95:CK102,"REJECT")),"REJECT",IF(COUNTIF(CK95:CK102,"CHECK"),"CHECK","EQ")))</f>
        <v>EQ</v>
      </c>
      <c r="CD94" s="295"/>
      <c r="CE94" s="295"/>
      <c r="CF94" s="295"/>
      <c r="CG94" s="295"/>
      <c r="CH94" s="295"/>
      <c r="CI94" s="295"/>
      <c r="CJ94" s="295"/>
      <c r="CK94" s="295"/>
      <c r="CM94" s="295" t="str">
        <f>IF(COUNTIF(CU95:CU102,"BLANK"),"BLANK",IF(OR(SUMPRODUCT(--ISERROR(CU95:CU102))&gt;0,COUNTIF(CU95:CU102,"REJECT")),"REJECT",IF(COUNTIF(CU95:CU102,"CHECK"),"CHECK","EQ")))</f>
        <v>EQ</v>
      </c>
      <c r="CN94" s="295"/>
      <c r="CO94" s="295"/>
      <c r="CP94" s="295"/>
      <c r="CQ94" s="295"/>
      <c r="CR94" s="295"/>
      <c r="CS94" s="295"/>
      <c r="CT94" s="295"/>
      <c r="CU94" s="295"/>
      <c r="CW94" s="295" t="str">
        <f>IF(COUNTIF(DE95:DE102,"BLANK"),"BLANK",IF(OR(SUMPRODUCT(--ISERROR(DE95:DE102))&gt;0,COUNTIF(DE95:DE102,"REJECT")),"REJECT",IF(COUNTIF(DE95:DE102,"CHECK"),"CHECK","EQ")))</f>
        <v>EQ</v>
      </c>
      <c r="CX94" s="295"/>
      <c r="CY94" s="295"/>
      <c r="CZ94" s="295"/>
      <c r="DA94" s="295"/>
      <c r="DB94" s="295"/>
      <c r="DC94" s="295"/>
      <c r="DD94" s="295"/>
      <c r="DE94" s="295"/>
      <c r="DG94" s="295" t="str">
        <f>IF(COUNTIF(DO95:DO102,"BLANK"),"BLANK",IF(OR(SUMPRODUCT(--ISERROR(DO95:DO102))&gt;0,COUNTIF(DO95:DO102,"REJECT")),"REJECT",IF(COUNTIF(DO95:DO102,"CHECK"),"CHECK","EQ")))</f>
        <v>EQ</v>
      </c>
      <c r="DH94" s="295"/>
      <c r="DI94" s="295"/>
      <c r="DJ94" s="295"/>
      <c r="DK94" s="295"/>
      <c r="DL94" s="295"/>
      <c r="DM94" s="295"/>
      <c r="DN94" s="295"/>
      <c r="DO94" s="295"/>
    </row>
    <row r="95" spans="1:119" ht="15" customHeight="1" thickBot="1" x14ac:dyDescent="0.25">
      <c r="A95" s="11"/>
      <c r="B95" s="11"/>
      <c r="C95" s="11"/>
      <c r="D95" s="11"/>
      <c r="E95" s="11"/>
      <c r="F95" s="15" t="s">
        <v>755</v>
      </c>
      <c r="G95" s="82"/>
      <c r="H95" s="25" t="str">
        <f>IF($A$25="mm","mm","in")</f>
        <v>in</v>
      </c>
      <c r="I95" s="11" t="str">
        <f>IF(G95="","BLANK","EQ")</f>
        <v>BLANK</v>
      </c>
      <c r="K95" s="12" t="s">
        <v>756</v>
      </c>
      <c r="L95" s="307" t="s">
        <v>757</v>
      </c>
      <c r="M95" s="307"/>
      <c r="N95" s="307"/>
      <c r="O95" s="307"/>
      <c r="P95" s="181">
        <f>IF(P87=0,0,0.5*P93^2/(48*P88*P87))</f>
        <v>0</v>
      </c>
      <c r="Q95" s="181" t="e">
        <f>IF(OR(Q93="",Q88=0),0,0.5*Q93^2/(48*(Q88*Q87)))</f>
        <v>#N/A</v>
      </c>
      <c r="R95" s="189" t="e">
        <f>IF(OR(P95=0,Q95=""),0,Q95/P95)</f>
        <v>#N/A</v>
      </c>
      <c r="S95" s="128" t="str">
        <f>IF(NOT(OR(P71="Isotropic",P71="Composite")),"N/A",IF(OR(Q93=0,Q88=0,Q87=0),"BLANK",IF(R95&gt;=1,"EQ",IF(R95&gt;=0.95,"CHECK","REJECT"))))</f>
        <v>N/A</v>
      </c>
      <c r="U95" s="11"/>
      <c r="V95" s="11"/>
      <c r="W95" s="11"/>
      <c r="X95" s="15" t="s">
        <v>758</v>
      </c>
      <c r="Y95" s="342"/>
      <c r="Z95" s="343"/>
      <c r="AA95" s="346">
        <f>IF(Y95="Floor",$Q$73,$Q$103)</f>
        <v>0</v>
      </c>
      <c r="AB95" s="346"/>
      <c r="AC95" s="11" t="str">
        <f>IF(AA65=0,"N/A",IF(AA95="","BLANK",IF(AND(AA100="Welded",ISNUMBER(SEARCH("Unwelded",AA95))),"REJECT","EQ")))</f>
        <v>N/A</v>
      </c>
      <c r="AE95" s="11"/>
      <c r="AF95" s="11"/>
      <c r="AG95" s="11"/>
      <c r="AH95" s="15" t="s">
        <v>758</v>
      </c>
      <c r="AI95" s="342"/>
      <c r="AJ95" s="343"/>
      <c r="AK95" s="346">
        <f>IF(AI95="Floor",$Q$73,$Q$103)</f>
        <v>0</v>
      </c>
      <c r="AL95" s="346"/>
      <c r="AM95" s="11" t="str">
        <f>IF(AK65=0,"N/A",IF(AK95="","BLANK",IF(AND(AK100="Welded",ISNUMBER(SEARCH("Unwelded",AK95))),"REJECT","EQ")))</f>
        <v>N/A</v>
      </c>
      <c r="AO95" s="11"/>
      <c r="AP95" s="11"/>
      <c r="AQ95" s="11"/>
      <c r="AR95" s="15" t="s">
        <v>758</v>
      </c>
      <c r="AS95" s="342"/>
      <c r="AT95" s="343"/>
      <c r="AU95" s="346">
        <f>IF(AS95="Floor",$Q$73,$Q$103)</f>
        <v>0</v>
      </c>
      <c r="AV95" s="346"/>
      <c r="AW95" s="11" t="str">
        <f>IF(AU65=0,"N/A",IF(AU95="","BLANK",IF(AND(AU100="Welded",ISNUMBER(SEARCH("Unwelded",AU95))),"REJECT","EQ")))</f>
        <v>N/A</v>
      </c>
      <c r="AY95" s="11"/>
      <c r="AZ95" s="11"/>
      <c r="BA95" s="11"/>
      <c r="BB95" s="15" t="s">
        <v>758</v>
      </c>
      <c r="BC95" s="342"/>
      <c r="BD95" s="343"/>
      <c r="BE95" s="346">
        <f>IF(BC95="Floor",$Q$73,$Q$103)</f>
        <v>0</v>
      </c>
      <c r="BF95" s="346"/>
      <c r="BG95" s="11" t="str">
        <f>IF(BE65=0,"N/A",IF(BE95="","BLANK",IF(AND(BE100="Welded",ISNUMBER(SEARCH("Unwelded",BE95))),"REJECT","EQ")))</f>
        <v>N/A</v>
      </c>
      <c r="BI95" s="11"/>
      <c r="BJ95" s="11"/>
      <c r="BK95" s="11"/>
      <c r="BL95" s="15" t="s">
        <v>758</v>
      </c>
      <c r="BM95" s="342"/>
      <c r="BN95" s="343"/>
      <c r="BO95" s="346">
        <f>IF(BM95="Floor",$Q$73,$Q$103)</f>
        <v>0</v>
      </c>
      <c r="BP95" s="346"/>
      <c r="BQ95" s="11" t="str">
        <f>IF(BO65=0,"N/A",IF(BO95="","BLANK",IF(AND(BO100="Welded",ISNUMBER(SEARCH("Unwelded",BO95))),"REJECT","EQ")))</f>
        <v>N/A</v>
      </c>
      <c r="BS95" s="12"/>
      <c r="BT95" s="11"/>
      <c r="BU95" s="11"/>
      <c r="BV95" s="11"/>
      <c r="BW95" s="11"/>
      <c r="BX95" s="15" t="s">
        <v>759</v>
      </c>
      <c r="BY95" s="298"/>
      <c r="BZ95" s="347"/>
      <c r="CA95" s="11" t="str">
        <f>IF(BY63=0,"N/A",
IF(BY95="","BLANK","EQ"))</f>
        <v>N/A</v>
      </c>
      <c r="CC95" s="12"/>
      <c r="CD95" s="11"/>
      <c r="CE95" s="11"/>
      <c r="CF95" s="11"/>
      <c r="CG95" s="11"/>
      <c r="CH95" s="15" t="s">
        <v>759</v>
      </c>
      <c r="CI95" s="298"/>
      <c r="CJ95" s="347"/>
      <c r="CK95" s="11" t="str">
        <f>IF(CI63=0,"N/A",
IF(CI95="","BLANK","EQ"))</f>
        <v>N/A</v>
      </c>
      <c r="CM95" s="12"/>
      <c r="CN95" s="11"/>
      <c r="CO95" s="11"/>
      <c r="CP95" s="11"/>
      <c r="CQ95" s="11"/>
      <c r="CR95" s="15" t="s">
        <v>759</v>
      </c>
      <c r="CS95" s="298"/>
      <c r="CT95" s="347"/>
      <c r="CU95" s="11" t="str">
        <f>IF(CS63=0,"N/A",
IF(CS95="","BLANK","EQ"))</f>
        <v>N/A</v>
      </c>
      <c r="CW95" s="12"/>
      <c r="CX95" s="11"/>
      <c r="CY95" s="11"/>
      <c r="CZ95" s="11"/>
      <c r="DA95" s="11"/>
      <c r="DB95" s="15" t="s">
        <v>759</v>
      </c>
      <c r="DC95" s="298"/>
      <c r="DD95" s="347"/>
      <c r="DE95" s="11" t="str">
        <f>IF(DC63=0,"N/A",
IF(DC95="","BLANK","EQ"))</f>
        <v>N/A</v>
      </c>
      <c r="DG95" s="12"/>
      <c r="DH95" s="11"/>
      <c r="DI95" s="11"/>
      <c r="DJ95" s="11"/>
      <c r="DK95" s="11"/>
      <c r="DL95" s="15" t="s">
        <v>759</v>
      </c>
      <c r="DM95" s="298"/>
      <c r="DN95" s="347"/>
      <c r="DO95" s="11" t="str">
        <f>IF(DM63=0,"N/A",
IF(DM95="","BLANK","EQ"))</f>
        <v>N/A</v>
      </c>
    </row>
    <row r="96" spans="1:119" ht="15" customHeight="1" x14ac:dyDescent="0.2">
      <c r="A96" s="11"/>
      <c r="B96" s="11"/>
      <c r="C96" s="11"/>
      <c r="D96" s="11"/>
      <c r="E96" s="11"/>
      <c r="F96" s="15" t="s">
        <v>760</v>
      </c>
      <c r="G96" s="82"/>
      <c r="H96" s="25" t="str">
        <f>IF($A$25="mm","mm^2","in^2")</f>
        <v>in^2</v>
      </c>
      <c r="I96" s="11" t="str">
        <f>IF(G96="","BLANK","EQ")</f>
        <v>BLANK</v>
      </c>
      <c r="K96" s="12" t="s">
        <v>761</v>
      </c>
      <c r="L96" s="15"/>
      <c r="M96" s="15"/>
      <c r="N96" s="15"/>
      <c r="O96" s="15" t="s">
        <v>762</v>
      </c>
      <c r="P96" s="181">
        <f>P85*P90</f>
        <v>1229.8754999999999</v>
      </c>
      <c r="Q96" s="181" t="e">
        <f>Q90*IF(P71="Composite",IF(Q75&gt;0,Q76,Q85))</f>
        <v>#N/A</v>
      </c>
      <c r="R96" s="189" t="e">
        <f>Q96/P96</f>
        <v>#N/A</v>
      </c>
      <c r="S96" s="128" t="str">
        <f>IF(NOT(OR(P71="Isotropic",P71="Composite")),"N/A",IF(OR(Q90=0,Q86=0),"BLANK",IF(R96&gt;=1,"EQ",IF(R96&gt;=0.95,"CHECK","REJECT"))))</f>
        <v>N/A</v>
      </c>
      <c r="V96" s="12"/>
      <c r="W96" s="307" t="s">
        <v>651</v>
      </c>
      <c r="X96" s="307"/>
      <c r="Y96" s="307"/>
      <c r="Z96" s="307"/>
      <c r="AA96" s="26" t="e">
        <f>INDEX($G$3:$G$19,MATCH(AA95,$E$3:$E$19,0))</f>
        <v>#N/A</v>
      </c>
      <c r="AB96" s="25" t="str">
        <f>IF($A$25="mm","Pa","psi")</f>
        <v>psi</v>
      </c>
      <c r="AC96" s="11" t="str">
        <f>IF(AA$65=0,"N/A",IF(AA96=0,"BLANK","EQ"))</f>
        <v>N/A</v>
      </c>
      <c r="AE96" s="25"/>
      <c r="AF96" s="12"/>
      <c r="AG96" s="307" t="s">
        <v>651</v>
      </c>
      <c r="AH96" s="307"/>
      <c r="AI96" s="307"/>
      <c r="AJ96" s="307"/>
      <c r="AK96" s="26" t="e">
        <f>INDEX($G$3:$G$19,MATCH(AK95,$E$3:$E$19,0))</f>
        <v>#N/A</v>
      </c>
      <c r="AL96" s="25" t="str">
        <f>IF($A$25="mm","Pa","psi")</f>
        <v>psi</v>
      </c>
      <c r="AM96" s="11" t="str">
        <f>IF(AK$65=0,"N/A",IF(AK96=0,"BLANK","EQ"))</f>
        <v>N/A</v>
      </c>
      <c r="AP96" s="12"/>
      <c r="AQ96" s="307" t="s">
        <v>651</v>
      </c>
      <c r="AR96" s="307"/>
      <c r="AS96" s="307"/>
      <c r="AT96" s="307"/>
      <c r="AU96" s="26" t="e">
        <f>INDEX($G$3:$G$19,MATCH(AU95,$E$3:$E$19,0))</f>
        <v>#N/A</v>
      </c>
      <c r="AV96" s="25" t="str">
        <f>IF($A$25="mm","Pa","psi")</f>
        <v>psi</v>
      </c>
      <c r="AW96" s="11" t="str">
        <f>IF(AU$65=0,"N/A",IF(AU96=0,"BLANK","EQ"))</f>
        <v>N/A</v>
      </c>
      <c r="AZ96" s="12"/>
      <c r="BA96" s="307" t="s">
        <v>651</v>
      </c>
      <c r="BB96" s="307"/>
      <c r="BC96" s="307"/>
      <c r="BD96" s="307"/>
      <c r="BE96" s="26" t="e">
        <f>INDEX($G$3:$G$19,MATCH(BE95,$E$3:$E$19,0))</f>
        <v>#N/A</v>
      </c>
      <c r="BF96" s="25" t="str">
        <f>IF($A$25="mm","Pa","psi")</f>
        <v>psi</v>
      </c>
      <c r="BG96" s="11" t="str">
        <f>IF(BE$65=0,"N/A",IF(BE96=0,"BLANK","EQ"))</f>
        <v>N/A</v>
      </c>
      <c r="BJ96" s="12"/>
      <c r="BK96" s="307" t="s">
        <v>651</v>
      </c>
      <c r="BL96" s="307"/>
      <c r="BM96" s="307"/>
      <c r="BN96" s="307"/>
      <c r="BO96" s="26" t="e">
        <f>INDEX($G$3:$G$19,MATCH(BO95,$E$3:$E$19,0))</f>
        <v>#N/A</v>
      </c>
      <c r="BP96" s="25" t="str">
        <f>IF($A$25="mm","Pa","psi")</f>
        <v>psi</v>
      </c>
      <c r="BQ96" s="11" t="str">
        <f>IF(BO$65=0,"N/A",IF(BO96=0,"BLANK","EQ"))</f>
        <v>N/A</v>
      </c>
      <c r="BS96" s="12"/>
      <c r="BT96" s="11"/>
      <c r="BU96" s="11"/>
      <c r="BV96" s="11"/>
      <c r="BW96" s="11"/>
      <c r="BX96" s="15" t="str">
        <f>IF(BY95="Round Tube","Wall Thickness (W):","Mount thickness (B):")</f>
        <v>Mount thickness (B):</v>
      </c>
      <c r="BY96" s="79"/>
      <c r="BZ96" s="25" t="str">
        <f>IF($A$25="mm","mm","in")</f>
        <v>in</v>
      </c>
      <c r="CA96" s="11" t="str">
        <f>IF(BY63=0,"N/A",
IF(OR(BY96="",BY96&lt;=0),"BLANK","EQ"))</f>
        <v>N/A</v>
      </c>
      <c r="CC96" s="12"/>
      <c r="CD96" s="11"/>
      <c r="CE96" s="11"/>
      <c r="CF96" s="11"/>
      <c r="CG96" s="11"/>
      <c r="CH96" s="15" t="str">
        <f>IF(CI95="Round Tube","Wall Thickness (W):","Mount thickness (B):")</f>
        <v>Mount thickness (B):</v>
      </c>
      <c r="CI96" s="79"/>
      <c r="CJ96" s="25" t="str">
        <f>IF($A$25="mm","mm","in")</f>
        <v>in</v>
      </c>
      <c r="CK96" s="11" t="str">
        <f>IF(CI63=0,"N/A",
IF(OR(CI96="",CI96&lt;=0),"BLANK","EQ"))</f>
        <v>N/A</v>
      </c>
      <c r="CM96" s="12"/>
      <c r="CN96" s="11"/>
      <c r="CO96" s="11"/>
      <c r="CP96" s="11"/>
      <c r="CQ96" s="11"/>
      <c r="CR96" s="15" t="str">
        <f>IF(CS95="Round Tube","Wall Thickness (W):","Mount thickness (B):")</f>
        <v>Mount thickness (B):</v>
      </c>
      <c r="CS96" s="79"/>
      <c r="CT96" s="25" t="str">
        <f>IF($A$25="mm","mm","in")</f>
        <v>in</v>
      </c>
      <c r="CU96" s="11" t="str">
        <f>IF(CS63=0,"N/A",
IF(OR(CS96="",CS96&lt;=0),"BLANK","EQ"))</f>
        <v>N/A</v>
      </c>
      <c r="CV96" s="44"/>
      <c r="CW96" s="12"/>
      <c r="CX96" s="11"/>
      <c r="CY96" s="11"/>
      <c r="CZ96" s="11"/>
      <c r="DA96" s="11"/>
      <c r="DB96" s="15" t="str">
        <f>IF(DC95="Round Tube","Wall Thickness (W):","Mount thickness (B):")</f>
        <v>Mount thickness (B):</v>
      </c>
      <c r="DC96" s="79"/>
      <c r="DD96" s="25" t="str">
        <f>IF($A$25="mm","mm","in")</f>
        <v>in</v>
      </c>
      <c r="DE96" s="11" t="str">
        <f>IF(DC63=0,"N/A",
IF(OR(DC96="",DC96&lt;=0),"BLANK","EQ"))</f>
        <v>N/A</v>
      </c>
      <c r="DG96" s="12"/>
      <c r="DH96" s="11"/>
      <c r="DI96" s="11"/>
      <c r="DJ96" s="11"/>
      <c r="DK96" s="11"/>
      <c r="DL96" s="15" t="str">
        <f>IF(DM95="Round Tube","Wall Thickness (W):","Mount thickness (B):")</f>
        <v>Mount thickness (B):</v>
      </c>
      <c r="DM96" s="79"/>
      <c r="DN96" s="25" t="str">
        <f>IF($A$25="mm","mm","in")</f>
        <v>in</v>
      </c>
      <c r="DO96" s="11" t="str">
        <f>IF(DM63=0,"N/A",
IF(OR(DM96="",DM96&lt;=0),"BLANK","EQ"))</f>
        <v>N/A</v>
      </c>
    </row>
    <row r="97" spans="1:119" ht="15" customHeight="1" x14ac:dyDescent="0.2">
      <c r="A97" s="11"/>
      <c r="B97" s="11"/>
      <c r="C97" s="11"/>
      <c r="D97" s="11"/>
      <c r="E97" s="11"/>
      <c r="F97" s="15" t="s">
        <v>763</v>
      </c>
      <c r="G97" s="82"/>
      <c r="H97" s="25" t="str">
        <f>IF($A$25="mm","mm^4","in^4")</f>
        <v>in^4</v>
      </c>
      <c r="I97" s="11" t="str">
        <f>IF(G97="","BLANK","EQ")</f>
        <v>BLANK</v>
      </c>
      <c r="K97" s="37"/>
      <c r="L97" s="335"/>
      <c r="M97" s="335"/>
      <c r="N97" s="335"/>
      <c r="O97" s="335"/>
      <c r="P97" s="181"/>
      <c r="Q97" s="126"/>
      <c r="R97" s="127"/>
      <c r="S97" s="128"/>
      <c r="U97" s="168"/>
      <c r="V97" s="307" t="s">
        <v>656</v>
      </c>
      <c r="W97" s="307"/>
      <c r="X97" s="307"/>
      <c r="Y97" s="307"/>
      <c r="Z97" s="307"/>
      <c r="AA97" s="26" t="e">
        <f>INDEX($I$3:$I$19,MATCH(AA95,$E$3:$E$19,0))</f>
        <v>#N/A</v>
      </c>
      <c r="AB97" s="25" t="str">
        <f>IF($A$25="mm","Pa","psi")</f>
        <v>psi</v>
      </c>
      <c r="AC97" s="11" t="str">
        <f t="shared" ref="AC97:AC98" si="9">IF(AA$65=0,"N/A",IF(AA97=0,"BLANK","EQ"))</f>
        <v>N/A</v>
      </c>
      <c r="AE97" s="168"/>
      <c r="AF97" s="307" t="s">
        <v>656</v>
      </c>
      <c r="AG97" s="307"/>
      <c r="AH97" s="307"/>
      <c r="AI97" s="307"/>
      <c r="AJ97" s="307"/>
      <c r="AK97" s="26" t="e">
        <f>INDEX($I$3:$I$19,MATCH(AK95,$E$3:$E$19,0))</f>
        <v>#N/A</v>
      </c>
      <c r="AL97" s="25" t="str">
        <f>IF($A$25="mm","Pa","psi")</f>
        <v>psi</v>
      </c>
      <c r="AM97" s="11" t="str">
        <f t="shared" ref="AM97:AM98" si="10">IF(AK$65=0,"N/A",IF(AK97=0,"BLANK","EQ"))</f>
        <v>N/A</v>
      </c>
      <c r="AO97" s="168"/>
      <c r="AP97" s="307" t="s">
        <v>656</v>
      </c>
      <c r="AQ97" s="307"/>
      <c r="AR97" s="307"/>
      <c r="AS97" s="307"/>
      <c r="AT97" s="307"/>
      <c r="AU97" s="26" t="e">
        <f>INDEX($I$3:$I$19,MATCH(AU95,$E$3:$E$19,0))</f>
        <v>#N/A</v>
      </c>
      <c r="AV97" s="25" t="str">
        <f>IF($A$25="mm","Pa","psi")</f>
        <v>psi</v>
      </c>
      <c r="AW97" s="11" t="str">
        <f t="shared" ref="AW97:AW98" si="11">IF(AU$65=0,"N/A",IF(AU97=0,"BLANK","EQ"))</f>
        <v>N/A</v>
      </c>
      <c r="AY97" s="168"/>
      <c r="AZ97" s="307" t="s">
        <v>656</v>
      </c>
      <c r="BA97" s="307"/>
      <c r="BB97" s="307"/>
      <c r="BC97" s="307"/>
      <c r="BD97" s="307"/>
      <c r="BE97" s="26" t="e">
        <f>INDEX($I$3:$I$19,MATCH(BE95,$E$3:$E$19,0))</f>
        <v>#N/A</v>
      </c>
      <c r="BF97" s="25" t="str">
        <f>IF($A$25="mm","Pa","psi")</f>
        <v>psi</v>
      </c>
      <c r="BG97" s="11" t="str">
        <f t="shared" ref="BG97:BG98" si="12">IF(BE$65=0,"N/A",IF(BE97=0,"BLANK","EQ"))</f>
        <v>N/A</v>
      </c>
      <c r="BI97" s="168"/>
      <c r="BJ97" s="307" t="s">
        <v>656</v>
      </c>
      <c r="BK97" s="307"/>
      <c r="BL97" s="307"/>
      <c r="BM97" s="307"/>
      <c r="BN97" s="307"/>
      <c r="BO97" s="26" t="e">
        <f>INDEX($I$3:$I$19,MATCH(BO95,$E$3:$E$19,0))</f>
        <v>#N/A</v>
      </c>
      <c r="BP97" s="25" t="str">
        <f>IF($A$25="mm","Pa","psi")</f>
        <v>psi</v>
      </c>
      <c r="BQ97" s="11" t="str">
        <f t="shared" ref="BQ97:BQ98" si="13">IF(BO$65=0,"N/A",IF(BO97=0,"BLANK","EQ"))</f>
        <v>N/A</v>
      </c>
      <c r="BS97" s="12"/>
      <c r="BT97" s="11"/>
      <c r="BU97" s="11"/>
      <c r="BV97" s="11"/>
      <c r="BW97" s="11"/>
      <c r="BX97" s="15" t="str">
        <f>IF(BY95="Round Tube","Outer Diameter (OD):","Mount length (L):")</f>
        <v>Mount length (L):</v>
      </c>
      <c r="BY97" s="79"/>
      <c r="BZ97" s="25" t="str">
        <f>IF($A$25="mm","mm","in")</f>
        <v>in</v>
      </c>
      <c r="CA97" s="11" t="str">
        <f>IF(BY63=0,"N/A",
IF(OR(BY97="",BY97&lt;=0),"BLANK","EQ"))</f>
        <v>N/A</v>
      </c>
      <c r="CC97" s="12"/>
      <c r="CD97" s="11"/>
      <c r="CE97" s="11"/>
      <c r="CF97" s="11"/>
      <c r="CG97" s="11"/>
      <c r="CH97" s="15" t="str">
        <f>IF(CI95="Round Tube","Outer Diameter (OD):","Mount length (L):")</f>
        <v>Mount length (L):</v>
      </c>
      <c r="CI97" s="79"/>
      <c r="CJ97" s="25" t="str">
        <f>IF($A$25="mm","mm","in")</f>
        <v>in</v>
      </c>
      <c r="CK97" s="11" t="str">
        <f>IF(CI63=0,"N/A",
IF(OR(CI97="",CI97&lt;=0),"BLANK","EQ"))</f>
        <v>N/A</v>
      </c>
      <c r="CM97" s="12"/>
      <c r="CN97" s="11"/>
      <c r="CO97" s="11"/>
      <c r="CP97" s="11"/>
      <c r="CQ97" s="11"/>
      <c r="CR97" s="15" t="str">
        <f>IF(CS95="Round Tube","Outer Diameter (OD):","Mount length (L):")</f>
        <v>Mount length (L):</v>
      </c>
      <c r="CS97" s="79"/>
      <c r="CT97" s="25" t="str">
        <f>IF($A$25="mm","mm","in")</f>
        <v>in</v>
      </c>
      <c r="CU97" s="11" t="str">
        <f>IF(CS63=0,"N/A",
IF(OR(CS97="",CS97&lt;=0),"BLANK","EQ"))</f>
        <v>N/A</v>
      </c>
      <c r="CV97" s="44"/>
      <c r="CW97" s="12"/>
      <c r="CX97" s="11"/>
      <c r="CY97" s="11"/>
      <c r="CZ97" s="11"/>
      <c r="DA97" s="11"/>
      <c r="DB97" s="15" t="str">
        <f>IF(DC95="Round Tube","Outer Diameter (OD):","Mount length (L):")</f>
        <v>Mount length (L):</v>
      </c>
      <c r="DC97" s="79"/>
      <c r="DD97" s="25" t="str">
        <f>IF($A$25="mm","mm","in")</f>
        <v>in</v>
      </c>
      <c r="DE97" s="11" t="str">
        <f>IF(DC63=0,"N/A",
IF(OR(DC97="",DC97&lt;=0),"BLANK","EQ"))</f>
        <v>N/A</v>
      </c>
      <c r="DG97" s="12"/>
      <c r="DH97" s="11"/>
      <c r="DI97" s="11"/>
      <c r="DJ97" s="11"/>
      <c r="DK97" s="11"/>
      <c r="DL97" s="15" t="str">
        <f>IF(DM95="Round Tube","Outer Diameter (OD):","Mount length (L):")</f>
        <v>Mount length (L):</v>
      </c>
      <c r="DM97" s="79"/>
      <c r="DN97" s="25" t="str">
        <f>IF($A$25="mm","mm","in")</f>
        <v>in</v>
      </c>
      <c r="DO97" s="11" t="str">
        <f>IF(DM63=0,"N/A",
IF(OR(DM97="",DM97&lt;=0),"BLANK","EQ"))</f>
        <v>N/A</v>
      </c>
    </row>
    <row r="98" spans="1:119" ht="15" customHeight="1" x14ac:dyDescent="0.2">
      <c r="B98" s="15" t="s">
        <v>764</v>
      </c>
      <c r="C98" s="314"/>
      <c r="D98" s="341"/>
      <c r="E98" s="315"/>
      <c r="F98" s="116" t="s">
        <v>1206</v>
      </c>
      <c r="G98" s="82"/>
      <c r="H98" s="25" t="str">
        <f>IF($A$25="mm","Pa","psi")</f>
        <v>psi</v>
      </c>
      <c r="I98" s="11" t="str">
        <f>IF(OR(C98="",G98=""),"BLANK","EQ")</f>
        <v>BLANK</v>
      </c>
      <c r="K98" s="12" t="s">
        <v>765</v>
      </c>
      <c r="L98" s="37"/>
      <c r="M98" s="37"/>
      <c r="N98" s="37"/>
      <c r="O98" s="37" t="s">
        <v>766</v>
      </c>
      <c r="P98" s="37"/>
      <c r="Q98" s="37"/>
      <c r="R98" s="37"/>
      <c r="S98" s="37"/>
      <c r="U98" s="35"/>
      <c r="V98" s="124"/>
      <c r="W98" s="307" t="s">
        <v>659</v>
      </c>
      <c r="X98" s="307"/>
      <c r="Y98" s="307"/>
      <c r="Z98" s="307"/>
      <c r="AA98" s="26" t="e">
        <f>INDEX($K$3:$K$19,MATCH(AA95,$E$3:$E$19,0))</f>
        <v>#N/A</v>
      </c>
      <c r="AB98" s="25" t="str">
        <f>IF($A$25="mm","Pa","psi")</f>
        <v>psi</v>
      </c>
      <c r="AC98" s="11" t="str">
        <f t="shared" si="9"/>
        <v>N/A</v>
      </c>
      <c r="AE98" s="35"/>
      <c r="AF98" s="124"/>
      <c r="AG98" s="307" t="s">
        <v>659</v>
      </c>
      <c r="AH98" s="307"/>
      <c r="AI98" s="307"/>
      <c r="AJ98" s="307"/>
      <c r="AK98" s="26" t="e">
        <f>INDEX($K$3:$K$19,MATCH(AK95,$E$3:$E$19,0))</f>
        <v>#N/A</v>
      </c>
      <c r="AL98" s="25" t="str">
        <f>IF($A$25="mm","Pa","psi")</f>
        <v>psi</v>
      </c>
      <c r="AM98" s="11" t="str">
        <f t="shared" si="10"/>
        <v>N/A</v>
      </c>
      <c r="AO98" s="35"/>
      <c r="AP98" s="124"/>
      <c r="AQ98" s="307" t="s">
        <v>659</v>
      </c>
      <c r="AR98" s="307"/>
      <c r="AS98" s="307"/>
      <c r="AT98" s="307"/>
      <c r="AU98" s="26" t="e">
        <f>INDEX($K$3:$K$19,MATCH(AU95,$E$3:$E$19,0))</f>
        <v>#N/A</v>
      </c>
      <c r="AV98" s="25" t="str">
        <f>IF($A$25="mm","Pa","psi")</f>
        <v>psi</v>
      </c>
      <c r="AW98" s="11" t="str">
        <f t="shared" si="11"/>
        <v>N/A</v>
      </c>
      <c r="AY98" s="35"/>
      <c r="AZ98" s="124"/>
      <c r="BA98" s="307" t="s">
        <v>659</v>
      </c>
      <c r="BB98" s="307"/>
      <c r="BC98" s="307"/>
      <c r="BD98" s="307"/>
      <c r="BE98" s="26" t="e">
        <f>INDEX($K$3:$K$19,MATCH(BE95,$E$3:$E$19,0))</f>
        <v>#N/A</v>
      </c>
      <c r="BF98" s="25" t="str">
        <f>IF($A$25="mm","Pa","psi")</f>
        <v>psi</v>
      </c>
      <c r="BG98" s="11" t="str">
        <f t="shared" si="12"/>
        <v>N/A</v>
      </c>
      <c r="BI98" s="35"/>
      <c r="BJ98" s="124"/>
      <c r="BK98" s="307" t="s">
        <v>659</v>
      </c>
      <c r="BL98" s="307"/>
      <c r="BM98" s="307"/>
      <c r="BN98" s="307"/>
      <c r="BO98" s="26" t="e">
        <f>INDEX($K$3:$K$19,MATCH(BO95,$E$3:$E$19,0))</f>
        <v>#N/A</v>
      </c>
      <c r="BP98" s="25" t="str">
        <f>IF($A$25="mm","Pa","psi")</f>
        <v>psi</v>
      </c>
      <c r="BQ98" s="11" t="str">
        <f t="shared" si="13"/>
        <v>N/A</v>
      </c>
      <c r="BS98" s="12"/>
      <c r="BT98" s="11"/>
      <c r="BU98" s="11"/>
      <c r="BV98" s="11"/>
      <c r="BW98" s="11"/>
      <c r="BX98" s="15" t="str">
        <f>IF(BY95="Single Layer","Mount length (L):",IF(BY95="Round Tube","Outer Diameter (OD):","Minimum gusset thickness (T):"))</f>
        <v>Minimum gusset thickness (T):</v>
      </c>
      <c r="BY98" s="79"/>
      <c r="BZ98" s="25" t="str">
        <f>IF($A$25="mm","mm","in")</f>
        <v>in</v>
      </c>
      <c r="CA98" s="11" t="str">
        <f>IF(BY63=0,"N/A",
IF(OR(BY98="",BY98&lt;=0),"BLANK",
IF(BY$95="Single Layer",IF(BY98=BY97,"EQ","REJECT"),"EQ")))</f>
        <v>N/A</v>
      </c>
      <c r="CC98" s="12"/>
      <c r="CD98" s="11"/>
      <c r="CE98" s="11"/>
      <c r="CF98" s="11"/>
      <c r="CG98" s="11"/>
      <c r="CH98" s="15" t="str">
        <f>IF(CI95="Single Layer","Mount length (L):",IF(CI95="Round Tube","Outer Diameter (OD):","Minimum gusset thickness (T):"))</f>
        <v>Minimum gusset thickness (T):</v>
      </c>
      <c r="CI98" s="79"/>
      <c r="CJ98" s="25" t="str">
        <f>IF($A$25="mm","mm","in")</f>
        <v>in</v>
      </c>
      <c r="CK98" s="11" t="str">
        <f>IF(CI63=0,"N/A",
IF(OR(CI98="",CI98&lt;=0),"BLANK",
IF(CI$95="Single Layer",IF(CI98=CI97,"EQ","REJECT"),"EQ")))</f>
        <v>N/A</v>
      </c>
      <c r="CM98" s="12"/>
      <c r="CN98" s="11"/>
      <c r="CO98" s="11"/>
      <c r="CP98" s="11"/>
      <c r="CQ98" s="11"/>
      <c r="CR98" s="15" t="str">
        <f>IF(CS95="Single Layer","Mount length (L):",IF(CS95="Round Tube","Outer Diameter (OD):","Minimum gusset thickness (T):"))</f>
        <v>Minimum gusset thickness (T):</v>
      </c>
      <c r="CS98" s="79"/>
      <c r="CT98" s="25" t="str">
        <f>IF($A$25="mm","mm","in")</f>
        <v>in</v>
      </c>
      <c r="CU98" s="11" t="str">
        <f>IF(CS63=0,"N/A",
IF(OR(CS98="",CS98&lt;=0),"BLANK",
IF(CS$95="Single Layer",IF(CS98=CS97,"EQ","REJECT"),"EQ")))</f>
        <v>N/A</v>
      </c>
      <c r="CW98" s="12"/>
      <c r="CX98" s="11"/>
      <c r="CY98" s="11"/>
      <c r="CZ98" s="11"/>
      <c r="DA98" s="11"/>
      <c r="DB98" s="15" t="str">
        <f>IF(DC95="Single Layer","Mount length (L):",IF(DC95="Round Tube","Outer Diameter (OD):","Minimum gusset thickness (T):"))</f>
        <v>Minimum gusset thickness (T):</v>
      </c>
      <c r="DC98" s="79"/>
      <c r="DD98" s="25" t="str">
        <f>IF($A$25="mm","mm","in")</f>
        <v>in</v>
      </c>
      <c r="DE98" s="11" t="str">
        <f>IF(DC63=0,"N/A",
IF(OR(DC98="",DC98&lt;=0),"BLANK",
IF(DC$95="Single Layer",IF(DC98=DC97,"EQ","REJECT"),"EQ")))</f>
        <v>N/A</v>
      </c>
      <c r="DG98" s="12"/>
      <c r="DH98" s="11"/>
      <c r="DI98" s="11"/>
      <c r="DJ98" s="11"/>
      <c r="DK98" s="11"/>
      <c r="DL98" s="15" t="str">
        <f>IF(DM95="Single Layer","Mount length (L):",IF(DM95="Round Tube","Outer Diameter (OD):","Minimum gusset thickness (T):"))</f>
        <v>Minimum gusset thickness (T):</v>
      </c>
      <c r="DM98" s="79"/>
      <c r="DN98" s="25" t="str">
        <f>IF($A$25="mm","mm","in")</f>
        <v>in</v>
      </c>
      <c r="DO98" s="11" t="str">
        <f>IF(DM63=0,"N/A",
IF(OR(DM98="",DM98&lt;=0),"BLANK",
IF(DM$95="Single Layer",IF(DM98=DM97,"EQ","REJECT"),"EQ")))</f>
        <v>N/A</v>
      </c>
    </row>
    <row r="99" spans="1:119" ht="15" customHeight="1" thickBot="1" x14ac:dyDescent="0.25">
      <c r="F99" s="15" t="s">
        <v>1207</v>
      </c>
      <c r="G99" s="82"/>
      <c r="H99" s="25" t="str">
        <f>IF($A$25="mm","Pa","psi")</f>
        <v>psi</v>
      </c>
      <c r="I99" s="11" t="str">
        <f>IF(G98="","BLANK","EQ")</f>
        <v>BLANK</v>
      </c>
      <c r="K99" s="295" t="str" cm="1">
        <f t="array" ref="K99">IF(COUNTIF(S100:S126,"BLANK"),"BLANK",IF(OR(SUMPRODUCT(--ISERROR(S100:S126))&gt;0,COUNTIF(S100:S126,"REJECT")),"REJECT",IF(COUNTIF(S100:S126,"CHECK"),"CHECK","EQ")))</f>
        <v>BLANK</v>
      </c>
      <c r="L99" s="295"/>
      <c r="M99" s="295"/>
      <c r="N99" s="295"/>
      <c r="O99" s="295"/>
      <c r="P99" s="295"/>
      <c r="Q99" s="295"/>
      <c r="R99" s="295"/>
      <c r="S99" s="295"/>
      <c r="U99" s="35"/>
      <c r="V99" s="124"/>
      <c r="W99" s="15"/>
      <c r="X99" s="15"/>
      <c r="Y99" s="15"/>
      <c r="Z99" s="15" t="str">
        <f>IF(AA65=0,"","Accumulator total skin/wall thickness:")</f>
        <v/>
      </c>
      <c r="AA99" s="11">
        <f>IF(Y95="Floor",IF($P$71="Composite",IF($Q$75=0,$Q$76+$Q$77,$Q$77),$Q$72),IF($P$101="Composite",IF($Q$105=0,$Q$106+$Q$107,$Q$107),$Q$102))</f>
        <v>0</v>
      </c>
      <c r="AB99" s="25" t="str">
        <f>IF($A$25="mm","mm","in")</f>
        <v>in</v>
      </c>
      <c r="AC99" s="11" t="str">
        <f>IF(AA65=0,"N/A",IF(OR(AA99="",AA99=0),"BLANK","EQ"))</f>
        <v>N/A</v>
      </c>
      <c r="AE99" s="35"/>
      <c r="AF99" s="124"/>
      <c r="AG99" s="15"/>
      <c r="AH99" s="15"/>
      <c r="AI99" s="15"/>
      <c r="AJ99" s="15" t="str">
        <f>IF(AK65=0,"","Accumulator total skin/wall thickness:")</f>
        <v/>
      </c>
      <c r="AK99" s="11">
        <f>IF(AI95="Floor",IF($P$71="Composite",IF($Q$75=0,$Q$76+$Q$77,$Q$77),$Q$72),IF($P$101="Composite",IF($Q$105=0,$Q$106+$Q$107,$Q$107),$Q$102))</f>
        <v>0</v>
      </c>
      <c r="AL99" s="25" t="str">
        <f>IF($A$25="mm","mm","in")</f>
        <v>in</v>
      </c>
      <c r="AM99" s="11" t="str">
        <f>IF(AK65=0,"N/A",IF(OR(AK99="",AK99=0),"BLANK","EQ"))</f>
        <v>N/A</v>
      </c>
      <c r="AO99" s="35"/>
      <c r="AP99" s="124"/>
      <c r="AQ99" s="15"/>
      <c r="AR99" s="15"/>
      <c r="AS99" s="15"/>
      <c r="AT99" s="15" t="str">
        <f>IF(AU65=0,"","Accumulator total skin/wall thickness:")</f>
        <v/>
      </c>
      <c r="AU99" s="11">
        <f>IF(AS95="Floor",IF($P$71="Composite",IF($Q$75=0,$Q$76+$Q$77,$Q$77),$Q$72),IF($P$101="Composite",IF($Q$105=0,$Q$106+$Q$107,$Q$107),$Q$102))</f>
        <v>0</v>
      </c>
      <c r="AV99" s="25" t="str">
        <f>IF($A$25="mm","mm","in")</f>
        <v>in</v>
      </c>
      <c r="AW99" s="11" t="str">
        <f>IF(AU65=0,"N/A",IF(OR(AU99="",AU99=0),"BLANK","EQ"))</f>
        <v>N/A</v>
      </c>
      <c r="AY99" s="35"/>
      <c r="AZ99" s="124"/>
      <c r="BA99" s="15"/>
      <c r="BB99" s="15"/>
      <c r="BC99" s="15"/>
      <c r="BD99" s="15" t="str">
        <f>IF(BE65=0,"","Accumulator total skin/wall thickness:")</f>
        <v/>
      </c>
      <c r="BE99" s="11">
        <f>IF(BC95="Floor",IF($P$71="Composite",IF($Q$75=0,$Q$76+$Q$77,$Q$77),$Q$72),IF($P$101="Composite",IF($Q$105=0,$Q$106+$Q$107,$Q$107),$Q$102))</f>
        <v>0</v>
      </c>
      <c r="BF99" s="25" t="str">
        <f>IF($A$25="mm","mm","in")</f>
        <v>in</v>
      </c>
      <c r="BG99" s="11" t="str">
        <f>IF(BE65=0,"N/A",IF(OR(BE99="",BE99=0),"BLANK","EQ"))</f>
        <v>N/A</v>
      </c>
      <c r="BI99" s="35"/>
      <c r="BJ99" s="124"/>
      <c r="BK99" s="15"/>
      <c r="BL99" s="15"/>
      <c r="BM99" s="15"/>
      <c r="BN99" s="15" t="str">
        <f>IF(BO65=0,"","Accumulator total skin/wall thickness:")</f>
        <v/>
      </c>
      <c r="BO99" s="11">
        <f>IF(BM95="Floor",IF($P$71="Composite",IF($Q$75=0,$Q$76+$Q$77,$Q$77),$Q$72),IF($P$101="Composite",IF($Q$105=0,$Q$106+$Q$107,$Q$107),$Q$102))</f>
        <v>0</v>
      </c>
      <c r="BP99" s="25" t="str">
        <f>IF($A$25="mm","mm","in")</f>
        <v>in</v>
      </c>
      <c r="BQ99" s="11" t="str">
        <f>IF(BO65=0,"N/A",IF(OR(BO99="",BO99=0),"BLANK","EQ"))</f>
        <v>N/A</v>
      </c>
      <c r="BS99" s="12"/>
      <c r="BT99" s="11"/>
      <c r="BU99" s="11"/>
      <c r="BV99" s="11"/>
      <c r="BW99" s="11"/>
      <c r="BX99" s="15" t="str">
        <f>IF(BY95="Single Layer","Mount thickness (B):",IF(BY95="Round Tube","Wall Thickness (W):","Minimum gusset height normal to mount face (H):"))</f>
        <v>Minimum gusset height normal to mount face (H):</v>
      </c>
      <c r="BY99" s="79"/>
      <c r="BZ99" s="25" t="str">
        <f>IF($A$25="mm","mm","in")</f>
        <v>in</v>
      </c>
      <c r="CA99" s="11" t="str">
        <f>IF(BY63=0,"N/A",
IF(OR(BY99="",BY99&lt;=0),"BLANK",
IF(BY$95="Single Layer",IF(BY99=BY96,"EQ","REJECT"),"EQ")))</f>
        <v>N/A</v>
      </c>
      <c r="CC99" s="12"/>
      <c r="CD99" s="11"/>
      <c r="CE99" s="11"/>
      <c r="CF99" s="11"/>
      <c r="CG99" s="11"/>
      <c r="CH99" s="15" t="str">
        <f>IF(CI95="Single Layer","Mount thickness (B):",IF(CI95="Round Tube","Wall Thickness (W):","Minimum gusset height normal to mount face (H):"))</f>
        <v>Minimum gusset height normal to mount face (H):</v>
      </c>
      <c r="CI99" s="79"/>
      <c r="CJ99" s="25" t="str">
        <f>IF($A$25="mm","mm","in")</f>
        <v>in</v>
      </c>
      <c r="CK99" s="11" t="str">
        <f>IF(CI63=0,"N/A",
IF(OR(CI99="",CI99&lt;=0),"BLANK",
IF(CI$95="Single Layer",IF(CI99=CI96,"EQ","REJECT"),"EQ")))</f>
        <v>N/A</v>
      </c>
      <c r="CM99" s="12"/>
      <c r="CN99" s="11"/>
      <c r="CO99" s="11"/>
      <c r="CP99" s="11"/>
      <c r="CQ99" s="11"/>
      <c r="CR99" s="15" t="str">
        <f>IF(CS95="Single Layer","Mount thickness (B):",IF(CS95="Round Tube","Wall Thickness (W):","Minimum gusset height normal to mount face (H):"))</f>
        <v>Minimum gusset height normal to mount face (H):</v>
      </c>
      <c r="CS99" s="79"/>
      <c r="CT99" s="25" t="str">
        <f>IF($A$25="mm","mm","in")</f>
        <v>in</v>
      </c>
      <c r="CU99" s="11" t="str">
        <f>IF(CS63=0,"N/A",
IF(OR(CS99="",CS99&lt;=0),"BLANK",
IF(CS$95="Single Layer",IF(CS99=CS96,"EQ","REJECT"),"EQ")))</f>
        <v>N/A</v>
      </c>
      <c r="CW99" s="12"/>
      <c r="CX99" s="11"/>
      <c r="CY99" s="11"/>
      <c r="CZ99" s="11"/>
      <c r="DA99" s="11"/>
      <c r="DB99" s="15" t="str">
        <f>IF(DC95="Single Layer","Mount thickness (B):",IF(DC95="Round Tube","Wall Thickness (W):","Minimum gusset height normal to mount face (H):"))</f>
        <v>Minimum gusset height normal to mount face (H):</v>
      </c>
      <c r="DC99" s="79"/>
      <c r="DD99" s="25" t="str">
        <f>IF($A$25="mm","mm","in")</f>
        <v>in</v>
      </c>
      <c r="DE99" s="11" t="str">
        <f>IF(DC63=0,"N/A",
IF(OR(DC99="",DC99&lt;=0),"BLANK",
IF(DC$95="Single Layer",IF(DC99=DC96,"EQ","REJECT"),"EQ")))</f>
        <v>N/A</v>
      </c>
      <c r="DG99" s="12"/>
      <c r="DH99" s="11"/>
      <c r="DI99" s="11"/>
      <c r="DJ99" s="11"/>
      <c r="DK99" s="11"/>
      <c r="DL99" s="15" t="str">
        <f>IF(DM95="Single Layer","Mount thickness (B):",IF(DM95="Round Tube","Wall Thickness (W):","Minimum gusset height normal to mount face (H):"))</f>
        <v>Minimum gusset height normal to mount face (H):</v>
      </c>
      <c r="DM99" s="79"/>
      <c r="DN99" s="25" t="str">
        <f>IF($A$25="mm","mm","in")</f>
        <v>in</v>
      </c>
      <c r="DO99" s="11" t="str">
        <f>IF(DM63=0,"N/A",
IF(OR(DM99="",DM99&lt;=0),"BLANK",
IF(DM$95="Single Layer",IF(DM99=DM96,"EQ","REJECT"),"EQ")))</f>
        <v>N/A</v>
      </c>
    </row>
    <row r="100" spans="1:119" ht="15" customHeight="1" thickBot="1" x14ac:dyDescent="0.25">
      <c r="A100" s="12" t="s">
        <v>767</v>
      </c>
      <c r="B100" s="11"/>
      <c r="C100" s="11"/>
      <c r="D100" s="11"/>
      <c r="E100" s="11"/>
      <c r="F100" s="15" t="s">
        <v>768</v>
      </c>
      <c r="G100" s="26">
        <f>20*$G$83*G79*IF($A$25="mm",9.81,1)</f>
        <v>0</v>
      </c>
      <c r="H100" s="25" t="str">
        <f>IF(G99="Welded","%",IF($A$25="mm","N","lbs"))</f>
        <v>lbs</v>
      </c>
      <c r="I100" s="11" t="str">
        <f>IF(G100=0,"BLANK","EQ")</f>
        <v>BLANK</v>
      </c>
      <c r="K100" s="12" t="s">
        <v>668</v>
      </c>
      <c r="L100" s="15"/>
      <c r="M100" s="15"/>
      <c r="N100" s="15"/>
      <c r="O100" s="15"/>
      <c r="P100" s="15" t="s">
        <v>769</v>
      </c>
      <c r="Q100" s="169"/>
      <c r="S100" s="11" t="str">
        <f>IF(Q100="","BLANK",IF(Q100&gt;=0.75,"EQ","REJECT"))</f>
        <v>BLANK</v>
      </c>
      <c r="U100" s="35" t="s">
        <v>770</v>
      </c>
      <c r="V100" s="11"/>
      <c r="W100" s="11"/>
      <c r="X100" s="11"/>
      <c r="Y100" s="11"/>
      <c r="Z100" s="15" t="str">
        <f>IF(AA65=0,"","Mount interface with accumulator:")</f>
        <v/>
      </c>
      <c r="AA100" s="298"/>
      <c r="AB100" s="300"/>
      <c r="AC100" s="11" t="str">
        <f>IF(AA65=0,"N/A",IF(AA100="","BLANK",IF(AND(AA100="Welded",OR(AC66="REJECT",AC95="REJECT")),"REJECT","EQ")))</f>
        <v>N/A</v>
      </c>
      <c r="AE100" s="35" t="s">
        <v>770</v>
      </c>
      <c r="AF100" s="11"/>
      <c r="AG100" s="11"/>
      <c r="AH100" s="11"/>
      <c r="AI100" s="11"/>
      <c r="AJ100" s="15" t="str">
        <f>IF(AK65=0,"","Mount interface with accumulator:")</f>
        <v/>
      </c>
      <c r="AK100" s="298"/>
      <c r="AL100" s="300"/>
      <c r="AM100" s="11" t="str">
        <f>IF(AK65=0,"N/A",IF(AK100="","BLANK",IF(AND(AK100="Welded",OR(AM66="REJECT",AM95="REJECT")),"REJECT","EQ")))</f>
        <v>N/A</v>
      </c>
      <c r="AO100" s="35" t="s">
        <v>770</v>
      </c>
      <c r="AP100" s="11"/>
      <c r="AQ100" s="11"/>
      <c r="AR100" s="11"/>
      <c r="AS100" s="11"/>
      <c r="AT100" s="15" t="str">
        <f>IF(AU65=0,"","Mount interface with accumulator:")</f>
        <v/>
      </c>
      <c r="AU100" s="298"/>
      <c r="AV100" s="300"/>
      <c r="AW100" s="11" t="str">
        <f>IF(AU65=0,"N/A",IF(AU100="","BLANK",IF(AND(AU100="Welded",OR(AW66="REJECT",AW95="REJECT")),"REJECT","EQ")))</f>
        <v>N/A</v>
      </c>
      <c r="AY100" s="35" t="s">
        <v>770</v>
      </c>
      <c r="AZ100" s="11"/>
      <c r="BA100" s="11"/>
      <c r="BB100" s="11"/>
      <c r="BC100" s="11"/>
      <c r="BD100" s="15" t="str">
        <f>IF(BE65=0,"","Mount interface with accumulator:")</f>
        <v/>
      </c>
      <c r="BE100" s="298"/>
      <c r="BF100" s="300"/>
      <c r="BG100" s="11" t="str">
        <f>IF(BE65=0,"N/A",IF(BE100="","BLANK",IF(AND(BE100="Welded",OR(BG66="REJECT",BG95="REJECT")),"REJECT","EQ")))</f>
        <v>N/A</v>
      </c>
      <c r="BI100" s="35" t="s">
        <v>770</v>
      </c>
      <c r="BJ100" s="11"/>
      <c r="BK100" s="11"/>
      <c r="BL100" s="11"/>
      <c r="BM100" s="11"/>
      <c r="BN100" s="15" t="str">
        <f>IF(BO65=0,"","Mount interface with accumulator:")</f>
        <v/>
      </c>
      <c r="BO100" s="298"/>
      <c r="BP100" s="300"/>
      <c r="BQ100" s="11" t="str">
        <f>IF(BO65=0,"N/A",IF(BO100="","BLANK",IF(AND(BO100="Welded",OR(BQ66="REJECT",BQ95="REJECT")),"REJECT","EQ")))</f>
        <v>N/A</v>
      </c>
      <c r="BS100" s="12" t="e">
        <f>IF(OR(BY77="Steel Unwelded",BY77="Steel Welded"),"F.3.4.2","F.3.5")</f>
        <v>#N/A</v>
      </c>
      <c r="BT100" s="28">
        <f>IF(BY95="L-Shape",BY97^2/(2*(BY97+BY99)),BY97/2)</f>
        <v>0</v>
      </c>
      <c r="BU100" s="11"/>
      <c r="BV100" s="11"/>
      <c r="BW100" s="11"/>
      <c r="BX100" s="15" t="str">
        <f>$U$23&amp;$V$23&amp;" Bending in shear M*y / I &lt; Su:"</f>
        <v>3371lbs Bending in shear M*y / I &lt; Su:</v>
      </c>
      <c r="BY100" s="26" t="str">
        <f>IF(OR(BY96="",BY97="",),"",IF(BY95="Round Tube",IF($A$25="mm",1/10^6,1)*$U$23*BY63*BT100/((PI()/4)*((BY97/2)^4-((BY97-2*BY96)/2)^4)),
IF($A$25="mm",1/10^6,1)*$U$23*BY63*BT100/(IF($A$25="mm",1/10^12,1)*(IF(BY95="Rectangular Tube",2,1)*(BY96*BY97^3)/12+
IF(BY95="Single Layer",0,IF(BY95="L-Shape",BY96*BY97*(BY97/2-BT100)^2+(BY99*BY98^3)/12+BY99*BY98*BT100^2,
2*((BY99*BY98^3)/12+BY99*BY98*BT100^2)))))))</f>
        <v/>
      </c>
      <c r="BZ100" s="53" t="str">
        <f>IF(BY100="","",IF(BS101=0,"",BY100/BS101))</f>
        <v/>
      </c>
      <c r="CA100" s="11" t="str">
        <f>IF(BY63=0,"N/A",
IF(BZ100="","BLANK",IF(BZ100&lt;=1,"EQ","REJECT")))</f>
        <v>N/A</v>
      </c>
      <c r="CC100" s="12" t="e">
        <f>IF(OR(CI77="Steel Unwelded",CI77="Steel Welded"),"F.3.4.2","F.3.5")</f>
        <v>#N/A</v>
      </c>
      <c r="CD100" s="28">
        <f>IF(CI95="L-Shape",CI97^2/(2*(CI97+CI99)),CI97/2)</f>
        <v>0</v>
      </c>
      <c r="CE100" s="11"/>
      <c r="CF100" s="11"/>
      <c r="CG100" s="11"/>
      <c r="CH100" s="15" t="str">
        <f>$U$23&amp;$V$23&amp;" Bending in shear M*y / I &lt; Su:"</f>
        <v>3371lbs Bending in shear M*y / I &lt; Su:</v>
      </c>
      <c r="CI100" s="26" t="str">
        <f>IF(OR(CI96="",CI97="",),"",IF(CI95="Round Tube",IF($A$25="mm",1/10^6,1)*$U$23*CI63*CD100/((PI()/4)*((CI97/2)^4-((CI97-2*CI96)/2)^4)),
IF($A$25="mm",1/10^6,1)*$U$23*CI63*CD100/(IF($A$25="mm",1/10^12,1)*(IF(CI95="Rectangular Tube",2,1)*(CI96*CI97^3)/12+
IF(CI95="Single Layer",0,IF(CI95="L-Shape",CI96*CI97*(CI97/2-CD100)^2+(CI99*CI98^3)/12+CI99*CI98*CD100^2,
2*((CI99*CI98^3)/12+CI99*CI98*CD100^2)))))))</f>
        <v/>
      </c>
      <c r="CJ100" s="53" t="str">
        <f>IF(CI100="","",IF(CC101=0,"",CI100/CC101))</f>
        <v/>
      </c>
      <c r="CK100" s="11" t="str">
        <f>IF(CI63=0,"N/A",
IF(CJ100="","BLANK",IF(CJ100&lt;=1,"EQ","REJECT")))</f>
        <v>N/A</v>
      </c>
      <c r="CM100" s="12" t="e">
        <f>IF(OR(CS77="Steel Unwelded",CS77="Steel Welded"),"F.3.4.2","F.3.5")</f>
        <v>#N/A</v>
      </c>
      <c r="CN100" s="28">
        <f>IF(CS95="L-Shape",CS97^2/(2*(CS97+CS99)),CS97/2)</f>
        <v>0</v>
      </c>
      <c r="CO100" s="11"/>
      <c r="CP100" s="11"/>
      <c r="CQ100" s="11"/>
      <c r="CR100" s="15" t="str">
        <f>$U$23&amp;$V$23&amp;" Bending in shear M*y / I &lt; Su:"</f>
        <v>3371lbs Bending in shear M*y / I &lt; Su:</v>
      </c>
      <c r="CS100" s="26" t="str">
        <f>IF(OR(CS96="",CS97="",),"",IF(CS95="Round Tube",IF($A$25="mm",1/10^6,1)*$U$23*CS63*CN100/((PI()/4)*((CS97/2)^4-((CS97-2*CS96)/2)^4)),
IF($A$25="mm",1/10^6,1)*$U$23*CS63*CN100/(IF($A$25="mm",1/10^12,1)*(IF(CS95="Rectangular Tube",2,1)*(CS96*CS97^3)/12+
IF(CS95="Single Layer",0,IF(CS95="L-Shape",CS96*CS97*(CS97/2-CN100)^2+(CS99*CS98^3)/12+CS99*CS98*CN100^2,
2*((CS99*CS98^3)/12+CS99*CS98*CN100^2)))))))</f>
        <v/>
      </c>
      <c r="CT100" s="53" t="str">
        <f>IF(CS100="","",IF(CM101=0,"",CS100/CM101))</f>
        <v/>
      </c>
      <c r="CU100" s="11" t="str">
        <f>IF(CS63=0,"N/A",
IF(CT100="","BLANK",IF(CT100&lt;=1,"EQ","REJECT")))</f>
        <v>N/A</v>
      </c>
      <c r="CW100" s="12" t="e">
        <f>IF(OR(DC77="Steel Unwelded",DC77="Steel Welded"),"F.3.4.2","F.3.5")</f>
        <v>#N/A</v>
      </c>
      <c r="CX100" s="28">
        <f>IF(DC95="L-Shape",DC97^2/(2*(DC97+DC99)),DC97/2)</f>
        <v>0</v>
      </c>
      <c r="CY100" s="11"/>
      <c r="CZ100" s="11"/>
      <c r="DA100" s="11"/>
      <c r="DB100" s="15" t="str">
        <f>$U$23&amp;$V$23&amp;" Bending in shear M*y / I &lt; Su:"</f>
        <v>3371lbs Bending in shear M*y / I &lt; Su:</v>
      </c>
      <c r="DC100" s="26" t="str">
        <f>IF(OR(DC96="",DC97="",),"",IF(DC95="Round Tube",IF($A$25="mm",1/10^6,1)*$U$23*DC63*CX100/((PI()/4)*((DC97/2)^4-((DC97-2*DC96)/2)^4)),
IF($A$25="mm",1/10^6,1)*$U$23*DC63*CX100/(IF($A$25="mm",1/10^12,1)*(IF(DC95="Rectangular Tube",2,1)*(DC96*DC97^3)/12+
IF(DC95="Single Layer",0,IF(DC95="L-Shape",DC96*DC97*(DC97/2-CX100)^2+(DC99*DC98^3)/12+DC99*DC98*CX100^2,
2*((DC99*DC98^3)/12+DC99*DC98*CX100^2)))))))</f>
        <v/>
      </c>
      <c r="DD100" s="53" t="str">
        <f>IF(DC100="","",IF(CW101=0,"",DC100/CW101))</f>
        <v/>
      </c>
      <c r="DE100" s="11" t="str">
        <f>IF(DC63=0,"N/A",
IF(DD100="","BLANK",IF(DD100&lt;=1,"EQ","REJECT")))</f>
        <v>N/A</v>
      </c>
      <c r="DG100" s="12" t="e">
        <f>IF(OR(DM77="Steel Unwelded",DM77="Steel Welded"),"F.3.4.2","F.3.5")</f>
        <v>#N/A</v>
      </c>
      <c r="DH100" s="28">
        <f>IF(DM95="L-Shape",DM97^2/(2*(DM97+DM99)),DM97/2)</f>
        <v>0</v>
      </c>
      <c r="DI100" s="11"/>
      <c r="DJ100" s="11"/>
      <c r="DK100" s="11"/>
      <c r="DL100" s="15" t="str">
        <f>$U$23&amp;$V$23&amp;" Bending in shear M*y / I &lt; Su:"</f>
        <v>3371lbs Bending in shear M*y / I &lt; Su:</v>
      </c>
      <c r="DM100" s="26" t="str">
        <f>IF(OR(DM96="",DM97="",),"",IF(DM95="Round Tube",IF($A$25="mm",1/10^6,1)*$U$23*DM63*DH100/((PI()/4)*((DM97/2)^4-((DM97-2*DM96)/2)^4)),
IF($A$25="mm",1/10^6,1)*$U$23*DM63*DH100/(IF($A$25="mm",1/10^12,1)*(IF(DM95="Rectangular Tube",2,1)*(DM96*DM97^3)/12+
IF(DM95="Single Layer",0,IF(DM95="L-Shape",DM96*DM97*(DM97/2-DH100)^2+(DM99*DM98^3)/12+DM99*DM98*DH100^2,
2*((DM99*DM98^3)/12+DM99*DM98*DH100^2)))))))</f>
        <v/>
      </c>
      <c r="DN100" s="53" t="str">
        <f>IF(DM100="","",IF(DG101=0,"",DM100/DG101))</f>
        <v/>
      </c>
      <c r="DO100" s="11" t="str">
        <f>IF(DM63=0,"N/A",
IF(DN100="","BLANK",IF(DN100&lt;=1,"EQ","REJECT")))</f>
        <v>N/A</v>
      </c>
    </row>
    <row r="101" spans="1:119" ht="15" customHeight="1" thickBot="1" x14ac:dyDescent="0.25">
      <c r="A101" s="12"/>
      <c r="B101" s="11"/>
      <c r="C101" s="11"/>
      <c r="D101" s="11"/>
      <c r="E101" s="11"/>
      <c r="F101" s="15" t="e">
        <f>IF(G95*0.5*SQRT(G96/G97)&lt;SQRT(2*PI()*G98/G99),
"No. columns * A * ( Sy-(A/EI) * (Sy*0.5*L/2pi)^2) (Johnson):",
"No. columns * pi^2 * EI / (0.5L)^2 (Euler):")</f>
        <v>#DIV/0!</v>
      </c>
      <c r="G101" s="26" t="e">
        <f>IF(G95*0.5*SQRT(G96/G97)&lt;SQRT((2*G98*PI()^2)/G99),
G94*G96*(G99-(G96/(G98*G97))*((G99*0.5*G95)/(2*PI()))^2),
G94*(PI()^2)*G98*G97/((0.5*G95)^2))</f>
        <v>#DIV/0!</v>
      </c>
      <c r="H101" s="191">
        <f>IF(G100=0,0,G101/G100)</f>
        <v>0</v>
      </c>
      <c r="I101" s="11" t="str">
        <f>IF(H101=0,"BLANK",IF(H101&lt;1,"CHECK","EQ"))</f>
        <v>BLANK</v>
      </c>
      <c r="K101" s="12" t="s">
        <v>765</v>
      </c>
      <c r="L101" s="345" t="s">
        <v>771</v>
      </c>
      <c r="M101" s="345"/>
      <c r="N101" s="345"/>
      <c r="O101" s="345"/>
      <c r="P101" s="298"/>
      <c r="Q101" s="300"/>
      <c r="S101" s="11" t="str">
        <f>IF(P101="","BLANK","EQ")</f>
        <v>BLANK</v>
      </c>
      <c r="U101" s="35"/>
      <c r="V101" s="124"/>
      <c r="W101" s="15"/>
      <c r="X101" s="15"/>
      <c r="Y101" s="15"/>
      <c r="Z101" s="15" t="str">
        <f>IF(AA65=0,"",IF(NOT(AA100="Bolted"),"","--Tearout--Min fastener spacing, accumulator edge, or corner distance:"))</f>
        <v/>
      </c>
      <c r="AA101" s="16"/>
      <c r="AB101" s="25" t="str">
        <f>IF($A$25="mm","mm","in")</f>
        <v>in</v>
      </c>
      <c r="AC101" s="11" t="str">
        <f>IF(AA65=0,"N/A",IF(NOT(AA100="Bolted"),"N/A",IF(AA101="","BLANK","EQ")))</f>
        <v>N/A</v>
      </c>
      <c r="AE101" s="35"/>
      <c r="AF101" s="124"/>
      <c r="AG101" s="15"/>
      <c r="AH101" s="15"/>
      <c r="AI101" s="15"/>
      <c r="AJ101" s="15" t="str">
        <f>IF(AK65=0,"",IF(NOT(AK100="Bolted"),"","--Tearout--Min fastener spacing, accumulator edge, or corner distance:"))</f>
        <v/>
      </c>
      <c r="AK101" s="16"/>
      <c r="AL101" s="25" t="str">
        <f>IF($A$25="mm","mm","in")</f>
        <v>in</v>
      </c>
      <c r="AM101" s="11" t="str">
        <f>IF(AK65=0,"N/A",IF(NOT(AK100="Bolted"),"N/A",IF(AK101="","BLANK","EQ")))</f>
        <v>N/A</v>
      </c>
      <c r="AO101" s="35"/>
      <c r="AP101" s="124"/>
      <c r="AQ101" s="15"/>
      <c r="AR101" s="15"/>
      <c r="AS101" s="15"/>
      <c r="AT101" s="15" t="str">
        <f>IF(AU65=0,"",IF(NOT(AU100="Bolted"),"","--Tearout--Min fastener spacing, accumulator edge, or corner distance:"))</f>
        <v/>
      </c>
      <c r="AU101" s="16"/>
      <c r="AV101" s="25" t="str">
        <f>IF($A$25="mm","mm","in")</f>
        <v>in</v>
      </c>
      <c r="AW101" s="11" t="str">
        <f>IF(AU65=0,"N/A",IF(NOT(AU100="Bolted"),"N/A",IF(AU101="","BLANK","EQ")))</f>
        <v>N/A</v>
      </c>
      <c r="AY101" s="35"/>
      <c r="AZ101" s="124"/>
      <c r="BA101" s="15"/>
      <c r="BB101" s="15"/>
      <c r="BC101" s="15"/>
      <c r="BD101" s="15" t="str">
        <f>IF(BE65=0,"",IF(NOT(BE100="Bolted"),"","--Tearout--Min fastener spacing, accumulator edge, or corner distance:"))</f>
        <v/>
      </c>
      <c r="BE101" s="16"/>
      <c r="BF101" s="25" t="str">
        <f>IF($A$25="mm","mm","in")</f>
        <v>in</v>
      </c>
      <c r="BG101" s="11" t="str">
        <f>IF(BE65=0,"N/A",IF(NOT(BE100="Bolted"),"N/A",IF(BE101="","BLANK","EQ")))</f>
        <v>N/A</v>
      </c>
      <c r="BI101" s="35"/>
      <c r="BJ101" s="124"/>
      <c r="BK101" s="15"/>
      <c r="BL101" s="15"/>
      <c r="BM101" s="15"/>
      <c r="BN101" s="15" t="str">
        <f>IF(BO65=0,"",IF(NOT(BO100="Bolted"),"","--Tearout--Min fastener spacing, accumulator edge, or corner distance:"))</f>
        <v/>
      </c>
      <c r="BO101" s="16"/>
      <c r="BP101" s="25" t="str">
        <f>IF($A$25="mm","mm","in")</f>
        <v>in</v>
      </c>
      <c r="BQ101" s="11" t="str">
        <f>IF(BO65=0,"N/A",IF(NOT(BO100="Bolted"),"N/A",IF(BO101="","BLANK","EQ")))</f>
        <v>N/A</v>
      </c>
      <c r="BS101" s="26" t="e">
        <f>BY66</f>
        <v>#N/A</v>
      </c>
      <c r="BT101" s="28">
        <f>IF(BY95="L-Shape",BY99^2/(2*(BY97+BY99)),
IF(BY95="U-Shape",BY99^2/(BY97+2*BY99),
IF(BY95="Round Tube",BY98/2,BY99/2)))</f>
        <v>0</v>
      </c>
      <c r="BU101" s="11"/>
      <c r="BV101" s="11"/>
      <c r="BW101" s="11"/>
      <c r="BX101" s="15" t="str">
        <f>$U$23&amp;$V$23&amp;" Bending normal M*y / I &lt; Su:"</f>
        <v>3371lbs Bending normal M*y / I &lt; Su:</v>
      </c>
      <c r="BY101" s="26" t="str">
        <f>IF(OR(BY96="",BY97="",),"",IF(BY95="Round Tube",IF($A$25="mm",1/10^6,1)*$U$23*BY63*BT101/((PI()/4)*((BY98/2)^4-((BY98-2*BY99)/2)^4)),
IF($A$25="mm",1/10^6,1)*$U$23*BY63*BT101/(IF($A$25="mm",1/10^12,1)*((BY97*BY96^3)/12+
IF(BY95="Single Layer",0,IF(OR(BY95="L-Shape",BY95="U-Shape"),BY96*BY97*BT101^2+IF(BY95="U-Shape",2,1)*((BY98*BY99^3)/12+BY99*BY98*(BY99/2-BT101)^2),
IF(BY95="Rectangular Tube",1,0)*((BY97*BY96^3)/12+2*BY97*BY96*BT101^2)+2*(BY98*BY99^3)/12))))))</f>
        <v/>
      </c>
      <c r="BZ101" s="53" t="str">
        <f>IF(BY101="","",IF(BS101=0,"",BY101/BS101))</f>
        <v/>
      </c>
      <c r="CA101" s="11" t="str">
        <f>IF(BY63=0,"N/A",
IF(BZ101="","BLANK",IF(BZ101&lt;=1,"EQ","REJECT")))</f>
        <v>N/A</v>
      </c>
      <c r="CC101" s="26" t="e">
        <f>CI66</f>
        <v>#N/A</v>
      </c>
      <c r="CD101" s="28">
        <f>IF(CI95="L-Shape",CI99^2/(2*(CI97+CI99)),
IF(CI95="U-Shape",CI99^2/(CI97+2*CI99),
IF(CI95="Round Tube",CI98/2,CI99/2)))</f>
        <v>0</v>
      </c>
      <c r="CE101" s="11"/>
      <c r="CF101" s="11"/>
      <c r="CG101" s="11"/>
      <c r="CH101" s="15" t="str">
        <f>$U$23&amp;$V$23&amp;" Bending normal M*y / I &lt; Su:"</f>
        <v>3371lbs Bending normal M*y / I &lt; Su:</v>
      </c>
      <c r="CI101" s="26" t="str">
        <f>IF(OR(CI96="",CI97="",),"",IF(CI95="Round Tube",IF($A$25="mm",1/10^6,1)*$U$23*CI63*CD101/((PI()/4)*((CI98/2)^4-((CI98-2*CI99)/2)^4)),
IF($A$25="mm",1/10^6,1)*$U$23*CI63*CD101/(IF($A$25="mm",1/10^12,1)*((CI97*CI96^3)/12+
IF(CI95="Single Layer",0,IF(OR(CI95="L-Shape",CI95="U-Shape"),CI96*CI97*CD101^2+IF(CI95="U-Shape",2,1)*((CI98*CI99^3)/12+CI99*CI98*(CI99/2-CD101)^2),
IF(CI95="Rectangular Tube",1,0)*((CI97*CI96^3)/12+2*CI97*CI96*CD101^2)+2*(CI98*CI99^3)/12))))))</f>
        <v/>
      </c>
      <c r="CJ101" s="53" t="str">
        <f>IF(CI101="","",IF(CC101=0,"",CI101/CC101))</f>
        <v/>
      </c>
      <c r="CK101" s="11" t="str">
        <f>IF(CI63=0,"N/A",
IF(CJ101="","BLANK",IF(CJ101&lt;=1,"EQ","REJECT")))</f>
        <v>N/A</v>
      </c>
      <c r="CM101" s="26" t="e">
        <f>CS66</f>
        <v>#N/A</v>
      </c>
      <c r="CN101" s="28">
        <f>IF(CS95="L-Shape",CS99^2/(2*(CS97+CS99)),
IF(CS95="U-Shape",CS99^2/(CS97+2*CS99),
IF(CS95="Round Tube",CS98/2,CS99/2)))</f>
        <v>0</v>
      </c>
      <c r="CO101" s="11"/>
      <c r="CP101" s="11"/>
      <c r="CQ101" s="11"/>
      <c r="CR101" s="15" t="str">
        <f>$U$23&amp;$V$23&amp;" Bending normal M*y / I &lt; Su:"</f>
        <v>3371lbs Bending normal M*y / I &lt; Su:</v>
      </c>
      <c r="CS101" s="26" t="str">
        <f>IF(OR(CS96="",CS97="",),"",IF(CS95="Round Tube",IF($A$25="mm",1/10^6,1)*$U$23*CS63*CN101/((PI()/4)*((CS98/2)^4-((CS98-2*CS99)/2)^4)),
IF($A$25="mm",1/10^6,1)*$U$23*CS63*CN101/(IF($A$25="mm",1/10^12,1)*((CS97*CS96^3)/12+
IF(CS95="Single Layer",0,IF(OR(CS95="L-Shape",CS95="U-Shape"),CS96*CS97*CN101^2+IF(CS95="U-Shape",2,1)*((CS98*CS99^3)/12+CS99*CS98*(CS99/2-CN101)^2),
IF(CS95="Rectangular Tube",1,0)*((CS97*CS96^3)/12+2*CS97*CS96*CN101^2)+2*(CS98*CS99^3)/12))))))</f>
        <v/>
      </c>
      <c r="CT101" s="53" t="str">
        <f>IF(CS101="","",IF(CM101=0,"",CS101/CM101))</f>
        <v/>
      </c>
      <c r="CU101" s="11" t="str">
        <f>IF(CS63=0,"N/A",
IF(CT101="","BLANK",IF(CT101&lt;=1,"EQ","REJECT")))</f>
        <v>N/A</v>
      </c>
      <c r="CW101" s="26" t="e">
        <f>DC66</f>
        <v>#N/A</v>
      </c>
      <c r="CX101" s="28">
        <f>IF(DC95="L-Shape",DC99^2/(2*(DC97+DC99)),
IF(DC95="U-Shape",DC99^2/(DC97+2*DC99),
IF(DC95="Round Tube",DC98/2,DC99/2)))</f>
        <v>0</v>
      </c>
      <c r="CY101" s="11"/>
      <c r="CZ101" s="11"/>
      <c r="DA101" s="11"/>
      <c r="DB101" s="15" t="str">
        <f>$U$23&amp;$V$23&amp;" Bending normal M*y / I &lt; Su:"</f>
        <v>3371lbs Bending normal M*y / I &lt; Su:</v>
      </c>
      <c r="DC101" s="26" t="str">
        <f>IF(OR(DC96="",DC97="",),"",IF(DC95="Round Tube",IF($A$25="mm",1/10^6,1)*$U$23*DC63*CX101/((PI()/4)*((DC98/2)^4-((DC98-2*DC99)/2)^4)),
IF($A$25="mm",1/10^6,1)*$U$23*DC63*CX101/(IF($A$25="mm",1/10^12,1)*((DC97*DC96^3)/12+
IF(DC95="Single Layer",0,IF(OR(DC95="L-Shape",DC95="U-Shape"),DC96*DC97*CX101^2+IF(DC95="U-Shape",2,1)*((DC98*DC99^3)/12+DC99*DC98*(DC99/2-CX101)^2),
IF(DC95="Rectangular Tube",1,0)*((DC97*DC96^3)/12+2*DC97*DC96*CX101^2)+2*(DC98*DC99^3)/12))))))</f>
        <v/>
      </c>
      <c r="DD101" s="53" t="str">
        <f>IF(DC101="","",IF(CW101=0,"",DC101/CW101))</f>
        <v/>
      </c>
      <c r="DE101" s="11" t="str">
        <f>IF(DC63=0,"N/A",
IF(DD101="","BLANK",IF(DD101&lt;=1,"EQ","REJECT")))</f>
        <v>N/A</v>
      </c>
      <c r="DG101" s="26" t="e">
        <f>DM66</f>
        <v>#N/A</v>
      </c>
      <c r="DH101" s="28">
        <f>IF(DM95="L-Shape",DM99^2/(2*(DM97+DM99)),
IF(DM95="U-Shape",DM99^2/(DM97+2*DM99),
IF(DM95="Round Tube",DM98/2,DM99/2)))</f>
        <v>0</v>
      </c>
      <c r="DI101" s="11"/>
      <c r="DJ101" s="11"/>
      <c r="DK101" s="11"/>
      <c r="DL101" s="15" t="str">
        <f>$U$23&amp;$V$23&amp;" Bending normal M*y / I &lt; Su:"</f>
        <v>3371lbs Bending normal M*y / I &lt; Su:</v>
      </c>
      <c r="DM101" s="26" t="str">
        <f>IF(OR(DM96="",DM97="",),"",IF(DM95="Round Tube",IF($A$25="mm",1/10^6,1)*$U$23*DM63*DH101/((PI()/4)*((DM98/2)^4-((DM98-2*DM99)/2)^4)),
IF($A$25="mm",1/10^6,1)*$U$23*DM63*DH101/(IF($A$25="mm",1/10^12,1)*((DM97*DM96^3)/12+
IF(DM95="Single Layer",0,IF(OR(DM95="L-Shape",DM95="U-Shape"),DM96*DM97*DH101^2+IF(DM95="U-Shape",2,1)*((DM98*DM99^3)/12+DM99*DM98*(DM99/2-DH101)^2),
IF(DM95="Rectangular Tube",1,0)*((DM97*DM96^3)/12+2*DM97*DM96*DH101^2)+2*(DM98*DM99^3)/12))))))</f>
        <v/>
      </c>
      <c r="DN101" s="53" t="str">
        <f>IF(DM101="","",IF(DG101=0,"",DM101/DG101))</f>
        <v/>
      </c>
      <c r="DO101" s="11" t="str">
        <f>IF(DM63=0,"N/A",
IF(DN101="","BLANK",IF(DN101&lt;=1,"EQ","REJECT")))</f>
        <v>N/A</v>
      </c>
    </row>
    <row r="102" spans="1:119" ht="15" customHeight="1" thickBot="1" x14ac:dyDescent="0.25">
      <c r="A102" s="11"/>
      <c r="B102" s="11"/>
      <c r="C102" s="11"/>
      <c r="D102" s="11"/>
      <c r="E102" s="11"/>
      <c r="F102" s="15" t="s">
        <v>773</v>
      </c>
      <c r="G102" s="190"/>
      <c r="H102" s="35"/>
      <c r="I102" s="11" t="str">
        <f>IF(G102="","BLANK","EQ")</f>
        <v>BLANK</v>
      </c>
      <c r="K102" s="12"/>
      <c r="L102" s="32"/>
      <c r="M102" s="32"/>
      <c r="N102" s="32"/>
      <c r="O102" s="32"/>
      <c r="P102" s="15" t="s">
        <v>774</v>
      </c>
      <c r="Q102" s="172"/>
      <c r="R102" s="25" t="str">
        <f>IF($A$25="mm","mm","in")</f>
        <v>in</v>
      </c>
      <c r="S102" s="11" t="str">
        <f>IF(P101="Composite","N/A",IF(Q102="","BLANK",
IF(P71="Isotropic","EQ",
IF(AND(P101="Steel",OR(AND($A$25="mm",Q102&gt;=0.9),AND($A$25="Inch",Q102&gt;=0.035))),"EQ",
IF(AND(P101="Aluminum",OR(AND($A$25="mm",Q102&gt;=2.3),AND($A$25="Inch",Q102&gt;=0.09))),"EQ","REJECT")))))</f>
        <v>BLANK</v>
      </c>
      <c r="U102" s="35"/>
      <c r="V102" s="124"/>
      <c r="W102" s="15"/>
      <c r="X102" s="15"/>
      <c r="Y102" s="15"/>
      <c r="Z102" s="15" t="str">
        <f>IF(AA65=0,"",IF(NOT(AA100="Bolted"),"","Number of fasteners used:"))</f>
        <v/>
      </c>
      <c r="AA102" s="16"/>
      <c r="AC102" s="11" t="str">
        <f>IF(AA65=0,"N/A",IF(NOT(AA100="Bolted"),"N/A",IF(OR(AA102="",AA102=0),"BLANK","EQ")))</f>
        <v>N/A</v>
      </c>
      <c r="AE102" s="35"/>
      <c r="AF102" s="124"/>
      <c r="AG102" s="15"/>
      <c r="AH102" s="15"/>
      <c r="AI102" s="15"/>
      <c r="AJ102" s="15" t="str">
        <f>IF(AK65=0,"",IF(NOT(AK100="Bolted"),"","Number of fasteners used:"))</f>
        <v/>
      </c>
      <c r="AK102" s="16"/>
      <c r="AM102" s="11" t="str">
        <f>IF(AK65=0,"N/A",IF(NOT(AK100="Bolted"),"N/A",IF(OR(AK102="",AK102=0),"BLANK","EQ")))</f>
        <v>N/A</v>
      </c>
      <c r="AO102" s="35"/>
      <c r="AP102" s="124"/>
      <c r="AQ102" s="15"/>
      <c r="AR102" s="15"/>
      <c r="AS102" s="15"/>
      <c r="AT102" s="15" t="str">
        <f>IF(AU65=0,"",IF(NOT(AU100="Bolted"),"","Number of fasteners used:"))</f>
        <v/>
      </c>
      <c r="AU102" s="16"/>
      <c r="AW102" s="11" t="str">
        <f>IF(AU65=0,"N/A",IF(NOT(AU100="Bolted"),"N/A",IF(OR(AU102="",AU102=0),"BLANK","EQ")))</f>
        <v>N/A</v>
      </c>
      <c r="AY102" s="35"/>
      <c r="AZ102" s="124"/>
      <c r="BA102" s="15"/>
      <c r="BB102" s="15"/>
      <c r="BC102" s="15"/>
      <c r="BD102" s="15" t="str">
        <f>IF(BE65=0,"",IF(NOT(BE100="Bolted"),"","Number of fasteners used:"))</f>
        <v/>
      </c>
      <c r="BE102" s="16"/>
      <c r="BG102" s="11" t="str">
        <f>IF(BE65=0,"N/A",IF(NOT(BE100="Bolted"),"N/A",IF(OR(BE102="",BE102=0),"BLANK","EQ")))</f>
        <v>N/A</v>
      </c>
      <c r="BI102" s="35"/>
      <c r="BJ102" s="124"/>
      <c r="BK102" s="15"/>
      <c r="BL102" s="15"/>
      <c r="BM102" s="15"/>
      <c r="BN102" s="15" t="str">
        <f>IF(BO65=0,"",IF(NOT(BO100="Bolted"),"","Number of fasteners used:"))</f>
        <v/>
      </c>
      <c r="BO102" s="16"/>
      <c r="BQ102" s="11" t="str">
        <f>IF(BO65=0,"N/A",IF(NOT(BO100="Bolted"),"N/A",IF(OR(BO102="",BO102=0),"BLANK","EQ")))</f>
        <v>N/A</v>
      </c>
      <c r="BS102" s="83" t="e">
        <f>BY67</f>
        <v>#N/A</v>
      </c>
      <c r="BX102" s="15" t="s">
        <v>744</v>
      </c>
      <c r="BY102" s="26" t="str">
        <f>IF(OR(BY96="",BY97=""),"",3*$U$23/(IF($A$25="mm",1/10^6,1)*2*
((BY97*BY96*IF(BY95="Rectangular Tube",2,1))+BY99*BY98*IF(BY95="Single Layer",0,IF(BY95="L-Shape",1,2)))))</f>
        <v/>
      </c>
      <c r="BZ102" s="53" t="str">
        <f>IF(BY102="","",IF(BS102=0,"",BY102/BS102))</f>
        <v/>
      </c>
      <c r="CA102" s="11" t="str">
        <f>IF(BY63=0,"N/A",
IF(BZ102="","BLANK",IF(BZ102&lt;=1,"EQ","REJECT")))</f>
        <v>N/A</v>
      </c>
      <c r="CC102" s="83" t="e">
        <f>CI67</f>
        <v>#N/A</v>
      </c>
      <c r="CH102" s="15" t="s">
        <v>744</v>
      </c>
      <c r="CI102" s="26" t="str">
        <f>IF(OR(CI96="",CI97=""),"",3*$U$23/(IF($A$25="mm",1/10^6,1)*2*
((CI97*CI96*IF(CI95="Rectangular Tube",2,1))+CI99*CI98*IF(CI95="Single Layer",0,IF(CI95="L-Shape",1,2)))))</f>
        <v/>
      </c>
      <c r="CJ102" s="53" t="str">
        <f>IF(CI102="","",IF(CC102=0,"",CI102/CC102))</f>
        <v/>
      </c>
      <c r="CK102" s="11" t="str">
        <f>IF(CI63=0,"N/A",
IF(CJ102="","BLANK",IF(CJ102&lt;=1,"EQ","REJECT")))</f>
        <v>N/A</v>
      </c>
      <c r="CM102" s="83" t="e">
        <f>CS67</f>
        <v>#N/A</v>
      </c>
      <c r="CR102" s="15" t="s">
        <v>744</v>
      </c>
      <c r="CS102" s="26" t="str">
        <f>IF(OR(CS96="",CS97=""),"",3*$U$23/(IF($A$25="mm",1/10^6,1)*2*
((CS97*CS96*IF(CS95="Rectangular Tube",2,1))+CS99*CS98*IF(CS95="Single Layer",0,IF(CS95="L-Shape",1,2)))))</f>
        <v/>
      </c>
      <c r="CT102" s="53" t="str">
        <f>IF(CS102="","",IF(CM102=0,"",CS102/CM102))</f>
        <v/>
      </c>
      <c r="CU102" s="11" t="str">
        <f>IF(CS63=0,"N/A",
IF(CT102="","BLANK",IF(CT102&lt;=1,"EQ","REJECT")))</f>
        <v>N/A</v>
      </c>
      <c r="CW102" s="83" t="e">
        <f>DC67</f>
        <v>#N/A</v>
      </c>
      <c r="DB102" s="15" t="s">
        <v>744</v>
      </c>
      <c r="DC102" s="26" t="str">
        <f>IF(OR(DC96="",DC97=""),"",3*$U$23/(IF($A$25="mm",1/10^6,1)*2*
((DC97*DC96*IF(DC95="Rectangular Tube",2,1))+DC99*DC98*IF(DC95="Single Layer",0,IF(DC95="L-Shape",1,2)))))</f>
        <v/>
      </c>
      <c r="DD102" s="53" t="str">
        <f>IF(DC102="","",IF(CW102=0,"",DC102/CW102))</f>
        <v/>
      </c>
      <c r="DE102" s="11" t="str">
        <f>IF(DC63=0,"N/A",
IF(DD102="","BLANK",IF(DD102&lt;=1,"EQ","REJECT")))</f>
        <v>N/A</v>
      </c>
      <c r="DG102" s="83" t="e">
        <f>DM67</f>
        <v>#N/A</v>
      </c>
      <c r="DL102" s="15" t="s">
        <v>744</v>
      </c>
      <c r="DM102" s="26" t="str">
        <f>IF(OR(DM96="",DM97=""),"",3*$U$23/(IF($A$25="mm",1/10^6,1)*2*
((DM97*DM96*IF(DM95="Rectangular Tube",2,1))+DM99*DM98*IF(DM95="Single Layer",0,IF(DM95="L-Shape",1,2)))))</f>
        <v/>
      </c>
      <c r="DN102" s="53" t="str">
        <f>IF(DM102="","",IF(DG102=0,"",DM102/DG102))</f>
        <v/>
      </c>
      <c r="DO102" s="11" t="str">
        <f>IF(DM63=0,"N/A",
IF(DN102="","BLANK",IF(DN102&lt;=1,"EQ","REJECT")))</f>
        <v>N/A</v>
      </c>
    </row>
    <row r="103" spans="1:119" ht="15" customHeight="1" thickBot="1" x14ac:dyDescent="0.25">
      <c r="A103" s="11"/>
      <c r="B103" s="11"/>
      <c r="C103" s="11"/>
      <c r="D103" s="11"/>
      <c r="E103" s="11"/>
      <c r="F103" s="15" t="s">
        <v>775</v>
      </c>
      <c r="G103" s="82"/>
      <c r="H103" s="25" t="str">
        <f>IF($A$25="mm","mm","in")</f>
        <v>in</v>
      </c>
      <c r="I103" s="11" t="str">
        <f>IF(G103="","BLANK","EQ")</f>
        <v>BLANK</v>
      </c>
      <c r="L103" s="15"/>
      <c r="M103" s="15"/>
      <c r="N103" s="15"/>
      <c r="O103" s="15"/>
      <c r="P103" s="15" t="s">
        <v>681</v>
      </c>
      <c r="Q103" s="342"/>
      <c r="R103" s="343"/>
      <c r="S103" s="11" t="str">
        <f>IF(Q103="","BLANK",IF(AND($Q$160="Welded",ISNUMBER(SEARCH("Unwelded",Q103))),"REJECT","EQ"))</f>
        <v>BLANK</v>
      </c>
      <c r="U103" s="35"/>
      <c r="V103" s="124"/>
      <c r="W103" s="15"/>
      <c r="X103" s="15"/>
      <c r="Y103" s="15"/>
      <c r="Z103" s="15" t="str">
        <f>IF(AA65=0,"",IF(NOT(AA100="Bolted"),"","Fastener shear diameter:"))</f>
        <v/>
      </c>
      <c r="AA103" s="81"/>
      <c r="AB103" s="25" t="str">
        <f>IF($A$25="mm","mm","in")</f>
        <v>in</v>
      </c>
      <c r="AC103" s="11" t="str">
        <f>IF(AA65=0,"N/A",IF(NOT(AA100="Bolted"),"N/A",IF(AA103="","BLANK","EQ")))</f>
        <v>N/A</v>
      </c>
      <c r="AE103" s="35"/>
      <c r="AF103" s="124"/>
      <c r="AG103" s="15"/>
      <c r="AH103" s="15"/>
      <c r="AI103" s="15"/>
      <c r="AJ103" s="15" t="str">
        <f>IF(AK65=0,"",IF(NOT(AK100="Bolted"),"","Fastener shear diameter:"))</f>
        <v/>
      </c>
      <c r="AK103" s="81"/>
      <c r="AL103" s="25" t="str">
        <f>IF($A$25="mm","mm","in")</f>
        <v>in</v>
      </c>
      <c r="AM103" s="11" t="str">
        <f>IF(AK65=0,"N/A",IF(NOT(AK100="Bolted"),"N/A",IF(AK103="","BLANK","EQ")))</f>
        <v>N/A</v>
      </c>
      <c r="AO103" s="35"/>
      <c r="AP103" s="124"/>
      <c r="AQ103" s="15"/>
      <c r="AR103" s="15"/>
      <c r="AS103" s="15"/>
      <c r="AT103" s="15" t="str">
        <f>IF(AU65=0,"",IF(NOT(AU100="Bolted"),"","Fastener shear diameter:"))</f>
        <v/>
      </c>
      <c r="AU103" s="81"/>
      <c r="AV103" s="25" t="str">
        <f>IF($A$25="mm","mm","in")</f>
        <v>in</v>
      </c>
      <c r="AW103" s="11" t="str">
        <f>IF(AU65=0,"N/A",IF(NOT(AU100="Bolted"),"N/A",IF(AU103="","BLANK","EQ")))</f>
        <v>N/A</v>
      </c>
      <c r="AY103" s="35"/>
      <c r="AZ103" s="124"/>
      <c r="BA103" s="15"/>
      <c r="BB103" s="15"/>
      <c r="BC103" s="15"/>
      <c r="BD103" s="15" t="str">
        <f>IF(BE65=0,"",IF(NOT(BE100="Bolted"),"","Fastener shear diameter:"))</f>
        <v/>
      </c>
      <c r="BE103" s="81"/>
      <c r="BF103" s="25" t="str">
        <f>IF($A$25="mm","mm","in")</f>
        <v>in</v>
      </c>
      <c r="BG103" s="11" t="str">
        <f>IF(BE65=0,"N/A",IF(NOT(BE100="Bolted"),"N/A",IF(BE103="","BLANK","EQ")))</f>
        <v>N/A</v>
      </c>
      <c r="BI103" s="35"/>
      <c r="BJ103" s="124"/>
      <c r="BK103" s="15"/>
      <c r="BL103" s="15"/>
      <c r="BM103" s="15"/>
      <c r="BN103" s="15" t="str">
        <f>IF(BO65=0,"",IF(NOT(BO100="Bolted"),"","Fastener shear diameter:"))</f>
        <v/>
      </c>
      <c r="BO103" s="81"/>
      <c r="BP103" s="25" t="str">
        <f>IF($A$25="mm","mm","in")</f>
        <v>in</v>
      </c>
      <c r="BQ103" s="11" t="str">
        <f>IF(BO65=0,"N/A",IF(NOT(BO100="Bolted"),"N/A",IF(BO103="","BLANK","EQ")))</f>
        <v>N/A</v>
      </c>
      <c r="BS103" s="35"/>
      <c r="BT103" s="124"/>
      <c r="BU103" s="15"/>
      <c r="BV103" s="15"/>
      <c r="BW103" s="15"/>
      <c r="BX103" s="15"/>
      <c r="BY103" s="26"/>
      <c r="BZ103" s="177"/>
      <c r="CA103" s="11"/>
      <c r="CC103" s="35"/>
      <c r="CD103" s="124"/>
      <c r="CE103" s="15"/>
      <c r="CF103" s="15"/>
      <c r="CG103" s="15"/>
      <c r="CH103" s="15"/>
      <c r="CI103" s="26"/>
      <c r="CJ103" s="177"/>
      <c r="CK103" s="11"/>
      <c r="CM103" s="35"/>
      <c r="CN103" s="124"/>
      <c r="CO103" s="15"/>
      <c r="CP103" s="15"/>
      <c r="CQ103" s="15"/>
      <c r="CR103" s="15"/>
      <c r="CS103" s="26"/>
      <c r="CT103" s="177"/>
      <c r="CU103" s="11"/>
      <c r="CW103" s="35"/>
      <c r="CX103" s="124"/>
      <c r="CY103" s="15"/>
      <c r="CZ103" s="15"/>
      <c r="DA103" s="15"/>
      <c r="DB103" s="15"/>
      <c r="DC103" s="26"/>
      <c r="DD103" s="177"/>
      <c r="DE103" s="11"/>
      <c r="DG103" s="35"/>
      <c r="DH103" s="124"/>
      <c r="DI103" s="15"/>
      <c r="DJ103" s="15"/>
      <c r="DK103" s="15"/>
      <c r="DL103" s="15"/>
      <c r="DM103" s="26"/>
      <c r="DN103" s="177"/>
      <c r="DO103" s="11"/>
    </row>
    <row r="104" spans="1:119" ht="15" customHeight="1" thickBot="1" x14ac:dyDescent="0.25">
      <c r="A104" s="11"/>
      <c r="B104" s="11"/>
      <c r="C104" s="11"/>
      <c r="D104" s="11"/>
      <c r="E104" s="11"/>
      <c r="F104" s="15" t="s">
        <v>776</v>
      </c>
      <c r="G104" s="82"/>
      <c r="H104" s="25" t="str">
        <f>IF($A$25="mm","mm^2","in^2")</f>
        <v>in^2</v>
      </c>
      <c r="I104" s="11" t="str">
        <f>IF(G104="","BLANK","EQ")</f>
        <v>BLANK</v>
      </c>
      <c r="L104" s="15"/>
      <c r="M104" s="15"/>
      <c r="N104" s="15"/>
      <c r="O104" s="15"/>
      <c r="P104" s="15" t="s">
        <v>684</v>
      </c>
      <c r="Q104" s="128">
        <f>IF(NOT(P101="Composite"),Q102,Q105+Q107+Q106)</f>
        <v>0</v>
      </c>
      <c r="R104" s="25" t="str">
        <f>IF($A$25="mm","mm","in")</f>
        <v>in</v>
      </c>
      <c r="S104" s="128" t="str">
        <f>IF(NOT(OR(P101="Isotropic",P101="Composite")),"N/A","EQ")</f>
        <v>N/A</v>
      </c>
      <c r="U104" s="35"/>
      <c r="V104" s="124"/>
      <c r="W104" s="15"/>
      <c r="X104" s="15"/>
      <c r="Y104" s="15"/>
      <c r="Z104" s="15" t="str">
        <f>IF(AA65=0,"",IF(NOT(AA100="Bolted"),"","Threads in shear:"))</f>
        <v/>
      </c>
      <c r="AA104" s="173"/>
      <c r="AC104" s="11" t="str">
        <f>IF(AA65=0,"N/A",IF(NOT(AA100="Bolted"),"N/A",IF(AA104="Yes","CHECK","EQ")))</f>
        <v>N/A</v>
      </c>
      <c r="AE104" s="35"/>
      <c r="AF104" s="124"/>
      <c r="AG104" s="15"/>
      <c r="AH104" s="15"/>
      <c r="AI104" s="15"/>
      <c r="AJ104" s="15" t="str">
        <f>IF(AK65=0,"",IF(NOT(AK100="Bolted"),"","Threads in shear:"))</f>
        <v/>
      </c>
      <c r="AK104" s="173"/>
      <c r="AM104" s="11" t="str">
        <f>IF(AK65=0,"N/A",IF(NOT(AK100="Bolted"),"N/A",IF(AK104="Yes","CHECK","EQ")))</f>
        <v>N/A</v>
      </c>
      <c r="AO104" s="35"/>
      <c r="AP104" s="124"/>
      <c r="AQ104" s="15"/>
      <c r="AR104" s="15"/>
      <c r="AS104" s="15"/>
      <c r="AT104" s="15" t="str">
        <f>IF(AU65=0,"",IF(NOT(AU100="Bolted"),"","Threads in shear:"))</f>
        <v/>
      </c>
      <c r="AU104" s="173"/>
      <c r="AW104" s="11" t="str">
        <f>IF(AU65=0,"N/A",IF(NOT(AU100="Bolted"),"N/A",IF(AU104="Yes","CHECK","EQ")))</f>
        <v>N/A</v>
      </c>
      <c r="AY104" s="35"/>
      <c r="AZ104" s="124"/>
      <c r="BA104" s="15"/>
      <c r="BB104" s="15"/>
      <c r="BC104" s="15"/>
      <c r="BD104" s="15" t="str">
        <f>IF(BE65=0,"",IF(NOT(BE100="Bolted"),"","Threads in shear:"))</f>
        <v/>
      </c>
      <c r="BE104" s="173"/>
      <c r="BG104" s="11" t="str">
        <f>IF(BE65=0,"N/A",IF(NOT(BE100="Bolted"),"N/A",IF(BE104="Yes","CHECK","EQ")))</f>
        <v>N/A</v>
      </c>
      <c r="BI104" s="35"/>
      <c r="BJ104" s="124"/>
      <c r="BK104" s="15"/>
      <c r="BL104" s="15"/>
      <c r="BM104" s="15"/>
      <c r="BN104" s="15" t="str">
        <f>IF(BO65=0,"",IF(NOT(BO100="Bolted"),"","Threads in shear:"))</f>
        <v/>
      </c>
      <c r="BO104" s="173"/>
      <c r="BQ104" s="11" t="str">
        <f>IF(BO65=0,"N/A",IF(NOT(BO100="Bolted"),"N/A",IF(BO104="Yes","CHECK","EQ")))</f>
        <v>N/A</v>
      </c>
      <c r="BS104" s="344" t="s">
        <v>777</v>
      </c>
      <c r="BT104" s="344"/>
      <c r="BU104" s="344"/>
      <c r="BV104" s="344"/>
      <c r="BW104" s="344"/>
      <c r="BX104" s="344"/>
      <c r="BY104" s="344"/>
      <c r="BZ104" s="344"/>
      <c r="CA104" s="344"/>
      <c r="CC104" s="344" t="s">
        <v>777</v>
      </c>
      <c r="CD104" s="344"/>
      <c r="CE104" s="344"/>
      <c r="CF104" s="344"/>
      <c r="CG104" s="344"/>
      <c r="CH104" s="344"/>
      <c r="CI104" s="344"/>
      <c r="CJ104" s="344"/>
      <c r="CK104" s="344"/>
      <c r="CM104" s="344" t="s">
        <v>777</v>
      </c>
      <c r="CN104" s="344"/>
      <c r="CO104" s="344"/>
      <c r="CP104" s="344"/>
      <c r="CQ104" s="344"/>
      <c r="CR104" s="344"/>
      <c r="CS104" s="344"/>
      <c r="CT104" s="344"/>
      <c r="CU104" s="344"/>
      <c r="CW104" s="344" t="s">
        <v>777</v>
      </c>
      <c r="CX104" s="344"/>
      <c r="CY104" s="344"/>
      <c r="CZ104" s="344"/>
      <c r="DA104" s="344"/>
      <c r="DB104" s="344"/>
      <c r="DC104" s="344"/>
      <c r="DD104" s="344"/>
      <c r="DE104" s="344"/>
      <c r="DG104" s="344" t="s">
        <v>777</v>
      </c>
      <c r="DH104" s="344"/>
      <c r="DI104" s="344"/>
      <c r="DJ104" s="344"/>
      <c r="DK104" s="344"/>
      <c r="DL104" s="344"/>
      <c r="DM104" s="344"/>
      <c r="DN104" s="344"/>
      <c r="DO104" s="344"/>
    </row>
    <row r="105" spans="1:119" ht="15" customHeight="1" thickBot="1" x14ac:dyDescent="0.25">
      <c r="A105" s="11"/>
      <c r="B105" s="11"/>
      <c r="C105" s="11"/>
      <c r="D105" s="11"/>
      <c r="E105" s="11"/>
      <c r="F105" s="15" t="s">
        <v>778</v>
      </c>
      <c r="G105" s="82"/>
      <c r="H105" s="25" t="str">
        <f>IF($A$25="mm","mm^4","in^4")</f>
        <v>in^4</v>
      </c>
      <c r="I105" s="11" t="str">
        <f>IF(G105="","BLANK","EQ")</f>
        <v>BLANK</v>
      </c>
      <c r="K105" s="37" t="s">
        <v>688</v>
      </c>
      <c r="L105" s="124"/>
      <c r="M105" s="124" t="s">
        <v>689</v>
      </c>
      <c r="N105" s="174" t="str" cm="1">
        <f t="array" aca="1" ref="N105" ca="1">IF(ISREF(INDIRECT("'"&amp;Q103&amp;"'!$AE$82")),
IF(INDIRECT("'"&amp;Q103&amp;"'!$AE$82")=0,(1+Q105)/(1+INDIRECT("'"&amp;Q103&amp;"'!$AE$82")),
IF(Q105/IF($A$25="mm",INDIRECT("'"&amp;Q103&amp;"'!$AE$82"),INDIRECT("'"&amp;Q103&amp;"'!$AE$83"))&lt;0.5,
(Q105+IF($A$25="mm",0.127,0.005))/IF($A$25="mm",INDIRECT("'"&amp;Q103&amp;"'!$AE$82"),INDIRECT("'"&amp;Q103&amp;"'!$AE$83")),
Q105/IF($A$25="mm",INDIRECT("'"&amp;Q103&amp;"'!$AE$82"),INDIRECT("'"&amp;Q103&amp;"'!$AE$83")))),"Typo")</f>
        <v>Typo</v>
      </c>
      <c r="O105" s="124"/>
      <c r="P105" s="124" t="s">
        <v>690</v>
      </c>
      <c r="Q105" s="175"/>
      <c r="R105" s="25" t="str">
        <f>IF($A$25="mm","mm","in")</f>
        <v>in</v>
      </c>
      <c r="S105" s="11" t="str">
        <f>IF(NOT(P101="Composite"),"N/A",IF(Q105="","BLANK",IF(OR(N105&lt;0.5,N105&gt;1),"REJECT","EQ")))</f>
        <v>N/A</v>
      </c>
      <c r="U105" s="35"/>
      <c r="V105" s="124"/>
      <c r="W105" s="15"/>
      <c r="X105" s="15"/>
      <c r="Y105" s="15"/>
      <c r="Z105" s="15" t="str">
        <f>IF(AA65=0,"",IF(NOT(AA100="Bolted"),"","Fastener UTS:"))</f>
        <v/>
      </c>
      <c r="AA105" s="79"/>
      <c r="AB105" s="25" t="str">
        <f>IF($A$25="mm","Pa","psi")</f>
        <v>psi</v>
      </c>
      <c r="AC105" s="11" t="str">
        <f>IF(AA65=0,"N/A",IF(NOT(AA100="Bolted"),"N/A",IF(OR(AA105="",AA105=0),"BLANK","EQ")))</f>
        <v>N/A</v>
      </c>
      <c r="AE105" s="35"/>
      <c r="AF105" s="124"/>
      <c r="AG105" s="15"/>
      <c r="AH105" s="15"/>
      <c r="AI105" s="15"/>
      <c r="AJ105" s="15" t="str">
        <f>IF(AK65=0,"",IF(NOT(AK100="Bolted"),"","Fastener UTS:"))</f>
        <v/>
      </c>
      <c r="AK105" s="79"/>
      <c r="AL105" s="25" t="str">
        <f>IF($A$25="mm","Pa","psi")</f>
        <v>psi</v>
      </c>
      <c r="AM105" s="11" t="str">
        <f>IF(AK65=0,"N/A",IF(NOT(AK100="Bolted"),"N/A",IF(OR(AK105="",AK105=0),"BLANK","EQ")))</f>
        <v>N/A</v>
      </c>
      <c r="AO105" s="35"/>
      <c r="AP105" s="124"/>
      <c r="AQ105" s="15"/>
      <c r="AR105" s="15"/>
      <c r="AS105" s="15"/>
      <c r="AT105" s="15" t="str">
        <f>IF(AU65=0,"",IF(NOT(AU100="Bolted"),"","Fastener UTS:"))</f>
        <v/>
      </c>
      <c r="AU105" s="79"/>
      <c r="AV105" s="25" t="str">
        <f>IF($A$25="mm","Pa","psi")</f>
        <v>psi</v>
      </c>
      <c r="AW105" s="11" t="str">
        <f>IF(AU65=0,"N/A",IF(NOT(AU100="Bolted"),"N/A",IF(OR(AU105="",AU105=0),"BLANK","EQ")))</f>
        <v>N/A</v>
      </c>
      <c r="AY105" s="35"/>
      <c r="AZ105" s="124"/>
      <c r="BA105" s="15"/>
      <c r="BB105" s="15"/>
      <c r="BC105" s="15"/>
      <c r="BD105" s="15" t="str">
        <f>IF(BE65=0,"",IF(NOT(BE100="Bolted"),"","Fastener UTS:"))</f>
        <v/>
      </c>
      <c r="BE105" s="79"/>
      <c r="BF105" s="25" t="str">
        <f>IF($A$25="mm","Pa","psi")</f>
        <v>psi</v>
      </c>
      <c r="BG105" s="11" t="str">
        <f>IF(BE65=0,"N/A",IF(NOT(BE100="Bolted"),"N/A",IF(OR(BE105="",BE105=0),"BLANK","EQ")))</f>
        <v>N/A</v>
      </c>
      <c r="BI105" s="35"/>
      <c r="BJ105" s="124"/>
      <c r="BK105" s="15"/>
      <c r="BL105" s="15"/>
      <c r="BM105" s="15"/>
      <c r="BN105" s="15" t="str">
        <f>IF(BO65=0,"",IF(NOT(BO100="Bolted"),"","Fastener UTS:"))</f>
        <v/>
      </c>
      <c r="BO105" s="79"/>
      <c r="BP105" s="25" t="str">
        <f>IF($A$25="mm","Pa","psi")</f>
        <v>psi</v>
      </c>
      <c r="BQ105" s="11" t="str">
        <f>IF(BO65=0,"N/A",IF(NOT(BO100="Bolted"),"N/A",IF(OR(BO105="",BO105=0),"BLANK","EQ")))</f>
        <v>N/A</v>
      </c>
      <c r="BS105" s="295" t="str">
        <f>IF(COUNTIF(CA106:CA131,"BLANK"),"BLANK",IF(OR(SUMPRODUCT(--ISERROR(CA106:CA131))&gt;0,COUNTIF(CA106:CA131,"REJECT")),"REJECT",IF(COUNTIF(CA106:CA131,"CHECK"),"CHECK","EQ")))</f>
        <v>EQ</v>
      </c>
      <c r="BT105" s="295"/>
      <c r="BU105" s="295"/>
      <c r="BV105" s="295"/>
      <c r="BW105" s="295"/>
      <c r="BX105" s="295"/>
      <c r="BY105" s="295"/>
      <c r="BZ105" s="295"/>
      <c r="CA105" s="295"/>
      <c r="CC105" s="295" t="str">
        <f>IF(COUNTIF(CK106:CK131,"BLANK"),"BLANK",IF(OR(SUMPRODUCT(--ISERROR(CK106:CK131))&gt;0,COUNTIF(CK106:CK131,"REJECT")),"REJECT",IF(COUNTIF(CK106:CK131,"CHECK"),"CHECK","EQ")))</f>
        <v>EQ</v>
      </c>
      <c r="CD105" s="295"/>
      <c r="CE105" s="295"/>
      <c r="CF105" s="295"/>
      <c r="CG105" s="295"/>
      <c r="CH105" s="295"/>
      <c r="CI105" s="295"/>
      <c r="CJ105" s="295"/>
      <c r="CK105" s="295"/>
      <c r="CM105" s="295" t="str">
        <f>IF(COUNTIF(CU106:CU131,"BLANK"),"BLANK",IF(OR(SUMPRODUCT(--ISERROR(CU106:CU131))&gt;0,COUNTIF(CU106:CU131,"REJECT")),"REJECT",IF(COUNTIF(CU106:CU131,"CHECK"),"CHECK","EQ")))</f>
        <v>EQ</v>
      </c>
      <c r="CN105" s="295"/>
      <c r="CO105" s="295"/>
      <c r="CP105" s="295"/>
      <c r="CQ105" s="295"/>
      <c r="CR105" s="295"/>
      <c r="CS105" s="295"/>
      <c r="CT105" s="295"/>
      <c r="CU105" s="295"/>
      <c r="CW105" s="295" t="str">
        <f>IF(COUNTIF(DE106:DE131,"BLANK"),"BLANK",IF(OR(SUMPRODUCT(--ISERROR(DE106:DE131))&gt;0,COUNTIF(DE106:DE131,"REJECT")),"REJECT",IF(COUNTIF(DE106:DE131,"CHECK"),"CHECK","EQ")))</f>
        <v>EQ</v>
      </c>
      <c r="CX105" s="295"/>
      <c r="CY105" s="295"/>
      <c r="CZ105" s="295"/>
      <c r="DA105" s="295"/>
      <c r="DB105" s="295"/>
      <c r="DC105" s="295"/>
      <c r="DD105" s="295"/>
      <c r="DE105" s="295"/>
      <c r="DG105" s="295" t="str">
        <f>IF(COUNTIF(DO106:DO131,"BLANK"),"BLANK",IF(OR(SUMPRODUCT(--ISERROR(DO106:DO131))&gt;0,COUNTIF(DO106:DO131,"REJECT")),"REJECT",IF(COUNTIF(DO106:DO131,"CHECK"),"CHECK","EQ")))</f>
        <v>EQ</v>
      </c>
      <c r="DH105" s="295"/>
      <c r="DI105" s="295"/>
      <c r="DJ105" s="295"/>
      <c r="DK105" s="295"/>
      <c r="DL105" s="295"/>
      <c r="DM105" s="295"/>
      <c r="DN105" s="295"/>
      <c r="DO105" s="295"/>
    </row>
    <row r="106" spans="1:119" ht="15" customHeight="1" thickBot="1" x14ac:dyDescent="0.25">
      <c r="B106" s="15" t="s">
        <v>764</v>
      </c>
      <c r="C106" s="314"/>
      <c r="D106" s="341"/>
      <c r="E106" s="315"/>
      <c r="F106" s="15" t="s">
        <v>1206</v>
      </c>
      <c r="G106" s="82"/>
      <c r="H106" s="25" t="str">
        <f>IF($A$25="mm","Pa","psi")</f>
        <v>psi</v>
      </c>
      <c r="I106" s="11" t="str">
        <f>IF(OR(C106="",G106=""),"BLANK","EQ")</f>
        <v>BLANK</v>
      </c>
      <c r="K106" s="15"/>
      <c r="L106" s="15"/>
      <c r="M106" s="15" t="s">
        <v>694</v>
      </c>
      <c r="N106" s="16"/>
      <c r="O106" s="15"/>
      <c r="P106" s="15" t="s">
        <v>695</v>
      </c>
      <c r="Q106" s="11" t="str" cm="1">
        <f t="array" aca="1" ref="Q106" ca="1">IF(ISREF(INDIRECT("'"&amp;Q103&amp;"'!$AE$84")),IF($A$25="mm",INDIRECT("'"&amp;Q103&amp;"'!$AE$84"),INDIRECT("'"&amp;Q103&amp;"'!$AE$85"))*IF(N106="",1,N106),"Layup")</f>
        <v>Layup</v>
      </c>
      <c r="R106" s="25" t="str">
        <f>IF($A$25="mm","mm","in")</f>
        <v>in</v>
      </c>
      <c r="S106" s="11" t="str">
        <f>IF(NOT(P101="Composite"),"N/A",IF(MOD(N106,1)=0,"EQ","REJECT"))</f>
        <v>N/A</v>
      </c>
      <c r="U106" s="35"/>
      <c r="V106" s="124"/>
      <c r="W106" s="15"/>
      <c r="X106" s="15"/>
      <c r="Y106" s="15"/>
      <c r="Z106" s="15" t="str">
        <f>IF(AA65=0,"",IF(NOT(AA100="Bolted"),"","--Pullout-- Min total perimeter of all washers or inserts on one surface:"))</f>
        <v/>
      </c>
      <c r="AA106" s="16"/>
      <c r="AB106" s="25" t="str">
        <f>IF($A$25="mm","mm","in")</f>
        <v>in</v>
      </c>
      <c r="AC106" s="11" t="str">
        <f>IF(AA65=0,"N/A",IF(NOT(AA100="Bolted"),"N/A",IF(AA106="","BLANK","EQ")))</f>
        <v>N/A</v>
      </c>
      <c r="AE106" s="35"/>
      <c r="AF106" s="124"/>
      <c r="AG106" s="15"/>
      <c r="AH106" s="15"/>
      <c r="AI106" s="15"/>
      <c r="AJ106" s="15" t="str">
        <f>IF(AK65=0,"",IF(NOT(AK100="Bolted"),"","--Pullout-- Min total perimeter of all washers or inserts on one surface:"))</f>
        <v/>
      </c>
      <c r="AK106" s="16"/>
      <c r="AL106" s="25" t="str">
        <f>IF($A$25="mm","mm","in")</f>
        <v>in</v>
      </c>
      <c r="AM106" s="11" t="str">
        <f>IF(AK65=0,"N/A",IF(NOT(AK100="Bolted"),"N/A",IF(AK106="","BLANK","EQ")))</f>
        <v>N/A</v>
      </c>
      <c r="AO106" s="35"/>
      <c r="AP106" s="124"/>
      <c r="AQ106" s="15"/>
      <c r="AR106" s="15"/>
      <c r="AS106" s="15"/>
      <c r="AT106" s="15" t="str">
        <f>IF(AU65=0,"",IF(NOT(AU100="Bolted"),"","--Pullout-- Min total perimeter of all washers or inserts on one surface:"))</f>
        <v/>
      </c>
      <c r="AU106" s="16"/>
      <c r="AV106" s="25" t="str">
        <f>IF($A$25="mm","mm","in")</f>
        <v>in</v>
      </c>
      <c r="AW106" s="11" t="str">
        <f>IF(AU65=0,"N/A",IF(NOT(AU100="Bolted"),"N/A",IF(AU106="","BLANK","EQ")))</f>
        <v>N/A</v>
      </c>
      <c r="AY106" s="35"/>
      <c r="AZ106" s="124"/>
      <c r="BA106" s="15"/>
      <c r="BB106" s="15"/>
      <c r="BC106" s="15"/>
      <c r="BD106" s="15" t="str">
        <f>IF(BE65=0,"",IF(NOT(BE100="Bolted"),"","--Pullout-- Min total perimeter of all washers or inserts on one surface:"))</f>
        <v/>
      </c>
      <c r="BE106" s="16"/>
      <c r="BF106" s="25" t="str">
        <f>IF($A$25="mm","mm","in")</f>
        <v>in</v>
      </c>
      <c r="BG106" s="11" t="str">
        <f>IF(BE65=0,"N/A",IF(NOT(BE100="Bolted"),"N/A",IF(BE106="","BLANK","EQ")))</f>
        <v>N/A</v>
      </c>
      <c r="BI106" s="35"/>
      <c r="BJ106" s="124"/>
      <c r="BK106" s="15"/>
      <c r="BL106" s="15"/>
      <c r="BM106" s="15"/>
      <c r="BN106" s="15" t="str">
        <f>IF(BO65=0,"",IF(NOT(BO100="Bolted"),"","--Pullout-- Min total perimeter of all washers or inserts on one surface:"))</f>
        <v/>
      </c>
      <c r="BO106" s="16"/>
      <c r="BP106" s="25" t="str">
        <f>IF($A$25="mm","mm","in")</f>
        <v>in</v>
      </c>
      <c r="BQ106" s="11" t="str">
        <f>IF(BO65=0,"N/A",IF(NOT(BO100="Bolted"),"N/A",IF(BO106="","BLANK","EQ")))</f>
        <v>N/A</v>
      </c>
      <c r="BS106" s="11"/>
      <c r="BT106" s="11"/>
      <c r="BU106" s="11"/>
      <c r="BV106" s="11"/>
      <c r="BW106" s="11"/>
      <c r="BX106" s="15" t="s">
        <v>779</v>
      </c>
      <c r="BY106" s="342"/>
      <c r="BZ106" s="343"/>
      <c r="CA106" s="11" t="str">
        <f>IF(BY63=0,"N/A",IF(BY106="","BLANK",IF(AND(BY111="Welded",ISNUMBER(SEARCH("Unwelded",BY106))),"REJECT","EQ")))</f>
        <v>N/A</v>
      </c>
      <c r="CC106" s="11"/>
      <c r="CD106" s="11"/>
      <c r="CE106" s="11"/>
      <c r="CF106" s="11"/>
      <c r="CG106" s="11"/>
      <c r="CH106" s="15" t="s">
        <v>779</v>
      </c>
      <c r="CI106" s="342"/>
      <c r="CJ106" s="343"/>
      <c r="CK106" s="11" t="str">
        <f>IF(CI63=0,"N/A",IF(CI106="","BLANK",IF(AND(CI111="Welded",ISNUMBER(SEARCH("Unwelded",CI106))),"REJECT","EQ")))</f>
        <v>N/A</v>
      </c>
      <c r="CM106" s="11"/>
      <c r="CN106" s="11"/>
      <c r="CO106" s="11"/>
      <c r="CP106" s="11"/>
      <c r="CQ106" s="11"/>
      <c r="CR106" s="15" t="s">
        <v>779</v>
      </c>
      <c r="CS106" s="342"/>
      <c r="CT106" s="343"/>
      <c r="CU106" s="11" t="str">
        <f>IF(CS63=0,"N/A",IF(CS106="","BLANK",IF(AND(CS111="Welded",ISNUMBER(SEARCH("Unwelded",CS106))),"REJECT","EQ")))</f>
        <v>N/A</v>
      </c>
      <c r="CW106" s="11"/>
      <c r="CX106" s="11"/>
      <c r="CY106" s="11"/>
      <c r="CZ106" s="11"/>
      <c r="DA106" s="11"/>
      <c r="DB106" s="15" t="s">
        <v>779</v>
      </c>
      <c r="DC106" s="342"/>
      <c r="DD106" s="343"/>
      <c r="DE106" s="11" t="str">
        <f>IF(DC63=0,"N/A",IF(DC106="","BLANK",IF(AND(DC111="Welded",ISNUMBER(SEARCH("Unwelded",DC106))),"REJECT","EQ")))</f>
        <v>N/A</v>
      </c>
      <c r="DG106" s="11"/>
      <c r="DH106" s="11"/>
      <c r="DI106" s="11"/>
      <c r="DJ106" s="11"/>
      <c r="DK106" s="11"/>
      <c r="DL106" s="15" t="s">
        <v>779</v>
      </c>
      <c r="DM106" s="342"/>
      <c r="DN106" s="343"/>
      <c r="DO106" s="11" t="str">
        <f>IF(DM63=0,"N/A",IF(DM106="","BLANK",IF(AND(DM111="Welded",ISNUMBER(SEARCH("Unwelded",DM106))),"REJECT","EQ")))</f>
        <v>N/A</v>
      </c>
    </row>
    <row r="107" spans="1:119" ht="15" customHeight="1" x14ac:dyDescent="0.2">
      <c r="F107" s="15" t="s">
        <v>1207</v>
      </c>
      <c r="G107" s="82"/>
      <c r="H107" s="25" t="str">
        <f>IF($A$25="mm","Pa","psi")</f>
        <v>psi</v>
      </c>
      <c r="I107" s="11" t="str">
        <f>IF(G107="","BLANK","EQ")</f>
        <v>BLANK</v>
      </c>
      <c r="K107" s="15"/>
      <c r="L107" s="15"/>
      <c r="M107" s="15" t="s">
        <v>694</v>
      </c>
      <c r="N107" s="16"/>
      <c r="O107" s="15"/>
      <c r="P107" s="15" t="s">
        <v>697</v>
      </c>
      <c r="Q107" s="11" t="str" cm="1">
        <f t="array" aca="1" ref="Q107" ca="1">IF(ISREF(INDIRECT("'"&amp;Q103&amp;"'!$AE$86")),IF($A$25="mm",INDIRECT("'"&amp;Q103&amp;"'!$AE$86"),INDIRECT("'"&amp;Q103&amp;"'!$AE$87"))*IF(N107="",1,N107),"Typo")</f>
        <v>Typo</v>
      </c>
      <c r="R107" s="25" t="str">
        <f>IF($A$25="mm","mm","in")</f>
        <v>in</v>
      </c>
      <c r="S107" s="11" t="str">
        <f>IF(NOT(P101="Composite"),"N/A",IF(MOD(N107,1)=0,"EQ","REJECT"))</f>
        <v>N/A</v>
      </c>
      <c r="U107" s="35"/>
      <c r="V107" s="124"/>
      <c r="W107" s="15"/>
      <c r="X107" s="15"/>
      <c r="Y107" s="15"/>
      <c r="Z107" s="15" t="str">
        <f>IF(AA65=0,"",IF(NOT(AA100="Bolted"),"","Fastener shear &gt;= Test Load:"))</f>
        <v/>
      </c>
      <c r="AA107" s="26">
        <f>0.577*AA102*AA105*PI()*((AA103/2)^2)*IF($A$25="mm",1/(10^6),1)</f>
        <v>0</v>
      </c>
      <c r="AB107" s="177" t="str">
        <f>IF(AA107=0,"",AA107/$U$23)</f>
        <v/>
      </c>
      <c r="AC107" s="11" t="str">
        <f>IF(AA65=0,"N/A",IF(NOT(AA100="Bolted"),"N/A",IF(AB107&lt;1,"REJECT","EQ")))</f>
        <v>N/A</v>
      </c>
      <c r="AE107" s="35"/>
      <c r="AF107" s="124"/>
      <c r="AG107" s="15"/>
      <c r="AH107" s="15"/>
      <c r="AI107" s="15"/>
      <c r="AJ107" s="15" t="str">
        <f>IF(AK65=0,"",IF(NOT(AK100="Bolted"),"","Fastener shear &gt;= Test Load:"))</f>
        <v/>
      </c>
      <c r="AK107" s="26">
        <f>0.577*AK102*AK105*PI()*((AK103/2)^2)*IF($A$25="mm",1/(10^6),1)</f>
        <v>0</v>
      </c>
      <c r="AL107" s="177" t="str">
        <f>IF(AK107=0,"",AK107/$U$23)</f>
        <v/>
      </c>
      <c r="AM107" s="11" t="str">
        <f>IF(AK65=0,"N/A",IF(NOT(AK100="Bolted"),"N/A",IF(AL107&lt;1,"REJECT","EQ")))</f>
        <v>N/A</v>
      </c>
      <c r="AO107" s="35"/>
      <c r="AP107" s="124"/>
      <c r="AQ107" s="15"/>
      <c r="AR107" s="15"/>
      <c r="AS107" s="15"/>
      <c r="AT107" s="15" t="str">
        <f>IF(AU65=0,"",IF(NOT(AU100="Bolted"),"","Fastener shear &gt;= Test Load:"))</f>
        <v/>
      </c>
      <c r="AU107" s="26">
        <f>0.577*AU102*AU105*PI()*((AU103/2)^2)*IF($A$25="mm",1/(10^6),1)</f>
        <v>0</v>
      </c>
      <c r="AV107" s="177" t="str">
        <f>IF(AU107=0,"",AU107/$U$23)</f>
        <v/>
      </c>
      <c r="AW107" s="11" t="str">
        <f>IF(AU65=0,"N/A",IF(NOT(AU100="Bolted"),"N/A",IF(AV107&lt;1,"REJECT","EQ")))</f>
        <v>N/A</v>
      </c>
      <c r="AY107" s="35"/>
      <c r="AZ107" s="124"/>
      <c r="BA107" s="15"/>
      <c r="BB107" s="15"/>
      <c r="BC107" s="15"/>
      <c r="BD107" s="15" t="str">
        <f>IF(BE65=0,"",IF(NOT(BE100="Bolted"),"","Fastener shear &gt;= Test Load:"))</f>
        <v/>
      </c>
      <c r="BE107" s="26">
        <f>0.577*BE102*BE105*PI()*((BE103/2)^2)*IF($A$25="mm",1/(10^6),1)</f>
        <v>0</v>
      </c>
      <c r="BF107" s="177" t="str">
        <f>IF(BE107=0,"",BE107/$U$23)</f>
        <v/>
      </c>
      <c r="BG107" s="11" t="str">
        <f>IF(BE65=0,"N/A",IF(NOT(BE100="Bolted"),"N/A",IF(BF107&lt;1,"REJECT","EQ")))</f>
        <v>N/A</v>
      </c>
      <c r="BI107" s="35"/>
      <c r="BJ107" s="124"/>
      <c r="BK107" s="15"/>
      <c r="BL107" s="15"/>
      <c r="BM107" s="15"/>
      <c r="BN107" s="15" t="str">
        <f>IF(BO65=0,"",IF(NOT(BO100="Bolted"),"","Fastener shear &gt;= Test Load:"))</f>
        <v/>
      </c>
      <c r="BO107" s="26">
        <f>0.577*BO102*BO105*PI()*((BO103/2)^2)*IF($A$25="mm",1/(10^6),1)</f>
        <v>0</v>
      </c>
      <c r="BP107" s="177" t="str">
        <f>IF(BO107=0,"",BO107/$U$23)</f>
        <v/>
      </c>
      <c r="BQ107" s="11" t="str">
        <f>IF(BO65=0,"N/A",IF(NOT(BO100="Bolted"),"N/A",IF(BP107&lt;1,"REJECT","EQ")))</f>
        <v>N/A</v>
      </c>
      <c r="BT107" s="12"/>
      <c r="BU107" s="307" t="s">
        <v>651</v>
      </c>
      <c r="BV107" s="307"/>
      <c r="BW107" s="307"/>
      <c r="BX107" s="307"/>
      <c r="BY107" s="26" t="e">
        <f>INDEX($G$3:$G$19,MATCH(BY106,$E$3:$E$19,0))</f>
        <v>#N/A</v>
      </c>
      <c r="BZ107" s="25" t="str">
        <f>IF($A$25="mm","Pa","psi")</f>
        <v>psi</v>
      </c>
      <c r="CA107" s="11" t="str">
        <f>IF(BY$63=0,"N/A",IF(BY107=0,"BLANK","EQ"))</f>
        <v>N/A</v>
      </c>
      <c r="CD107" s="12"/>
      <c r="CE107" s="307" t="s">
        <v>651</v>
      </c>
      <c r="CF107" s="307"/>
      <c r="CG107" s="307"/>
      <c r="CH107" s="307"/>
      <c r="CI107" s="26" t="e">
        <f>INDEX($G$3:$G$19,MATCH(CI106,$E$3:$E$19,0))</f>
        <v>#N/A</v>
      </c>
      <c r="CJ107" s="25" t="str">
        <f>IF($A$25="mm","Pa","psi")</f>
        <v>psi</v>
      </c>
      <c r="CK107" s="11" t="str">
        <f>IF(CI$63=0,"N/A",IF(CI107=0,"BLANK","EQ"))</f>
        <v>N/A</v>
      </c>
      <c r="CN107" s="12"/>
      <c r="CO107" s="307" t="s">
        <v>651</v>
      </c>
      <c r="CP107" s="307"/>
      <c r="CQ107" s="307"/>
      <c r="CR107" s="307"/>
      <c r="CS107" s="26" t="e">
        <f>INDEX($G$3:$G$19,MATCH(CS106,$E$3:$E$19,0))</f>
        <v>#N/A</v>
      </c>
      <c r="CT107" s="25" t="str">
        <f>IF($A$25="mm","Pa","psi")</f>
        <v>psi</v>
      </c>
      <c r="CU107" s="11" t="str">
        <f>IF(CS$63=0,"N/A",IF(CS107=0,"BLANK","EQ"))</f>
        <v>N/A</v>
      </c>
      <c r="CX107" s="12"/>
      <c r="CY107" s="307" t="s">
        <v>651</v>
      </c>
      <c r="CZ107" s="307"/>
      <c r="DA107" s="307"/>
      <c r="DB107" s="307"/>
      <c r="DC107" s="26" t="e">
        <f>INDEX($G$3:$G$19,MATCH(DC106,$E$3:$E$19,0))</f>
        <v>#N/A</v>
      </c>
      <c r="DD107" s="25" t="str">
        <f>IF($A$25="mm","Pa","psi")</f>
        <v>psi</v>
      </c>
      <c r="DE107" s="11" t="str">
        <f>IF(DC$63=0,"N/A",IF(DC107=0,"BLANK","EQ"))</f>
        <v>N/A</v>
      </c>
      <c r="DH107" s="12"/>
      <c r="DI107" s="307" t="s">
        <v>651</v>
      </c>
      <c r="DJ107" s="307"/>
      <c r="DK107" s="307"/>
      <c r="DL107" s="307"/>
      <c r="DM107" s="26" t="e">
        <f>INDEX($G$3:$G$19,MATCH(DM106,$E$3:$E$19,0))</f>
        <v>#N/A</v>
      </c>
      <c r="DN107" s="25" t="str">
        <f>IF($A$25="mm","Pa","psi")</f>
        <v>psi</v>
      </c>
      <c r="DO107" s="11" t="str">
        <f>IF(DM$63=0,"N/A",IF(DM107=0,"BLANK","EQ"))</f>
        <v>N/A</v>
      </c>
    </row>
    <row r="108" spans="1:119" ht="15" customHeight="1" x14ac:dyDescent="0.2">
      <c r="A108" s="12" t="s">
        <v>780</v>
      </c>
      <c r="B108" s="11"/>
      <c r="C108" s="11"/>
      <c r="D108" s="11"/>
      <c r="E108" s="11"/>
      <c r="F108" s="15" t="s">
        <v>781</v>
      </c>
      <c r="G108" s="26">
        <f>40*$G$83*G80*IF($A$25="mm",9.81,1)</f>
        <v>0</v>
      </c>
      <c r="H108" s="25" t="e">
        <f>IF(G101="Welded","%",IF($A$25="mm","N","lbs"))</f>
        <v>#DIV/0!</v>
      </c>
      <c r="I108" s="11" t="str">
        <f>IF(G108=0,"BLANK","EQ")</f>
        <v>BLANK</v>
      </c>
      <c r="K108" s="337" t="s">
        <v>699</v>
      </c>
      <c r="L108" s="337"/>
      <c r="M108" s="337"/>
      <c r="N108" s="338" t="s">
        <v>699</v>
      </c>
      <c r="O108" s="337"/>
      <c r="P108" s="339"/>
      <c r="Q108" s="338" t="s">
        <v>699</v>
      </c>
      <c r="R108" s="337"/>
      <c r="S108" s="339"/>
      <c r="U108" s="35"/>
      <c r="V108" s="124"/>
      <c r="W108" s="15"/>
      <c r="X108" s="15"/>
      <c r="Y108" s="15"/>
      <c r="Z108" s="15" t="str">
        <f>IF(AA65=0,"",IF(NOT(AA100="Bolted"),"","Accumulator Pullout &gt;= Test Load:"))</f>
        <v/>
      </c>
      <c r="AA108" s="26" t="e">
        <f>AA98*AA99*AA106*IF($A$25="mm",1/10^6,1)</f>
        <v>#N/A</v>
      </c>
      <c r="AB108" s="177" t="e">
        <f>IF(AA108=0,"",AA108/$U$23)</f>
        <v>#N/A</v>
      </c>
      <c r="AC108" s="11" t="str">
        <f>IF(AA65=0,"N/A",IF(NOT(AA100="Bolted"),"N/A",IF(AB108&lt;1,"REJECT","EQ")))</f>
        <v>N/A</v>
      </c>
      <c r="AE108" s="35"/>
      <c r="AF108" s="124"/>
      <c r="AG108" s="15"/>
      <c r="AH108" s="15"/>
      <c r="AI108" s="15"/>
      <c r="AJ108" s="15" t="str">
        <f>IF(AK65=0,"",IF(NOT(AK100="Bolted"),"","Accumulator Pullout &gt;= Test Load:"))</f>
        <v/>
      </c>
      <c r="AK108" s="26" t="e">
        <f>AK98*AK99*AK106*IF($A$25="mm",1/10^6,1)</f>
        <v>#N/A</v>
      </c>
      <c r="AL108" s="177" t="e">
        <f>IF(AK108=0,"",AK108/$U$23)</f>
        <v>#N/A</v>
      </c>
      <c r="AM108" s="11" t="str">
        <f>IF(AK65=0,"N/A",IF(NOT(AK100="Bolted"),"N/A",IF(AL108&lt;1,"REJECT","EQ")))</f>
        <v>N/A</v>
      </c>
      <c r="AO108" s="35"/>
      <c r="AP108" s="124"/>
      <c r="AQ108" s="15"/>
      <c r="AR108" s="15"/>
      <c r="AS108" s="15"/>
      <c r="AT108" s="15" t="str">
        <f>IF(AU65=0,"",IF(NOT(AU100="Bolted"),"","Accumulator Pullout &gt;= Test Load:"))</f>
        <v/>
      </c>
      <c r="AU108" s="26" t="e">
        <f>AU98*AU99*AU106*IF($A$25="mm",1/10^6,1)</f>
        <v>#N/A</v>
      </c>
      <c r="AV108" s="177" t="e">
        <f>IF(AU108=0,"",AU108/$U$23)</f>
        <v>#N/A</v>
      </c>
      <c r="AW108" s="11" t="str">
        <f>IF(AU65=0,"N/A",IF(NOT(AU100="Bolted"),"N/A",IF(AV108&lt;1,"REJECT","EQ")))</f>
        <v>N/A</v>
      </c>
      <c r="AY108" s="35"/>
      <c r="AZ108" s="124"/>
      <c r="BA108" s="15"/>
      <c r="BB108" s="15"/>
      <c r="BC108" s="15"/>
      <c r="BD108" s="15" t="str">
        <f>IF(BE65=0,"",IF(NOT(BE100="Bolted"),"","Accumulator Pullout &gt;= Test Load:"))</f>
        <v/>
      </c>
      <c r="BE108" s="26" t="e">
        <f>BE98*BE99*BE106*IF($A$25="mm",1/10^6,1)</f>
        <v>#N/A</v>
      </c>
      <c r="BF108" s="177" t="e">
        <f>IF(BE108=0,"",BE108/$U$23)</f>
        <v>#N/A</v>
      </c>
      <c r="BG108" s="11" t="str">
        <f>IF(BE65=0,"N/A",IF(NOT(BE100="Bolted"),"N/A",IF(BF108&lt;1,"REJECT","EQ")))</f>
        <v>N/A</v>
      </c>
      <c r="BI108" s="35"/>
      <c r="BJ108" s="124"/>
      <c r="BK108" s="15"/>
      <c r="BL108" s="15"/>
      <c r="BM108" s="15"/>
      <c r="BN108" s="15" t="str">
        <f>IF(BO65=0,"",IF(NOT(BO100="Bolted"),"","Accumulator Pullout &gt;= Test Load:"))</f>
        <v/>
      </c>
      <c r="BO108" s="26" t="e">
        <f>BO98*BO99*BO106*IF($A$25="mm",1/10^6,1)</f>
        <v>#N/A</v>
      </c>
      <c r="BP108" s="177" t="e">
        <f>IF(BO108=0,"",BO108/$U$23)</f>
        <v>#N/A</v>
      </c>
      <c r="BQ108" s="11" t="str">
        <f>IF(BO65=0,"N/A",IF(NOT(BO100="Bolted"),"N/A",IF(BP108&lt;1,"REJECT","EQ")))</f>
        <v>N/A</v>
      </c>
      <c r="BS108" s="168"/>
      <c r="BT108" s="307" t="s">
        <v>656</v>
      </c>
      <c r="BU108" s="307"/>
      <c r="BV108" s="307"/>
      <c r="BW108" s="307"/>
      <c r="BX108" s="307"/>
      <c r="BY108" s="26" t="e">
        <f>INDEX($I$3:$I$19,MATCH(BY106,$E$3:$E$19,0))</f>
        <v>#N/A</v>
      </c>
      <c r="BZ108" s="25" t="str">
        <f>IF($A$25="mm","Pa","psi")</f>
        <v>psi</v>
      </c>
      <c r="CA108" s="11" t="str">
        <f>IF(BY$63=0,"N/A",IF(BY108=0,"BLANK","EQ"))</f>
        <v>N/A</v>
      </c>
      <c r="CC108" s="168"/>
      <c r="CD108" s="307" t="s">
        <v>656</v>
      </c>
      <c r="CE108" s="307"/>
      <c r="CF108" s="307"/>
      <c r="CG108" s="307"/>
      <c r="CH108" s="307"/>
      <c r="CI108" s="26" t="e">
        <f>INDEX($I$3:$I$19,MATCH(CI106,$E$3:$E$19,0))</f>
        <v>#N/A</v>
      </c>
      <c r="CJ108" s="25" t="str">
        <f>IF($A$25="mm","Pa","psi")</f>
        <v>psi</v>
      </c>
      <c r="CK108" s="11" t="str">
        <f>IF(CI$63=0,"N/A",IF(CI108=0,"BLANK","EQ"))</f>
        <v>N/A</v>
      </c>
      <c r="CM108" s="168"/>
      <c r="CN108" s="307" t="s">
        <v>656</v>
      </c>
      <c r="CO108" s="307"/>
      <c r="CP108" s="307"/>
      <c r="CQ108" s="307"/>
      <c r="CR108" s="307"/>
      <c r="CS108" s="26" t="e">
        <f>INDEX($I$3:$I$19,MATCH(CS106,$E$3:$E$19,0))</f>
        <v>#N/A</v>
      </c>
      <c r="CT108" s="25" t="str">
        <f>IF($A$25="mm","Pa","psi")</f>
        <v>psi</v>
      </c>
      <c r="CU108" s="11" t="str">
        <f>IF(CS$63=0,"N/A",IF(CS108=0,"BLANK","EQ"))</f>
        <v>N/A</v>
      </c>
      <c r="CW108" s="168"/>
      <c r="CX108" s="307" t="s">
        <v>656</v>
      </c>
      <c r="CY108" s="307"/>
      <c r="CZ108" s="307"/>
      <c r="DA108" s="307"/>
      <c r="DB108" s="307"/>
      <c r="DC108" s="26" t="e">
        <f>INDEX($I$3:$I$19,MATCH(DC106,$E$3:$E$19,0))</f>
        <v>#N/A</v>
      </c>
      <c r="DD108" s="25" t="str">
        <f>IF($A$25="mm","Pa","psi")</f>
        <v>psi</v>
      </c>
      <c r="DE108" s="11" t="str">
        <f>IF(DC$63=0,"N/A",IF(DC108=0,"BLANK","EQ"))</f>
        <v>N/A</v>
      </c>
      <c r="DG108" s="168"/>
      <c r="DH108" s="307" t="s">
        <v>656</v>
      </c>
      <c r="DI108" s="307"/>
      <c r="DJ108" s="307"/>
      <c r="DK108" s="307"/>
      <c r="DL108" s="307"/>
      <c r="DM108" s="26" t="e">
        <f>INDEX($I$3:$I$19,MATCH(DM106,$E$3:$E$19,0))</f>
        <v>#N/A</v>
      </c>
      <c r="DN108" s="25" t="str">
        <f>IF($A$25="mm","Pa","psi")</f>
        <v>psi</v>
      </c>
      <c r="DO108" s="11" t="str">
        <f>IF(DM$63=0,"N/A",IF(DM108=0,"BLANK","EQ"))</f>
        <v>N/A</v>
      </c>
    </row>
    <row r="109" spans="1:119" ht="15" customHeight="1" x14ac:dyDescent="0.2">
      <c r="A109" s="12"/>
      <c r="B109" s="11"/>
      <c r="C109" s="11"/>
      <c r="D109" s="11"/>
      <c r="E109" s="11"/>
      <c r="F109" s="15" t="e">
        <f>IF(G103*0.5*SQRT(G104/G105)&lt;SQRT(2*PI()*G106/G107),
"No. columns * A * ( Sy-(A/EI) * (Sy*0.5*L/2pi)^2) (Johnson):",
"No. columns * pi^2 * EI / (0.5L)^2 (Euler):")</f>
        <v>#DIV/0!</v>
      </c>
      <c r="G109" s="26" t="e">
        <f>IF(G103*0.5*SQRT(G104/G105)&lt;SQRT((2*G106*PI()^2)/G107),
G102*G104*(G107-(G104/(G106*G105))*((G107*0.5*G103)/(2*PI()))^2),
G102*(PI()^2)*G106*G105/((0.5*G103)^2))</f>
        <v>#DIV/0!</v>
      </c>
      <c r="H109" s="191">
        <f>IF(G108=0,0,G109/G108)</f>
        <v>0</v>
      </c>
      <c r="I109" s="11" t="str">
        <f>IF(H109=0,"BLANK",IF(H109&lt;1,"CHECK","EQ"))</f>
        <v>BLANK</v>
      </c>
      <c r="K109" s="11" t="s">
        <v>701</v>
      </c>
      <c r="L109" s="11">
        <f>IF($A$25="mm",Q100/1000,Q100)</f>
        <v>0</v>
      </c>
      <c r="M109" s="25" t="str">
        <f>IF($A$25="mm","m","in")</f>
        <v>in</v>
      </c>
      <c r="N109" s="180" t="s">
        <v>702</v>
      </c>
      <c r="O109" s="181" t="e">
        <f ca="1">L109*L110</f>
        <v>#VALUE!</v>
      </c>
      <c r="P109" s="50" t="str">
        <f>IF($A$25="mm","m^2","in^2")</f>
        <v>in^2</v>
      </c>
      <c r="Q109" s="180" t="s">
        <v>703</v>
      </c>
      <c r="R109" s="181" t="e">
        <f ca="1">(L109*L110^3)/12</f>
        <v>#VALUE!</v>
      </c>
      <c r="S109" s="50" t="str">
        <f>IF($A$25="mm","m^4","in^4")</f>
        <v>in^4</v>
      </c>
      <c r="U109" s="35"/>
      <c r="V109" s="124"/>
      <c r="W109" s="15"/>
      <c r="X109" s="15"/>
      <c r="Y109" s="15"/>
      <c r="Z109" s="15" t="str">
        <f>IF(AA65=0,"",IF(NOT(AA100="Bolted"),"","Accumulator Tearout &gt;= Test Load:"))</f>
        <v/>
      </c>
      <c r="AA109" s="26" t="e">
        <f>2*AA98*AA99*AA102*AA101*IF($A$25="mm",1/10^6,1)</f>
        <v>#N/A</v>
      </c>
      <c r="AB109" s="177" t="e">
        <f>IF(AA109=0,"",AA109/$U$23)</f>
        <v>#N/A</v>
      </c>
      <c r="AC109" s="11" t="str">
        <f>IF(AA65=0,"N/A",IF(NOT(AA100="Bolted"),"N/A",IF(AB109&lt;1,"REJECT","EQ")))</f>
        <v>N/A</v>
      </c>
      <c r="AE109" s="35"/>
      <c r="AF109" s="124"/>
      <c r="AG109" s="15"/>
      <c r="AH109" s="15"/>
      <c r="AI109" s="15"/>
      <c r="AJ109" s="15" t="str">
        <f>IF(AK65=0,"",IF(NOT(AK100="Bolted"),"","Accumulator Tearout &gt;= Test Load:"))</f>
        <v/>
      </c>
      <c r="AK109" s="26" t="e">
        <f>2*AK98*AK99*AK102*AK101*IF($A$25="mm",1/10^6,1)</f>
        <v>#N/A</v>
      </c>
      <c r="AL109" s="177" t="e">
        <f>IF(AK109=0,"",AK109/$U$23)</f>
        <v>#N/A</v>
      </c>
      <c r="AM109" s="11" t="str">
        <f>IF(AK65=0,"N/A",IF(NOT(AK100="Bolted"),"N/A",IF(AL109&lt;1,"REJECT","EQ")))</f>
        <v>N/A</v>
      </c>
      <c r="AO109" s="35"/>
      <c r="AP109" s="124"/>
      <c r="AQ109" s="15"/>
      <c r="AR109" s="15"/>
      <c r="AS109" s="15"/>
      <c r="AT109" s="15" t="str">
        <f>IF(AU65=0,"",IF(NOT(AU100="Bolted"),"","Accumulator Tearout &gt;= Test Load:"))</f>
        <v/>
      </c>
      <c r="AU109" s="26" t="e">
        <f>2*AU98*AU99*AU102*AU101*IF($A$25="mm",1/10^6,1)</f>
        <v>#N/A</v>
      </c>
      <c r="AV109" s="177" t="e">
        <f>IF(AU109=0,"",AU109/$U$23)</f>
        <v>#N/A</v>
      </c>
      <c r="AW109" s="11" t="str">
        <f>IF(AU65=0,"N/A",IF(NOT(AU100="Bolted"),"N/A",IF(AV109&lt;1,"REJECT","EQ")))</f>
        <v>N/A</v>
      </c>
      <c r="AY109" s="35"/>
      <c r="AZ109" s="124"/>
      <c r="BA109" s="15"/>
      <c r="BB109" s="15"/>
      <c r="BC109" s="15"/>
      <c r="BD109" s="15" t="str">
        <f>IF(BE65=0,"",IF(NOT(BE100="Bolted"),"","Accumulator Tearout &gt;= Test Load:"))</f>
        <v/>
      </c>
      <c r="BE109" s="26" t="e">
        <f>2*BE98*BE99*BE102*BE101*IF($A$25="mm",1/10^6,1)</f>
        <v>#N/A</v>
      </c>
      <c r="BF109" s="177" t="e">
        <f>IF(BE109=0,"",BE109/$U$23)</f>
        <v>#N/A</v>
      </c>
      <c r="BG109" s="11" t="str">
        <f>IF(BE65=0,"N/A",IF(NOT(BE100="Bolted"),"N/A",IF(BF109&lt;1,"REJECT","EQ")))</f>
        <v>N/A</v>
      </c>
      <c r="BI109" s="35"/>
      <c r="BJ109" s="124"/>
      <c r="BK109" s="15"/>
      <c r="BL109" s="15"/>
      <c r="BM109" s="15"/>
      <c r="BN109" s="15" t="str">
        <f>IF(BO65=0,"",IF(NOT(BO100="Bolted"),"","Accumulator Tearout &gt;= Test Load:"))</f>
        <v/>
      </c>
      <c r="BO109" s="26" t="e">
        <f>2*BO98*BO99*BO102*BO101*IF($A$25="mm",1/10^6,1)</f>
        <v>#N/A</v>
      </c>
      <c r="BP109" s="177" t="e">
        <f>IF(BO109=0,"",BO109/$U$23)</f>
        <v>#N/A</v>
      </c>
      <c r="BQ109" s="11" t="str">
        <f>IF(BO65=0,"N/A",IF(NOT(BO100="Bolted"),"N/A",IF(BP109&lt;1,"REJECT","EQ")))</f>
        <v>N/A</v>
      </c>
      <c r="BS109" s="35"/>
      <c r="BT109" s="124"/>
      <c r="BU109" s="307" t="s">
        <v>659</v>
      </c>
      <c r="BV109" s="307"/>
      <c r="BW109" s="307"/>
      <c r="BX109" s="307"/>
      <c r="BY109" s="26" t="e">
        <f>INDEX($K$3:$K$19,MATCH(BY106,$E$3:$E$19,0))</f>
        <v>#N/A</v>
      </c>
      <c r="BZ109" s="25" t="str">
        <f>IF($A$25="mm","Pa","psi")</f>
        <v>psi</v>
      </c>
      <c r="CA109" s="11" t="str">
        <f>IF(BY$63=0,"N/A",IF(BY109=0,"BLANK","EQ"))</f>
        <v>N/A</v>
      </c>
      <c r="CC109" s="35"/>
      <c r="CD109" s="124"/>
      <c r="CE109" s="307" t="s">
        <v>659</v>
      </c>
      <c r="CF109" s="307"/>
      <c r="CG109" s="307"/>
      <c r="CH109" s="307"/>
      <c r="CI109" s="26" t="e">
        <f>INDEX($K$3:$K$19,MATCH(CI106,$E$3:$E$19,0))</f>
        <v>#N/A</v>
      </c>
      <c r="CJ109" s="25" t="str">
        <f>IF($A$25="mm","Pa","psi")</f>
        <v>psi</v>
      </c>
      <c r="CK109" s="11" t="str">
        <f>IF(CI$63=0,"N/A",IF(CI109=0,"BLANK","EQ"))</f>
        <v>N/A</v>
      </c>
      <c r="CM109" s="35"/>
      <c r="CN109" s="124"/>
      <c r="CO109" s="307" t="s">
        <v>659</v>
      </c>
      <c r="CP109" s="307"/>
      <c r="CQ109" s="307"/>
      <c r="CR109" s="307"/>
      <c r="CS109" s="26" t="e">
        <f>INDEX($K$3:$K$19,MATCH(CS106,$E$3:$E$19,0))</f>
        <v>#N/A</v>
      </c>
      <c r="CT109" s="25" t="str">
        <f>IF($A$25="mm","Pa","psi")</f>
        <v>psi</v>
      </c>
      <c r="CU109" s="11" t="str">
        <f>IF(CS$63=0,"N/A",IF(CS109=0,"BLANK","EQ"))</f>
        <v>N/A</v>
      </c>
      <c r="CW109" s="35"/>
      <c r="CX109" s="124"/>
      <c r="CY109" s="307" t="s">
        <v>659</v>
      </c>
      <c r="CZ109" s="307"/>
      <c r="DA109" s="307"/>
      <c r="DB109" s="307"/>
      <c r="DC109" s="26" t="e">
        <f>INDEX($K$3:$K$19,MATCH(DC106,$E$3:$E$19,0))</f>
        <v>#N/A</v>
      </c>
      <c r="DD109" s="25" t="str">
        <f>IF($A$25="mm","Pa","psi")</f>
        <v>psi</v>
      </c>
      <c r="DE109" s="11" t="str">
        <f>IF(DC$63=0,"N/A",IF(DC109=0,"BLANK","EQ"))</f>
        <v>N/A</v>
      </c>
      <c r="DG109" s="35"/>
      <c r="DH109" s="124"/>
      <c r="DI109" s="307" t="s">
        <v>659</v>
      </c>
      <c r="DJ109" s="307"/>
      <c r="DK109" s="307"/>
      <c r="DL109" s="307"/>
      <c r="DM109" s="26" t="e">
        <f>INDEX($K$3:$K$19,MATCH(DM106,$E$3:$E$19,0))</f>
        <v>#N/A</v>
      </c>
      <c r="DN109" s="25" t="str">
        <f>IF($A$25="mm","Pa","psi")</f>
        <v>psi</v>
      </c>
      <c r="DO109" s="11" t="str">
        <f>IF(DM$63=0,"N/A",IF(DM109=0,"BLANK","EQ"))</f>
        <v>N/A</v>
      </c>
    </row>
    <row r="110" spans="1:119" ht="15" customHeight="1" thickBot="1" x14ac:dyDescent="0.25">
      <c r="A110" s="11"/>
      <c r="B110" s="11"/>
      <c r="C110" s="11"/>
      <c r="D110" s="11"/>
      <c r="E110" s="11"/>
      <c r="F110" s="15" t="s">
        <v>782</v>
      </c>
      <c r="G110" s="190"/>
      <c r="H110" s="35"/>
      <c r="I110" s="11" t="str">
        <f>IF(G110="","BLANK","EQ")</f>
        <v>BLANK</v>
      </c>
      <c r="K110" s="22" t="s">
        <v>706</v>
      </c>
      <c r="L110" s="11" t="str">
        <f ca="1">IF($A$25="mm",Q106/1000,Q106)</f>
        <v>Layup</v>
      </c>
      <c r="M110" s="25" t="str">
        <f>IF($A$25="mm","m","in")</f>
        <v>in</v>
      </c>
      <c r="N110" s="180" t="s">
        <v>707</v>
      </c>
      <c r="O110" s="181" t="e">
        <f ca="1">L112*L113</f>
        <v>#VALUE!</v>
      </c>
      <c r="P110" s="50" t="str">
        <f>IF($A$25="mm","m^2","in^2")</f>
        <v>in^2</v>
      </c>
      <c r="Q110" s="180" t="s">
        <v>708</v>
      </c>
      <c r="R110" s="181" t="e">
        <f ca="1">(L112*L113^3)/12</f>
        <v>#VALUE!</v>
      </c>
      <c r="S110" s="50" t="str">
        <f>IF($A$25="mm","m^4","in^4")</f>
        <v>in^4</v>
      </c>
      <c r="U110" s="15"/>
      <c r="V110" s="124"/>
      <c r="W110" s="124"/>
      <c r="X110" s="124"/>
      <c r="Y110" s="124"/>
      <c r="Z110" s="188" t="str">
        <f>IF(AA65=0,"",IF(AA100="Continuous","Mount centerline length at accumulator skin:",IF(AA100="Welded","Total weld perimeter:","")))</f>
        <v/>
      </c>
      <c r="AA110" s="192"/>
      <c r="AB110" s="25" t="str">
        <f>IF($A$25="mm","mm","in")</f>
        <v>in</v>
      </c>
      <c r="AC110" s="128" t="str">
        <f>IF(AA65=0,"N/A",IF(NOT(OR(AA100="Continuous",AA100="Welded")),"N/A",IF(AA110="","BLANK","EQ")))</f>
        <v>N/A</v>
      </c>
      <c r="AE110" s="15"/>
      <c r="AF110" s="124"/>
      <c r="AG110" s="124"/>
      <c r="AH110" s="124"/>
      <c r="AI110" s="124"/>
      <c r="AJ110" s="188" t="str">
        <f>IF(AK65=0,"",IF(AK100="Continuous","Mount centerline length at accumulator skin:",IF(AK100="Welded","Total weld perimeter:","")))</f>
        <v/>
      </c>
      <c r="AK110" s="192"/>
      <c r="AL110" s="25" t="str">
        <f>IF($A$25="mm","mm","in")</f>
        <v>in</v>
      </c>
      <c r="AM110" s="128" t="str">
        <f>IF(AK65=0,"N/A",IF(NOT(OR(AK100="Continuous",AK100="Welded")),"N/A",IF(AK110="","BLANK","EQ")))</f>
        <v>N/A</v>
      </c>
      <c r="AO110" s="15"/>
      <c r="AP110" s="124"/>
      <c r="AQ110" s="124"/>
      <c r="AR110" s="124"/>
      <c r="AS110" s="124"/>
      <c r="AT110" s="188" t="str">
        <f>IF(AU65=0,"",IF(AU100="Continuous","Mount centerline length at accumulator skin:",IF(AU100="Welded","Total weld perimeter:","")))</f>
        <v/>
      </c>
      <c r="AU110" s="192"/>
      <c r="AV110" s="25" t="str">
        <f>IF($A$25="mm","mm","in")</f>
        <v>in</v>
      </c>
      <c r="AW110" s="128" t="str">
        <f>IF(AU65=0,"N/A",IF(NOT(OR(AU100="Continuous",AU100="Welded")),"N/A",IF(AU110="","BLANK","EQ")))</f>
        <v>N/A</v>
      </c>
      <c r="AY110" s="15"/>
      <c r="AZ110" s="124"/>
      <c r="BA110" s="124"/>
      <c r="BB110" s="124"/>
      <c r="BC110" s="124"/>
      <c r="BD110" s="188" t="str">
        <f>IF(BE65=0,"",IF(BE100="Continuous","Mount centerline length at accumulator skin:",IF(BE100="Welded","Total weld perimeter:","")))</f>
        <v/>
      </c>
      <c r="BE110" s="192"/>
      <c r="BF110" s="25" t="str">
        <f>IF($A$25="mm","mm","in")</f>
        <v>in</v>
      </c>
      <c r="BG110" s="128" t="str">
        <f>IF(BE65=0,"N/A",IF(NOT(OR(BE100="Continuous",BE100="Welded")),"N/A",IF(BE110="","BLANK","EQ")))</f>
        <v>N/A</v>
      </c>
      <c r="BI110" s="15"/>
      <c r="BJ110" s="124"/>
      <c r="BK110" s="124"/>
      <c r="BL110" s="124"/>
      <c r="BM110" s="124"/>
      <c r="BN110" s="188" t="str">
        <f>IF(BO65=0,"",IF(BO100="Continuous","Mount centerline length at accumulator skin:",IF(BO100="Welded","Total weld perimeter:","")))</f>
        <v/>
      </c>
      <c r="BO110" s="192"/>
      <c r="BP110" s="25" t="str">
        <f>IF($A$25="mm","mm","in")</f>
        <v>in</v>
      </c>
      <c r="BQ110" s="128" t="str">
        <f>IF(BO65=0,"N/A",IF(NOT(OR(BO100="Continuous",BO100="Welded")),"N/A",IF(BO110="","BLANK","EQ")))</f>
        <v>N/A</v>
      </c>
      <c r="BS110" s="35"/>
      <c r="BT110" s="124"/>
      <c r="BU110" s="15"/>
      <c r="BV110" s="15"/>
      <c r="BW110" s="15"/>
      <c r="BX110" s="15" t="str">
        <f>IF(BY63=0,"","Chassis total skin/wall thickness:")</f>
        <v/>
      </c>
      <c r="BY110" s="16"/>
      <c r="BZ110" s="25" t="str">
        <f>IF($A$25="mm","mm","in")</f>
        <v>in</v>
      </c>
      <c r="CA110" s="11" t="str">
        <f>IF(BY63=0,"N/A",IF(OR(BY110="",BY110=0),"BLANK","EQ"))</f>
        <v>N/A</v>
      </c>
      <c r="CC110" s="35"/>
      <c r="CD110" s="124"/>
      <c r="CE110" s="15"/>
      <c r="CF110" s="15"/>
      <c r="CG110" s="15"/>
      <c r="CH110" s="15" t="str">
        <f>IF(CI63=0,"","Chassis skin/wall thickness:")</f>
        <v/>
      </c>
      <c r="CI110" s="16"/>
      <c r="CJ110" s="25" t="str">
        <f>IF($A$25="mm","mm","in")</f>
        <v>in</v>
      </c>
      <c r="CK110" s="11" t="str">
        <f>IF(CI63=0,"N/A",IF(OR(CI110="",CI110=0),"BLANK","EQ"))</f>
        <v>N/A</v>
      </c>
      <c r="CM110" s="35"/>
      <c r="CN110" s="124"/>
      <c r="CO110" s="15"/>
      <c r="CP110" s="15"/>
      <c r="CQ110" s="15"/>
      <c r="CR110" s="15" t="str">
        <f>IF(CS63=0,"","Chassis skin/wall thickness:")</f>
        <v/>
      </c>
      <c r="CS110" s="16"/>
      <c r="CT110" s="25" t="str">
        <f>IF($A$25="mm","mm","in")</f>
        <v>in</v>
      </c>
      <c r="CU110" s="11" t="str">
        <f>IF(CS63=0,"N/A",IF(OR(CS110="",CS110=0),"BLANK","EQ"))</f>
        <v>N/A</v>
      </c>
      <c r="CW110" s="35"/>
      <c r="CX110" s="124"/>
      <c r="CY110" s="15"/>
      <c r="CZ110" s="15"/>
      <c r="DA110" s="15"/>
      <c r="DB110" s="15" t="str">
        <f>IF(DC63=0,"","Chassis skin/wall thickness:")</f>
        <v/>
      </c>
      <c r="DC110" s="16"/>
      <c r="DD110" s="25" t="str">
        <f>IF($A$25="mm","mm","in")</f>
        <v>in</v>
      </c>
      <c r="DE110" s="11" t="str">
        <f>IF(DC63=0,"N/A",IF(OR(DC110="",DC110=0),"BLANK","EQ"))</f>
        <v>N/A</v>
      </c>
      <c r="DG110" s="35"/>
      <c r="DH110" s="124"/>
      <c r="DI110" s="15"/>
      <c r="DJ110" s="15"/>
      <c r="DK110" s="15"/>
      <c r="DL110" s="15" t="str">
        <f>IF(DM63=0,"","Chassis skin/wall thickness:")</f>
        <v/>
      </c>
      <c r="DM110" s="16"/>
      <c r="DN110" s="25" t="str">
        <f>IF($A$25="mm","mm","in")</f>
        <v>in</v>
      </c>
      <c r="DO110" s="11" t="str">
        <f>IF(DM63=0,"N/A",IF(OR(DM110="",DM110=0),"BLANK","EQ"))</f>
        <v>N/A</v>
      </c>
    </row>
    <row r="111" spans="1:119" ht="15" customHeight="1" thickBot="1" x14ac:dyDescent="0.25">
      <c r="A111" s="11"/>
      <c r="B111" s="11"/>
      <c r="C111" s="11"/>
      <c r="D111" s="11"/>
      <c r="E111" s="11"/>
      <c r="F111" s="15" t="s">
        <v>775</v>
      </c>
      <c r="G111" s="82"/>
      <c r="H111" s="25" t="str">
        <f>IF($A$25="mm","mm","in")</f>
        <v>in</v>
      </c>
      <c r="I111" s="11" t="str">
        <f>IF(G111="","BLANK","EQ")</f>
        <v>BLANK</v>
      </c>
      <c r="K111" s="22" t="s">
        <v>711</v>
      </c>
      <c r="L111" s="11">
        <f>IF($A$25="mm",Q104/1000,Q104)</f>
        <v>0</v>
      </c>
      <c r="M111" s="25" t="str">
        <f>IF($A$25="mm","m","in")</f>
        <v>in</v>
      </c>
      <c r="N111" s="180" t="s">
        <v>712</v>
      </c>
      <c r="O111" s="182" t="e">
        <f ca="1">L110/2</f>
        <v>#VALUE!</v>
      </c>
      <c r="P111" s="50" t="str">
        <f>IF($A$25="mm","m","in")</f>
        <v>in</v>
      </c>
      <c r="Q111" s="180" t="s">
        <v>713</v>
      </c>
      <c r="R111" s="181" t="e">
        <f ca="1">IF(O113="","",R109+(O109*(O113-O111)^2))</f>
        <v>#VALUE!</v>
      </c>
      <c r="S111" s="50" t="str">
        <f>IF($A$25="mm","m^4","in^4")</f>
        <v>in^4</v>
      </c>
      <c r="U111" s="15"/>
      <c r="V111" s="124"/>
      <c r="W111" s="124"/>
      <c r="X111" s="124"/>
      <c r="Y111" s="124"/>
      <c r="Z111" s="188" t="str">
        <f>IF(AA65=0,"",IF(OR(AA100="Continuous",AA100="Welded"),"Thickness is assumed = skin thickness:",""))</f>
        <v/>
      </c>
      <c r="AA111" s="128">
        <f>AA99</f>
        <v>0</v>
      </c>
      <c r="AB111" s="25" t="str">
        <f>IF($A$25="mm","mm","in")</f>
        <v>in</v>
      </c>
      <c r="AC111" s="128" t="str">
        <f>IF(AA65=0,"N/A",IF(NOT(OR(AA100="Continuous",AA100="Welded")),"N/A",IF(AA111="","BLANK","EQ")))</f>
        <v>N/A</v>
      </c>
      <c r="AE111" s="15"/>
      <c r="AF111" s="124"/>
      <c r="AG111" s="124"/>
      <c r="AH111" s="124"/>
      <c r="AI111" s="124"/>
      <c r="AJ111" s="188" t="str">
        <f>IF(AK65=0,"",IF(OR(AK100="Continuous",AK100="Welded"),"Thickness is assumed = skin thickness:",""))</f>
        <v/>
      </c>
      <c r="AK111" s="128">
        <f>AK99</f>
        <v>0</v>
      </c>
      <c r="AL111" s="25" t="str">
        <f>IF($A$25="mm","mm","in")</f>
        <v>in</v>
      </c>
      <c r="AM111" s="128" t="str">
        <f>IF(AK65=0,"N/A",IF(NOT(OR(AK100="Continuous",AK100="Welded")),"N/A",IF(AK111="","BLANK","EQ")))</f>
        <v>N/A</v>
      </c>
      <c r="AO111" s="15"/>
      <c r="AP111" s="124"/>
      <c r="AQ111" s="124"/>
      <c r="AR111" s="124"/>
      <c r="AS111" s="124"/>
      <c r="AT111" s="188" t="str">
        <f>IF(AU65=0,"",IF(OR(AU100="Continuous",AU100="Welded"),"Thickness is assumed = skin thickness:",""))</f>
        <v/>
      </c>
      <c r="AU111" s="128">
        <f>AU99</f>
        <v>0</v>
      </c>
      <c r="AV111" s="25" t="str">
        <f>IF($A$25="mm","mm","in")</f>
        <v>in</v>
      </c>
      <c r="AW111" s="128" t="str">
        <f>IF(AU65=0,"N/A",IF(NOT(OR(AU100="Continuous",AU100="Welded")),"N/A",IF(AU111="","BLANK","EQ")))</f>
        <v>N/A</v>
      </c>
      <c r="AY111" s="15"/>
      <c r="AZ111" s="124"/>
      <c r="BA111" s="124"/>
      <c r="BB111" s="124"/>
      <c r="BC111" s="124"/>
      <c r="BD111" s="188" t="str">
        <f>IF(BE65=0,"",IF(OR(BE100="Continuous",BE100="Welded"),"Thickness is assumed = skin thickness:",""))</f>
        <v/>
      </c>
      <c r="BE111" s="128">
        <f>BE99</f>
        <v>0</v>
      </c>
      <c r="BF111" s="25" t="str">
        <f>IF($A$25="mm","mm","in")</f>
        <v>in</v>
      </c>
      <c r="BG111" s="128" t="str">
        <f>IF(BE65=0,"N/A",IF(NOT(OR(BE100="Continuous",BE100="Welded")),"N/A",IF(BE111="","BLANK","EQ")))</f>
        <v>N/A</v>
      </c>
      <c r="BI111" s="15"/>
      <c r="BJ111" s="124"/>
      <c r="BK111" s="124"/>
      <c r="BL111" s="124"/>
      <c r="BM111" s="124"/>
      <c r="BN111" s="188" t="str">
        <f>IF(BO65=0,"",IF(OR(BO100="Continuous",BO100="Welded"),"Thickness is assumed = skin thickness:",""))</f>
        <v/>
      </c>
      <c r="BO111" s="128">
        <f>BO99</f>
        <v>0</v>
      </c>
      <c r="BP111" s="25" t="str">
        <f>IF($A$25="mm","mm","in")</f>
        <v>in</v>
      </c>
      <c r="BQ111" s="128" t="str">
        <f>IF(BO65=0,"N/A",IF(NOT(OR(BO100="Continuous",BO100="Welded")),"N/A",IF(BO111="","BLANK","EQ")))</f>
        <v>N/A</v>
      </c>
      <c r="BS111" s="35" t="s">
        <v>770</v>
      </c>
      <c r="BT111" s="11"/>
      <c r="BU111" s="11"/>
      <c r="BV111" s="11"/>
      <c r="BW111" s="11"/>
      <c r="BX111" s="15" t="str">
        <f>IF(BY63=0,"","Mount interface with chassis:")</f>
        <v/>
      </c>
      <c r="BY111" s="298"/>
      <c r="BZ111" s="300"/>
      <c r="CA111" s="11" t="str">
        <f>IF(BY63=0,"N/A",IF(BY111="","BLANK",IF(AND(BY111="Welded",OR(CA77="REJECT",CA106="REJECT")),"REJECT","EQ")))</f>
        <v>N/A</v>
      </c>
      <c r="CC111" s="35" t="s">
        <v>770</v>
      </c>
      <c r="CD111" s="11"/>
      <c r="CE111" s="11"/>
      <c r="CF111" s="11"/>
      <c r="CG111" s="11"/>
      <c r="CH111" s="15" t="str">
        <f>IF(CI63=0,"","Mount interface with chassis:")</f>
        <v/>
      </c>
      <c r="CI111" s="298"/>
      <c r="CJ111" s="300"/>
      <c r="CK111" s="11" t="str">
        <f>IF(CI63=0,"N/A",IF(CI111="","BLANK",IF(AND(CI111="Welded",OR(CK77="REJECT",CK106="REJECT")),"REJECT","EQ")))</f>
        <v>N/A</v>
      </c>
      <c r="CM111" s="35" t="s">
        <v>770</v>
      </c>
      <c r="CN111" s="11"/>
      <c r="CO111" s="11"/>
      <c r="CP111" s="11"/>
      <c r="CQ111" s="11"/>
      <c r="CR111" s="15" t="str">
        <f>IF(CS63=0,"","Mount interface with chassis:")</f>
        <v/>
      </c>
      <c r="CS111" s="298"/>
      <c r="CT111" s="300"/>
      <c r="CU111" s="11" t="str">
        <f>IF(CS63=0,"N/A",IF(CS111="","BLANK",IF(AND(CS111="Welded",OR(CU77="REJECT",CU106="REJECT")),"REJECT","EQ")))</f>
        <v>N/A</v>
      </c>
      <c r="CW111" s="35" t="s">
        <v>770</v>
      </c>
      <c r="CX111" s="11"/>
      <c r="CY111" s="11"/>
      <c r="CZ111" s="11"/>
      <c r="DA111" s="11"/>
      <c r="DB111" s="15" t="str">
        <f>IF(DC63=0,"","Mount interface with chassis:")</f>
        <v/>
      </c>
      <c r="DC111" s="298"/>
      <c r="DD111" s="300"/>
      <c r="DE111" s="11" t="str">
        <f>IF(DC63=0,"N/A",IF(DC111="","BLANK",IF(AND(DC111="Welded",OR(DE77="REJECT",DE106="REJECT")),"REJECT","EQ")))</f>
        <v>N/A</v>
      </c>
      <c r="DG111" s="35" t="s">
        <v>770</v>
      </c>
      <c r="DH111" s="11"/>
      <c r="DI111" s="11"/>
      <c r="DJ111" s="11"/>
      <c r="DK111" s="11"/>
      <c r="DL111" s="15" t="str">
        <f>IF(DM63=0,"","Mount interface with chassis:")</f>
        <v/>
      </c>
      <c r="DM111" s="298"/>
      <c r="DN111" s="300"/>
      <c r="DO111" s="11" t="str">
        <f>IF(DM63=0,"N/A",IF(DM111="","BLANK",IF(AND(DM111="Welded",OR(DO77="REJECT",DO106="REJECT")),"REJECT","EQ")))</f>
        <v>N/A</v>
      </c>
    </row>
    <row r="112" spans="1:119" ht="15" customHeight="1" x14ac:dyDescent="0.2">
      <c r="A112" s="11"/>
      <c r="B112" s="11"/>
      <c r="C112" s="11"/>
      <c r="D112" s="11"/>
      <c r="E112" s="11"/>
      <c r="F112" s="15" t="s">
        <v>776</v>
      </c>
      <c r="G112" s="82"/>
      <c r="H112" s="25" t="str">
        <f>IF($A$25="mm","mm^2","in^2")</f>
        <v>in^2</v>
      </c>
      <c r="I112" s="11" t="str">
        <f>IF(G112="","BLANK","EQ")</f>
        <v>BLANK</v>
      </c>
      <c r="K112" s="11" t="s">
        <v>717</v>
      </c>
      <c r="L112" s="11">
        <f>IF($A$25="mm",Q100/1000,Q100)</f>
        <v>0</v>
      </c>
      <c r="M112" s="25" t="str">
        <f>IF($A$25="mm","m","in")</f>
        <v>in</v>
      </c>
      <c r="N112" s="180" t="s">
        <v>718</v>
      </c>
      <c r="O112" s="182" t="e">
        <f ca="1">(L111-0.5*L113)</f>
        <v>#VALUE!</v>
      </c>
      <c r="P112" s="50" t="str">
        <f>IF($A$25="mm","m","in")</f>
        <v>in</v>
      </c>
      <c r="Q112" s="180" t="s">
        <v>719</v>
      </c>
      <c r="R112" s="181" t="e">
        <f ca="1">IF(O113="","",R110+(O110*(O113-O112)^2))</f>
        <v>#VALUE!</v>
      </c>
      <c r="S112" s="50" t="str">
        <f>IF($A$25="mm","m^4","in^4")</f>
        <v>in^4</v>
      </c>
      <c r="U112" s="12"/>
      <c r="V112" s="15"/>
      <c r="W112" s="15"/>
      <c r="X112" s="15"/>
      <c r="Y112" s="15"/>
      <c r="Z112" s="15" t="str">
        <f>IF(AA65=0,"",IF(OR(AA100="Continuous",AA100="Welded"),"Shear strength &gt;= Test Load:",""))</f>
        <v/>
      </c>
      <c r="AA112" s="26" t="str">
        <f>IF(AA110="","",AA98*AA110*AA111*IF($A$25="mm",1/10^6,1))</f>
        <v/>
      </c>
      <c r="AB112" s="177" t="str">
        <f>IF(AA110="","",AA112/$U$23)</f>
        <v/>
      </c>
      <c r="AC112" s="128" t="str">
        <f>IF(AA65=0,"N/A",IF(NOT(OR(AA100="Continuous",AA100="Welded")),"N/A",IF(AB112&lt;1,"REJECT","EQ")))</f>
        <v>N/A</v>
      </c>
      <c r="AF112" s="15"/>
      <c r="AG112" s="15"/>
      <c r="AH112" s="15"/>
      <c r="AI112" s="15"/>
      <c r="AJ112" s="15" t="str">
        <f>IF(AK65=0,"",IF(OR(AK100="Continuous",AK100="Welded"),"Shear strength &gt;= Test Load:",""))</f>
        <v/>
      </c>
      <c r="AK112" s="26" t="str">
        <f>IF(AK110="","",AK98*AK110*AK111*IF($A$25="mm",1/10^6,1))</f>
        <v/>
      </c>
      <c r="AL112" s="177" t="str">
        <f>IF(AK110="","",AK112/$U$23)</f>
        <v/>
      </c>
      <c r="AM112" s="128" t="str">
        <f>IF(AK65=0,"N/A",IF(NOT(OR(AK100="Continuous",AK100="Welded")),"N/A",IF(AL112&lt;1,"REJECT","EQ")))</f>
        <v>N/A</v>
      </c>
      <c r="AO112" s="12"/>
      <c r="AP112" s="15"/>
      <c r="AQ112" s="15"/>
      <c r="AR112" s="15"/>
      <c r="AS112" s="15"/>
      <c r="AT112" s="15" t="str">
        <f>IF(AU65=0,"",IF(OR(AU100="Continuous",AU100="Welded"),"Shear strength &gt;= Test Load:",""))</f>
        <v/>
      </c>
      <c r="AU112" s="26" t="str">
        <f>IF(AU110="","",AU98*AU110*AU111*IF($A$25="mm",1/10^6,1))</f>
        <v/>
      </c>
      <c r="AV112" s="177" t="str">
        <f>IF(AU110="","",AU112/$U$23)</f>
        <v/>
      </c>
      <c r="AW112" s="128" t="str">
        <f>IF(AU65=0,"N/A",IF(NOT(OR(AU100="Continuous",AU100="Welded")),"N/A",IF(AV112&lt;1,"REJECT","EQ")))</f>
        <v>N/A</v>
      </c>
      <c r="AY112" s="12"/>
      <c r="AZ112" s="15"/>
      <c r="BA112" s="15"/>
      <c r="BB112" s="15"/>
      <c r="BC112" s="15"/>
      <c r="BD112" s="15" t="str">
        <f>IF(BE65=0,"",IF(OR(BE100="Continuous",BE100="Welded"),"Shear strength &gt;= Test Load:",""))</f>
        <v/>
      </c>
      <c r="BE112" s="26" t="str">
        <f>IF(BE110="","",BE98*BE110*BE111*IF($A$25="mm",1/10^6,1))</f>
        <v/>
      </c>
      <c r="BF112" s="177" t="str">
        <f>IF(BE110="","",BE112/$U$23)</f>
        <v/>
      </c>
      <c r="BG112" s="128" t="str">
        <f>IF(BE65=0,"N/A",IF(NOT(OR(BE100="Continuous",BE100="Welded")),"N/A",IF(BF112&lt;1,"REJECT","EQ")))</f>
        <v>N/A</v>
      </c>
      <c r="BI112" s="12"/>
      <c r="BJ112" s="15"/>
      <c r="BK112" s="15"/>
      <c r="BL112" s="15"/>
      <c r="BM112" s="15"/>
      <c r="BN112" s="15" t="str">
        <f>IF(BO65=0,"",IF(OR(BO100="Continuous",BO100="Welded"),"Shear strength &gt;= Test Load:",""))</f>
        <v/>
      </c>
      <c r="BO112" s="26" t="str">
        <f>IF(BO110="","",BO98*BO110*BO111*IF($A$25="mm",1/10^6,1))</f>
        <v/>
      </c>
      <c r="BP112" s="177" t="str">
        <f>IF(BO110="","",BO112/$U$23)</f>
        <v/>
      </c>
      <c r="BQ112" s="128" t="str">
        <f>IF(BO65=0,"N/A",IF(NOT(OR(BO100="Continuous",BO100="Welded")),"N/A",IF(BP112&lt;1,"REJECT","EQ")))</f>
        <v>N/A</v>
      </c>
      <c r="BS112" s="35"/>
      <c r="BT112" s="124"/>
      <c r="BU112" s="15"/>
      <c r="BV112" s="15"/>
      <c r="BW112" s="15"/>
      <c r="BX112" s="15" t="str">
        <f>IF(BY63=0,"",IF(NOT(BY111="Bolted"),"","--Tearout--Min fastener spacing, accumulator edge, or corner distance:"))</f>
        <v/>
      </c>
      <c r="BY112" s="16"/>
      <c r="BZ112" s="25" t="str">
        <f>IF($A$25="mm","mm","in")</f>
        <v>in</v>
      </c>
      <c r="CA112" s="11" t="str">
        <f>IF(BY63=0,"N/A",IF(NOT(BY111="Bolted"),"N/A",IF(BY112="","BLANK","EQ")))</f>
        <v>N/A</v>
      </c>
      <c r="CC112" s="35"/>
      <c r="CD112" s="124"/>
      <c r="CE112" s="15"/>
      <c r="CF112" s="15"/>
      <c r="CG112" s="15"/>
      <c r="CH112" s="15" t="str">
        <f>IF(CI63=0,"",IF(NOT(CI111="Bolted"),"","--Tearout--Min fastener spacing, accumulator edge, or corner distance:"))</f>
        <v/>
      </c>
      <c r="CI112" s="16"/>
      <c r="CJ112" s="25" t="str">
        <f>IF($A$25="mm","mm","in")</f>
        <v>in</v>
      </c>
      <c r="CK112" s="11" t="str">
        <f>IF(CI63=0,"N/A",IF(NOT(CI111="Bolted"),"N/A",IF(CI112="","BLANK","EQ")))</f>
        <v>N/A</v>
      </c>
      <c r="CM112" s="35"/>
      <c r="CN112" s="124"/>
      <c r="CO112" s="15"/>
      <c r="CP112" s="15"/>
      <c r="CQ112" s="15"/>
      <c r="CR112" s="15" t="str">
        <f>IF(CS63=0,"",IF(NOT(CS111="Bolted"),"","--Tearout--Min fastener spacing, accumulator edge, or corner distance:"))</f>
        <v/>
      </c>
      <c r="CS112" s="16"/>
      <c r="CT112" s="25" t="str">
        <f>IF($A$25="mm","mm","in")</f>
        <v>in</v>
      </c>
      <c r="CU112" s="11" t="str">
        <f>IF(CS63=0,"N/A",IF(NOT(CS111="Bolted"),"N/A",IF(CS112="","BLANK","EQ")))</f>
        <v>N/A</v>
      </c>
      <c r="CW112" s="35"/>
      <c r="CX112" s="124"/>
      <c r="CY112" s="15"/>
      <c r="CZ112" s="15"/>
      <c r="DA112" s="15"/>
      <c r="DB112" s="15" t="str">
        <f>IF(DC63=0,"",IF(NOT(DC111="Bolted"),"","--Tearout--Min fastener spacing, accumulator edge, or corner distance:"))</f>
        <v/>
      </c>
      <c r="DC112" s="16"/>
      <c r="DD112" s="25" t="str">
        <f>IF($A$25="mm","mm","in")</f>
        <v>in</v>
      </c>
      <c r="DE112" s="11" t="str">
        <f>IF(DC63=0,"N/A",IF(NOT(DC111="Bolted"),"N/A",IF(DC112="","BLANK","EQ")))</f>
        <v>N/A</v>
      </c>
      <c r="DG112" s="35"/>
      <c r="DH112" s="124"/>
      <c r="DI112" s="15"/>
      <c r="DJ112" s="15"/>
      <c r="DK112" s="15"/>
      <c r="DL112" s="15" t="str">
        <f>IF(DM63=0,"",IF(NOT(DM111="Bolted"),"","--Tearout--Min fastener spacing, accumulator edge, or corner distance:"))</f>
        <v/>
      </c>
      <c r="DM112" s="16"/>
      <c r="DN112" s="25" t="str">
        <f>IF($A$25="mm","mm","in")</f>
        <v>in</v>
      </c>
      <c r="DO112" s="11" t="str">
        <f>IF(DM63=0,"N/A",IF(NOT(DM111="Bolted"),"N/A",IF(DM112="","BLANK","EQ")))</f>
        <v>N/A</v>
      </c>
    </row>
    <row r="113" spans="1:119" ht="15" customHeight="1" x14ac:dyDescent="0.2">
      <c r="A113" s="11"/>
      <c r="B113" s="11"/>
      <c r="C113" s="11"/>
      <c r="D113" s="11"/>
      <c r="E113" s="11"/>
      <c r="F113" s="15" t="s">
        <v>778</v>
      </c>
      <c r="G113" s="82"/>
      <c r="H113" s="25" t="str">
        <f>IF($A$25="mm","mm^4","in^4")</f>
        <v>in^4</v>
      </c>
      <c r="I113" s="11" t="str">
        <f>IF(G113="","BLANK","EQ")</f>
        <v>BLANK</v>
      </c>
      <c r="K113" s="11" t="s">
        <v>723</v>
      </c>
      <c r="L113" s="11" t="str">
        <f ca="1">IF($A$25="mm",Q107/1000,Q107)</f>
        <v>Typo</v>
      </c>
      <c r="M113" s="25" t="str">
        <f>IF($A$25="mm","m","in")</f>
        <v>in</v>
      </c>
      <c r="N113" s="180" t="s">
        <v>724</v>
      </c>
      <c r="O113" s="182">
        <f ca="1">IF(OR(Q100="",Q106="",Q107=""),0,(O109*O111+O110*O112)/(O109+O110))</f>
        <v>0</v>
      </c>
      <c r="P113" s="50" t="str">
        <f>IF($A$25="mm","m","in")</f>
        <v>in</v>
      </c>
      <c r="Q113" s="180" t="s">
        <v>725</v>
      </c>
      <c r="R113" s="181" t="e">
        <f ca="1">IF(O113="",0,R111+R112)</f>
        <v>#VALUE!</v>
      </c>
      <c r="S113" s="50" t="str">
        <f>IF($A$25="mm","m^4","in^4")</f>
        <v>in^4</v>
      </c>
      <c r="U113" s="12" t="s">
        <v>783</v>
      </c>
      <c r="V113" s="124"/>
      <c r="W113" s="124"/>
      <c r="X113" s="124"/>
      <c r="Y113" s="124"/>
      <c r="Z113" s="188" t="str">
        <f>IF(AA65=0,"",IF(NOT(AA100="Bonded"),"","Shear strength of adhesive:"))</f>
        <v/>
      </c>
      <c r="AA113" s="175"/>
      <c r="AB113" s="35" t="str">
        <f>IF($A$25="mm","N/mm^2","psi")</f>
        <v>psi</v>
      </c>
      <c r="AC113" s="128" t="str">
        <f>IF(AA65=0,"N/A",IF(NOT(AA100="Bonded"),"N/A",IF(AA113="","BLANK","EQ")))</f>
        <v>N/A</v>
      </c>
      <c r="AE113" s="12" t="s">
        <v>783</v>
      </c>
      <c r="AF113" s="124"/>
      <c r="AG113" s="124"/>
      <c r="AH113" s="124"/>
      <c r="AI113" s="124"/>
      <c r="AJ113" s="188" t="str">
        <f>IF(AK65=0,"",IF(NOT(AK100="Bonded"),"","Shear strength of adhesive:"))</f>
        <v/>
      </c>
      <c r="AK113" s="175"/>
      <c r="AL113" s="35" t="str">
        <f>IF($A$25="mm","N/mm^2","psi")</f>
        <v>psi</v>
      </c>
      <c r="AM113" s="128" t="str">
        <f>IF(AK65=0,"N/A",IF(NOT(AK100="Bonded"),"N/A",IF(AK113="","BLANK","EQ")))</f>
        <v>N/A</v>
      </c>
      <c r="AO113" s="12" t="s">
        <v>783</v>
      </c>
      <c r="AP113" s="124"/>
      <c r="AQ113" s="124"/>
      <c r="AR113" s="124"/>
      <c r="AS113" s="124"/>
      <c r="AT113" s="188" t="str">
        <f>IF(AU65=0,"",IF(NOT(AU100="Bonded"),"","Shear strength of adhesive:"))</f>
        <v/>
      </c>
      <c r="AU113" s="175"/>
      <c r="AV113" s="35" t="str">
        <f>IF($A$25="mm","N/mm^2","psi")</f>
        <v>psi</v>
      </c>
      <c r="AW113" s="128" t="str">
        <f>IF(AU65=0,"N/A",IF(NOT(AU100="Bonded"),"N/A",IF(AU113="","BLANK","EQ")))</f>
        <v>N/A</v>
      </c>
      <c r="AY113" s="12" t="s">
        <v>783</v>
      </c>
      <c r="AZ113" s="124"/>
      <c r="BA113" s="124"/>
      <c r="BB113" s="124"/>
      <c r="BC113" s="124"/>
      <c r="BD113" s="188" t="str">
        <f>IF(BE65=0,"",IF(NOT(BE100="Bonded"),"","Shear strength of adhesive:"))</f>
        <v/>
      </c>
      <c r="BE113" s="175"/>
      <c r="BF113" s="35" t="str">
        <f>IF($A$25="mm","N/mm^2","psi")</f>
        <v>psi</v>
      </c>
      <c r="BG113" s="128" t="str">
        <f>IF(BE65=0,"N/A",IF(NOT(BE100="Bonded"),"N/A",IF(BE113="","BLANK","EQ")))</f>
        <v>N/A</v>
      </c>
      <c r="BI113" s="12" t="s">
        <v>783</v>
      </c>
      <c r="BJ113" s="124"/>
      <c r="BK113" s="124"/>
      <c r="BL113" s="124"/>
      <c r="BM113" s="124"/>
      <c r="BN113" s="188" t="str">
        <f>IF(BO65=0,"",IF(NOT(BO100="Bonded"),"","Shear strength of adhesive:"))</f>
        <v/>
      </c>
      <c r="BO113" s="175"/>
      <c r="BP113" s="35" t="str">
        <f>IF($A$25="mm","N/mm^2","psi")</f>
        <v>psi</v>
      </c>
      <c r="BQ113" s="128" t="str">
        <f>IF(BO65=0,"N/A",IF(NOT(BO100="Bonded"),"N/A",IF(BO113="","BLANK","EQ")))</f>
        <v>N/A</v>
      </c>
      <c r="BS113" s="35"/>
      <c r="BT113" s="124"/>
      <c r="BU113" s="15"/>
      <c r="BV113" s="15"/>
      <c r="BW113" s="15"/>
      <c r="BX113" s="15" t="str">
        <f>IF(BY63=0,"",IF(NOT(BY111="Bolted"),"","Number of fasteners used:"))</f>
        <v/>
      </c>
      <c r="BY113" s="16"/>
      <c r="CA113" s="11" t="str">
        <f>IF(BY63=0,"N/A",IF(NOT(BY111="Bolted"),"N/A",IF(OR(BY113="",BY113=0),"BLANK","EQ")))</f>
        <v>N/A</v>
      </c>
      <c r="CC113" s="35"/>
      <c r="CD113" s="124"/>
      <c r="CE113" s="15"/>
      <c r="CF113" s="15"/>
      <c r="CG113" s="15"/>
      <c r="CH113" s="15" t="str">
        <f>IF(CI63=0,"",IF(NOT(CI111="Bolted"),"","Number of fasteners used:"))</f>
        <v/>
      </c>
      <c r="CI113" s="16"/>
      <c r="CK113" s="11" t="str">
        <f>IF(CI63=0,"N/A",IF(NOT(CI111="Bolted"),"N/A",IF(OR(CI113="",CI113=0),"BLANK","EQ")))</f>
        <v>N/A</v>
      </c>
      <c r="CM113" s="35"/>
      <c r="CN113" s="124"/>
      <c r="CO113" s="15"/>
      <c r="CP113" s="15"/>
      <c r="CQ113" s="15"/>
      <c r="CR113" s="15" t="str">
        <f>IF(CS63=0,"",IF(NOT(CS111="Bolted"),"","Number of fasteners used:"))</f>
        <v/>
      </c>
      <c r="CS113" s="16"/>
      <c r="CU113" s="11" t="str">
        <f>IF(CS63=0,"N/A",IF(NOT(CS111="Bolted"),"N/A",IF(OR(CS113="",CS113=0),"BLANK","EQ")))</f>
        <v>N/A</v>
      </c>
      <c r="CW113" s="35"/>
      <c r="CX113" s="124"/>
      <c r="CY113" s="15"/>
      <c r="CZ113" s="15"/>
      <c r="DA113" s="15"/>
      <c r="DB113" s="15" t="str">
        <f>IF(DC63=0,"",IF(NOT(DC111="Bolted"),"","Number of fasteners used:"))</f>
        <v/>
      </c>
      <c r="DC113" s="16"/>
      <c r="DE113" s="11" t="str">
        <f>IF(DC63=0,"N/A",IF(NOT(DC111="Bolted"),"N/A",IF(OR(DC113="",DC113=0),"BLANK","EQ")))</f>
        <v>N/A</v>
      </c>
      <c r="DG113" s="35"/>
      <c r="DH113" s="124"/>
      <c r="DI113" s="15"/>
      <c r="DJ113" s="15"/>
      <c r="DK113" s="15"/>
      <c r="DL113" s="15" t="str">
        <f>IF(DM63=0,"",IF(NOT(DM111="Bolted"),"","Number of fasteners used:"))</f>
        <v/>
      </c>
      <c r="DM113" s="16"/>
      <c r="DO113" s="11" t="str">
        <f>IF(DM63=0,"N/A",IF(NOT(DM111="Bolted"),"N/A",IF(OR(DM113="",DM113=0),"BLANK","EQ")))</f>
        <v>N/A</v>
      </c>
    </row>
    <row r="114" spans="1:119" ht="15" customHeight="1" thickBot="1" x14ac:dyDescent="0.25">
      <c r="B114" s="15" t="s">
        <v>764</v>
      </c>
      <c r="C114" s="314"/>
      <c r="D114" s="341"/>
      <c r="E114" s="315"/>
      <c r="F114" s="15" t="s">
        <v>1206</v>
      </c>
      <c r="G114" s="82"/>
      <c r="H114" s="25" t="str">
        <f>IF($A$25="mm","Pa","psi")</f>
        <v>psi</v>
      </c>
      <c r="I114" s="11" t="str">
        <f>IF(OR(C114="",G114=""),"BLANK","EQ")</f>
        <v>BLANK</v>
      </c>
      <c r="K114" s="11"/>
      <c r="L114" s="11"/>
      <c r="N114" s="32"/>
      <c r="O114" s="340" t="s">
        <v>726</v>
      </c>
      <c r="P114" s="340"/>
      <c r="Q114" s="296">
        <f>P101</f>
        <v>0</v>
      </c>
      <c r="R114" s="296"/>
      <c r="U114" s="12" t="s">
        <v>783</v>
      </c>
      <c r="V114" s="124"/>
      <c r="W114" s="124"/>
      <c r="X114" s="124"/>
      <c r="Y114" s="124"/>
      <c r="Z114" s="188" t="str">
        <f>IF(AA65=0,"",IF(NOT(AA100="Bonded"),"","T-peel strength of adhesive:"))</f>
        <v/>
      </c>
      <c r="AA114" s="175"/>
      <c r="AB114" s="35" t="str">
        <f>IF($A$25="mm","N/mm^2","psi")</f>
        <v>psi</v>
      </c>
      <c r="AC114" s="128" t="str">
        <f>IF(AA65=0,"N/A",IF(NOT(AA100="Bonded"),"N/A",IF(AA114="","BLANK","EQ")))</f>
        <v>N/A</v>
      </c>
      <c r="AE114" s="12" t="s">
        <v>783</v>
      </c>
      <c r="AF114" s="124"/>
      <c r="AG114" s="124"/>
      <c r="AH114" s="124"/>
      <c r="AI114" s="124"/>
      <c r="AJ114" s="188" t="str">
        <f>IF(AK65=0,"",IF(NOT(AK100="Bonded"),"","T-peel strength of adhesive:"))</f>
        <v/>
      </c>
      <c r="AK114" s="175"/>
      <c r="AL114" s="35" t="str">
        <f>IF($A$25="mm","N/mm^2","psi")</f>
        <v>psi</v>
      </c>
      <c r="AM114" s="128" t="str">
        <f>IF(AK65=0,"N/A",IF(NOT(AK100="Bonded"),"N/A",IF(AK114="","BLANK","EQ")))</f>
        <v>N/A</v>
      </c>
      <c r="AO114" s="12" t="s">
        <v>783</v>
      </c>
      <c r="AP114" s="124"/>
      <c r="AQ114" s="124"/>
      <c r="AR114" s="124"/>
      <c r="AS114" s="124"/>
      <c r="AT114" s="188" t="str">
        <f>IF(AU65=0,"",IF(NOT(AU100="Bonded"),"","T-peel strength of adhesive:"))</f>
        <v/>
      </c>
      <c r="AU114" s="175"/>
      <c r="AV114" s="35" t="str">
        <f>IF($A$25="mm","N/mm^2","psi")</f>
        <v>psi</v>
      </c>
      <c r="AW114" s="128" t="str">
        <f>IF(AU65=0,"N/A",IF(NOT(AU100="Bonded"),"N/A",IF(AU114="","BLANK","EQ")))</f>
        <v>N/A</v>
      </c>
      <c r="AY114" s="12" t="s">
        <v>783</v>
      </c>
      <c r="AZ114" s="124"/>
      <c r="BA114" s="124"/>
      <c r="BB114" s="124"/>
      <c r="BC114" s="124"/>
      <c r="BD114" s="188" t="str">
        <f>IF(BE65=0,"",IF(NOT(BE100="Bonded"),"","T-peel strength of adhesive:"))</f>
        <v/>
      </c>
      <c r="BE114" s="175"/>
      <c r="BF114" s="35" t="str">
        <f>IF($A$25="mm","N/mm^2","psi")</f>
        <v>psi</v>
      </c>
      <c r="BG114" s="128" t="str">
        <f>IF(BE65=0,"N/A",IF(NOT(BE100="Bonded"),"N/A",IF(BE114="","BLANK","EQ")))</f>
        <v>N/A</v>
      </c>
      <c r="BI114" s="12" t="s">
        <v>783</v>
      </c>
      <c r="BJ114" s="124"/>
      <c r="BK114" s="124"/>
      <c r="BL114" s="124"/>
      <c r="BM114" s="124"/>
      <c r="BN114" s="188" t="str">
        <f>IF(BO65=0,"",IF(NOT(BO100="Bonded"),"","T-peel strength of adhesive:"))</f>
        <v/>
      </c>
      <c r="BO114" s="175"/>
      <c r="BP114" s="35" t="str">
        <f>IF($A$25="mm","N/mm^2","psi")</f>
        <v>psi</v>
      </c>
      <c r="BQ114" s="128" t="str">
        <f>IF(BO65=0,"N/A",IF(NOT(BO100="Bonded"),"N/A",IF(BO114="","BLANK","EQ")))</f>
        <v>N/A</v>
      </c>
      <c r="BS114" s="35"/>
      <c r="BT114" s="124"/>
      <c r="BU114" s="15"/>
      <c r="BV114" s="15"/>
      <c r="BW114" s="15"/>
      <c r="BX114" s="15" t="str">
        <f>IF(BY63=0,"",IF(NOT(BY111="Bolted"),"","Fastener shear diameter:"))</f>
        <v/>
      </c>
      <c r="BY114" s="81"/>
      <c r="BZ114" s="25" t="str">
        <f>IF($A$25="mm","mm","in")</f>
        <v>in</v>
      </c>
      <c r="CA114" s="11" t="str">
        <f>IF(BY63=0,"N/A",IF(NOT(BY111="Bolted"),"N/A",IF(BY114="","BLANK","EQ")))</f>
        <v>N/A</v>
      </c>
      <c r="CC114" s="35"/>
      <c r="CD114" s="124"/>
      <c r="CE114" s="15"/>
      <c r="CF114" s="15"/>
      <c r="CG114" s="15"/>
      <c r="CH114" s="15" t="str">
        <f>IF(CI63=0,"",IF(NOT(CI111="Bolted"),"","Fastener shear diameter:"))</f>
        <v/>
      </c>
      <c r="CI114" s="81"/>
      <c r="CJ114" s="25" t="str">
        <f>IF($A$25="mm","mm","in")</f>
        <v>in</v>
      </c>
      <c r="CK114" s="11" t="str">
        <f>IF(CI63=0,"N/A",IF(NOT(CI111="Bolted"),"N/A",IF(CI114="","BLANK","EQ")))</f>
        <v>N/A</v>
      </c>
      <c r="CM114" s="35"/>
      <c r="CN114" s="124"/>
      <c r="CO114" s="15"/>
      <c r="CP114" s="15"/>
      <c r="CQ114" s="15"/>
      <c r="CR114" s="15" t="str">
        <f>IF(CS63=0,"",IF(NOT(CS111="Bolted"),"","Fastener shear diameter:"))</f>
        <v/>
      </c>
      <c r="CS114" s="81"/>
      <c r="CT114" s="25" t="str">
        <f>IF($A$25="mm","mm","in")</f>
        <v>in</v>
      </c>
      <c r="CU114" s="11" t="str">
        <f>IF(CS63=0,"N/A",IF(NOT(CS111="Bolted"),"N/A",IF(CS114="","BLANK","EQ")))</f>
        <v>N/A</v>
      </c>
      <c r="CW114" s="35"/>
      <c r="CX114" s="124"/>
      <c r="CY114" s="15"/>
      <c r="CZ114" s="15"/>
      <c r="DA114" s="15"/>
      <c r="DB114" s="15" t="str">
        <f>IF(DC63=0,"",IF(NOT(DC111="Bolted"),"","Fastener shear diameter:"))</f>
        <v/>
      </c>
      <c r="DC114" s="81"/>
      <c r="DD114" s="25" t="str">
        <f>IF($A$25="mm","mm","in")</f>
        <v>in</v>
      </c>
      <c r="DE114" s="11" t="str">
        <f>IF(DC63=0,"N/A",IF(NOT(DC111="Bolted"),"N/A",IF(DC114="","BLANK","EQ")))</f>
        <v>N/A</v>
      </c>
      <c r="DG114" s="35"/>
      <c r="DH114" s="124"/>
      <c r="DI114" s="15"/>
      <c r="DJ114" s="15"/>
      <c r="DK114" s="15"/>
      <c r="DL114" s="15" t="str">
        <f>IF(DM63=0,"",IF(NOT(DM111="Bolted"),"","Fastener shear diameter:"))</f>
        <v/>
      </c>
      <c r="DM114" s="81"/>
      <c r="DN114" s="25" t="str">
        <f>IF($A$25="mm","mm","in")</f>
        <v>in</v>
      </c>
      <c r="DO114" s="11" t="str">
        <f>IF(DM63=0,"N/A",IF(NOT(DM111="Bolted"),"N/A",IF(DM114="","BLANK","EQ")))</f>
        <v>N/A</v>
      </c>
    </row>
    <row r="115" spans="1:119" ht="15" customHeight="1" thickBot="1" x14ac:dyDescent="0.25">
      <c r="F115" s="15" t="s">
        <v>1207</v>
      </c>
      <c r="G115" s="82"/>
      <c r="H115" s="25" t="str">
        <f>IF($A$25="mm","Pa","psi")</f>
        <v>psi</v>
      </c>
      <c r="I115" s="11" t="str">
        <f>IF(G115="","BLANK","EQ")</f>
        <v>BLANK</v>
      </c>
      <c r="K115" s="12"/>
      <c r="L115" s="307" t="s">
        <v>729</v>
      </c>
      <c r="M115" s="307"/>
      <c r="N115" s="307"/>
      <c r="O115" s="307"/>
      <c r="P115" s="11">
        <f>IF($A$25="mm",0.9/1000,0.035)</f>
        <v>3.5000000000000003E-2</v>
      </c>
      <c r="Q115" s="11">
        <f>IF(P101="Composite",Q106+Q107,Q104)*IF($A$25="mm",1/1000,1)</f>
        <v>0</v>
      </c>
      <c r="R115" s="25" t="str">
        <f>IF($A$25="mm","m","in")</f>
        <v>in</v>
      </c>
      <c r="S115" s="11" t="str">
        <f>IF(NOT(OR(P101="Isotropic",P101="Composite")),"N/A","EQ")</f>
        <v>N/A</v>
      </c>
      <c r="U115" s="124"/>
      <c r="V115" s="124"/>
      <c r="W115" s="124"/>
      <c r="X115" s="124"/>
      <c r="Y115" s="124"/>
      <c r="Z115" s="193" t="str">
        <f>IF(AA65=0,"",IF(NOT(AA100="Bonded"),"","Minimum bond area:"))</f>
        <v/>
      </c>
      <c r="AA115" s="175"/>
      <c r="AB115" s="25" t="str">
        <f>IF($A$25="mm","mm^2","in^2")</f>
        <v>in^2</v>
      </c>
      <c r="AC115" s="128" t="str">
        <f>IF(AA65=0,"N/A",IF(NOT(AA100="Bonded"),"N/A",IF(AA115="","BLANK","EQ")))</f>
        <v>N/A</v>
      </c>
      <c r="AE115" s="124"/>
      <c r="AF115" s="124"/>
      <c r="AG115" s="124"/>
      <c r="AH115" s="124"/>
      <c r="AI115" s="124"/>
      <c r="AJ115" s="193" t="str">
        <f>IF(AK65=0,"",IF(NOT(AK100="Bonded"),"","Minimum bond area:"))</f>
        <v/>
      </c>
      <c r="AK115" s="175"/>
      <c r="AL115" s="25" t="str">
        <f>IF($A$25="mm","mm^2","in^2")</f>
        <v>in^2</v>
      </c>
      <c r="AM115" s="128" t="str">
        <f>IF(AK65=0,"N/A",IF(NOT(AK100="Bonded"),"N/A",IF(AK115="","BLANK","EQ")))</f>
        <v>N/A</v>
      </c>
      <c r="AO115" s="124"/>
      <c r="AP115" s="124"/>
      <c r="AQ115" s="124"/>
      <c r="AR115" s="124"/>
      <c r="AS115" s="124"/>
      <c r="AT115" s="193" t="str">
        <f>IF(AU65=0,"",IF(NOT(AU100="Bonded"),"","Minimum bond area:"))</f>
        <v/>
      </c>
      <c r="AU115" s="175"/>
      <c r="AV115" s="25" t="str">
        <f>IF($A$25="mm","mm^2","in^2")</f>
        <v>in^2</v>
      </c>
      <c r="AW115" s="128" t="str">
        <f>IF(AU65=0,"N/A",IF(NOT(AU100="Bonded"),"N/A",IF(AU115="","BLANK","EQ")))</f>
        <v>N/A</v>
      </c>
      <c r="AY115" s="124"/>
      <c r="AZ115" s="124"/>
      <c r="BA115" s="124"/>
      <c r="BB115" s="124"/>
      <c r="BC115" s="124"/>
      <c r="BD115" s="193" t="str">
        <f>IF(BE65=0,"",IF(NOT(BE100="Bonded"),"","Minimum bond area:"))</f>
        <v/>
      </c>
      <c r="BE115" s="175"/>
      <c r="BF115" s="25" t="str">
        <f>IF($A$25="mm","mm^2","in^2")</f>
        <v>in^2</v>
      </c>
      <c r="BG115" s="128" t="str">
        <f>IF(BE65=0,"N/A",IF(NOT(BE100="Bonded"),"N/A",IF(BE115="","BLANK","EQ")))</f>
        <v>N/A</v>
      </c>
      <c r="BI115" s="124"/>
      <c r="BJ115" s="124"/>
      <c r="BK115" s="124"/>
      <c r="BL115" s="124"/>
      <c r="BM115" s="124"/>
      <c r="BN115" s="193" t="str">
        <f>IF(BO65=0,"",IF(NOT(BO100="Bonded"),"","Minimum bond area:"))</f>
        <v/>
      </c>
      <c r="BO115" s="175"/>
      <c r="BP115" s="25" t="str">
        <f>IF($A$25="mm","mm^2","in^2")</f>
        <v>in^2</v>
      </c>
      <c r="BQ115" s="128" t="str">
        <f>IF(BO65=0,"N/A",IF(NOT(BO100="Bonded"),"N/A",IF(BO115="","BLANK","EQ")))</f>
        <v>N/A</v>
      </c>
      <c r="BS115" s="35"/>
      <c r="BT115" s="124"/>
      <c r="BU115" s="15"/>
      <c r="BV115" s="15"/>
      <c r="BW115" s="15"/>
      <c r="BX115" s="15" t="str">
        <f>IF(BY63=0,"",IF(NOT(BY111="Bolted"),"","Threads in shear:"))</f>
        <v/>
      </c>
      <c r="BY115" s="173"/>
      <c r="CA115" s="11" t="str">
        <f>IF(BY63=0,"N/A",IF(NOT(BY111="Bolted"),"N/A",IF(BY115="Yes","CHECK","EQ")))</f>
        <v>N/A</v>
      </c>
      <c r="CC115" s="35"/>
      <c r="CD115" s="124"/>
      <c r="CE115" s="15"/>
      <c r="CF115" s="15"/>
      <c r="CG115" s="15"/>
      <c r="CH115" s="15" t="str">
        <f>IF(CI63=0,"",IF(NOT(CI111="Bolted"),"","Threads in shear:"))</f>
        <v/>
      </c>
      <c r="CI115" s="173"/>
      <c r="CK115" s="11" t="str">
        <f>IF(CI63=0,"N/A",IF(NOT(CI111="Bolted"),"N/A",IF(CI115="Yes","CHECK","EQ")))</f>
        <v>N/A</v>
      </c>
      <c r="CM115" s="35"/>
      <c r="CN115" s="124"/>
      <c r="CO115" s="15"/>
      <c r="CP115" s="15"/>
      <c r="CQ115" s="15"/>
      <c r="CR115" s="15" t="str">
        <f>IF(CS63=0,"",IF(NOT(CS111="Bolted"),"","Threads in shear:"))</f>
        <v/>
      </c>
      <c r="CS115" s="173"/>
      <c r="CU115" s="11" t="str">
        <f>IF(CS63=0,"N/A",IF(NOT(CS111="Bolted"),"N/A",IF(CS115="Yes","CHECK","EQ")))</f>
        <v>N/A</v>
      </c>
      <c r="CW115" s="35"/>
      <c r="CX115" s="124"/>
      <c r="CY115" s="15"/>
      <c r="CZ115" s="15"/>
      <c r="DA115" s="15"/>
      <c r="DB115" s="15" t="str">
        <f>IF(DC63=0,"",IF(NOT(DC111="Bolted"),"","Threads in shear:"))</f>
        <v/>
      </c>
      <c r="DC115" s="173"/>
      <c r="DE115" s="11" t="str">
        <f>IF(DC63=0,"N/A",IF(NOT(DC111="Bolted"),"N/A",IF(DC115="Yes","CHECK","EQ")))</f>
        <v>N/A</v>
      </c>
      <c r="DG115" s="35"/>
      <c r="DH115" s="124"/>
      <c r="DI115" s="15"/>
      <c r="DJ115" s="15"/>
      <c r="DK115" s="15"/>
      <c r="DL115" s="15" t="str">
        <f>IF(DM63=0,"",IF(NOT(DM111="Bolted"),"","Threads in shear:"))</f>
        <v/>
      </c>
      <c r="DM115" s="173"/>
      <c r="DO115" s="11" t="str">
        <f>IF(DM63=0,"N/A",IF(NOT(DM111="Bolted"),"N/A",IF(DM115="Yes","CHECK","EQ")))</f>
        <v>N/A</v>
      </c>
    </row>
    <row r="116" spans="1:119" ht="15" customHeight="1" x14ac:dyDescent="0.2">
      <c r="A116" s="12" t="s">
        <v>784</v>
      </c>
      <c r="B116" s="11"/>
      <c r="C116" s="11"/>
      <c r="D116" s="11"/>
      <c r="E116" s="11"/>
      <c r="F116" s="15" t="s">
        <v>785</v>
      </c>
      <c r="G116" s="26">
        <f>40*$G$83*G81*IF($A$25="mm",9.81,1)</f>
        <v>0</v>
      </c>
      <c r="H116" s="25" t="e">
        <f>IF(G109="Welded","%",IF($A$25="mm","N","lbs"))</f>
        <v>#DIV/0!</v>
      </c>
      <c r="I116" s="11" t="str">
        <f>IF(G116=0,"BLANK","EQ")</f>
        <v>BLANK</v>
      </c>
      <c r="K116" s="15"/>
      <c r="L116" s="307" t="s">
        <v>731</v>
      </c>
      <c r="M116" s="307"/>
      <c r="N116" s="307"/>
      <c r="O116" s="307"/>
      <c r="P116" s="26">
        <f>Q100*P115/IF($A$25="mm",1000,1)</f>
        <v>0</v>
      </c>
      <c r="Q116" s="26">
        <f>Q100*IF(P101="Composite",O109+O110,Q115/IF($A$25="mm",1000,1))</f>
        <v>0</v>
      </c>
      <c r="R116" s="25" t="str">
        <f>IF($A$25="mm","m^2","in^2")</f>
        <v>in^2</v>
      </c>
      <c r="S116" s="11" t="str">
        <f>IF(NOT(OR(P101="Isotropic",P101="Composite")),"N/A","EQ")</f>
        <v>N/A</v>
      </c>
      <c r="U116" s="12" t="s">
        <v>786</v>
      </c>
      <c r="V116" s="15"/>
      <c r="W116" s="15"/>
      <c r="X116" s="15"/>
      <c r="Y116" s="15"/>
      <c r="Z116" s="15" t="str">
        <f>IF(AA65=0,"",IF(NOT(AA100="Bonded"),"","0.5*adhesive shear strength &gt;= Test Load:"))</f>
        <v/>
      </c>
      <c r="AA116" s="26" t="str">
        <f>IF(AA115="","",0.5*AA113*AA115)</f>
        <v/>
      </c>
      <c r="AB116" s="177" t="str">
        <f>IF(OR(AA113="",AA115=""),"",AA116/$U$23)</f>
        <v/>
      </c>
      <c r="AC116" s="128" t="str">
        <f>IF(AA65=0,"N/A",IF(NOT(AA100="Bonded"),"N/A",IF(AB116&lt;1,"REJECT","EQ")))</f>
        <v>N/A</v>
      </c>
      <c r="AE116" s="12" t="s">
        <v>786</v>
      </c>
      <c r="AF116" s="15"/>
      <c r="AG116" s="15"/>
      <c r="AH116" s="15"/>
      <c r="AI116" s="15"/>
      <c r="AJ116" s="15" t="str">
        <f>IF(AK65=0,"",IF(NOT(AK100="Bonded"),"","0.5*adhesive shear strength &gt;= Test Load:"))</f>
        <v/>
      </c>
      <c r="AK116" s="26" t="str">
        <f>IF(AK115="","",0.5*AK113*AK115)</f>
        <v/>
      </c>
      <c r="AL116" s="177" t="str">
        <f>IF(OR(AK113="",AK115=""),"",AK116/$U$23)</f>
        <v/>
      </c>
      <c r="AM116" s="128" t="str">
        <f>IF(AK65=0,"N/A",IF(NOT(AK100="Bonded"),"N/A",IF(AL116&lt;1,"REJECT","EQ")))</f>
        <v>N/A</v>
      </c>
      <c r="AO116" s="12" t="s">
        <v>786</v>
      </c>
      <c r="AP116" s="15"/>
      <c r="AQ116" s="15"/>
      <c r="AR116" s="15"/>
      <c r="AS116" s="15"/>
      <c r="AT116" s="15" t="str">
        <f>IF(AU65=0,"",IF(NOT(AU100="Bonded"),"","0.5*adhesive shear strength &gt;= Test Load:"))</f>
        <v/>
      </c>
      <c r="AU116" s="26" t="str">
        <f>IF(AU115="","",0.5*AU113*AU115)</f>
        <v/>
      </c>
      <c r="AV116" s="177" t="str">
        <f>IF(OR(AU113="",AU115=""),"",AU116/$U$23)</f>
        <v/>
      </c>
      <c r="AW116" s="128" t="str">
        <f>IF(AU65=0,"N/A",IF(NOT(AU100="Bonded"),"N/A",IF(AV116&lt;1,"REJECT","EQ")))</f>
        <v>N/A</v>
      </c>
      <c r="AY116" s="12" t="s">
        <v>786</v>
      </c>
      <c r="AZ116" s="15"/>
      <c r="BA116" s="15"/>
      <c r="BB116" s="15"/>
      <c r="BC116" s="15"/>
      <c r="BD116" s="15" t="str">
        <f>IF(BE65=0,"",IF(NOT(BE100="Bonded"),"","0.5*adhesive shear strength &gt;= Test Load:"))</f>
        <v/>
      </c>
      <c r="BE116" s="26" t="str">
        <f>IF(BE115="","",0.5*BE113*BE115)</f>
        <v/>
      </c>
      <c r="BF116" s="177" t="str">
        <f>IF(OR(BE113="",BE115=""),"",BE116/$U$23)</f>
        <v/>
      </c>
      <c r="BG116" s="128" t="str">
        <f>IF(BE65=0,"N/A",IF(NOT(BE100="Bonded"),"N/A",IF(BF116&lt;1,"REJECT","EQ")))</f>
        <v>N/A</v>
      </c>
      <c r="BI116" s="12" t="s">
        <v>786</v>
      </c>
      <c r="BJ116" s="15"/>
      <c r="BK116" s="15"/>
      <c r="BL116" s="15"/>
      <c r="BM116" s="15"/>
      <c r="BN116" s="15" t="str">
        <f>IF(BO65=0,"",IF(NOT(BO100="Bonded"),"","0.5*adhesive shear strength &gt;= Test Load:"))</f>
        <v/>
      </c>
      <c r="BO116" s="26" t="str">
        <f>IF(BO115="","",0.5*BO113*BO115)</f>
        <v/>
      </c>
      <c r="BP116" s="177" t="str">
        <f>IF(OR(BO113="",BO115=""),"",BO116/$U$23)</f>
        <v/>
      </c>
      <c r="BQ116" s="128" t="str">
        <f>IF(BO65=0,"N/A",IF(NOT(BO100="Bonded"),"N/A",IF(BP116&lt;1,"REJECT","EQ")))</f>
        <v>N/A</v>
      </c>
      <c r="BS116" s="35"/>
      <c r="BT116" s="124"/>
      <c r="BU116" s="15"/>
      <c r="BV116" s="15"/>
      <c r="BW116" s="15"/>
      <c r="BX116" s="15" t="str">
        <f>IF(BY63=0,"",IF(NOT(BY111="Bolted"),"","Fastener UTS:"))</f>
        <v/>
      </c>
      <c r="BY116" s="79"/>
      <c r="BZ116" s="25" t="str">
        <f>IF($A$25="mm","Pa","psi")</f>
        <v>psi</v>
      </c>
      <c r="CA116" s="11" t="str">
        <f>IF(BY63=0,"N/A",IF(NOT(BY111="Bolted"),"N/A",IF(OR(BY116="",BY116=0),"BLANK","EQ")))</f>
        <v>N/A</v>
      </c>
      <c r="CC116" s="35"/>
      <c r="CD116" s="124"/>
      <c r="CE116" s="15"/>
      <c r="CF116" s="15"/>
      <c r="CG116" s="15"/>
      <c r="CH116" s="15" t="str">
        <f>IF(CI63=0,"",IF(NOT(CI111="Bolted"),"","Fastener UTS:"))</f>
        <v/>
      </c>
      <c r="CI116" s="79"/>
      <c r="CJ116" s="25" t="str">
        <f>IF($A$25="mm","Pa","psi")</f>
        <v>psi</v>
      </c>
      <c r="CK116" s="11" t="str">
        <f>IF(CI63=0,"N/A",IF(NOT(CI111="Bolted"),"N/A",IF(OR(CI116="",CI116=0),"BLANK","EQ")))</f>
        <v>N/A</v>
      </c>
      <c r="CM116" s="35"/>
      <c r="CN116" s="124"/>
      <c r="CO116" s="15"/>
      <c r="CP116" s="15"/>
      <c r="CQ116" s="15"/>
      <c r="CR116" s="15" t="str">
        <f>IF(CS63=0,"",IF(NOT(CS111="Bolted"),"","Fastener UTS:"))</f>
        <v/>
      </c>
      <c r="CS116" s="79"/>
      <c r="CT116" s="25" t="str">
        <f>IF($A$25="mm","Pa","psi")</f>
        <v>psi</v>
      </c>
      <c r="CU116" s="11" t="str">
        <f>IF(CS63=0,"N/A",IF(NOT(CS111="Bolted"),"N/A",IF(OR(CS116="",CS116=0),"BLANK","EQ")))</f>
        <v>N/A</v>
      </c>
      <c r="CW116" s="35"/>
      <c r="CX116" s="124"/>
      <c r="CY116" s="15"/>
      <c r="CZ116" s="15"/>
      <c r="DA116" s="15"/>
      <c r="DB116" s="15" t="str">
        <f>IF(DC63=0,"",IF(NOT(DC111="Bolted"),"","Fastener UTS:"))</f>
        <v/>
      </c>
      <c r="DC116" s="79"/>
      <c r="DD116" s="25" t="str">
        <f>IF($A$25="mm","Pa","psi")</f>
        <v>psi</v>
      </c>
      <c r="DE116" s="11" t="str">
        <f>IF(DC63=0,"N/A",IF(NOT(DC111="Bolted"),"N/A",IF(OR(DC116="",DC116=0),"BLANK","EQ")))</f>
        <v>N/A</v>
      </c>
      <c r="DG116" s="35"/>
      <c r="DH116" s="124"/>
      <c r="DI116" s="15"/>
      <c r="DJ116" s="15"/>
      <c r="DK116" s="15"/>
      <c r="DL116" s="15" t="str">
        <f>IF(DM63=0,"",IF(NOT(DM111="Bolted"),"","Fastener UTS:"))</f>
        <v/>
      </c>
      <c r="DM116" s="79"/>
      <c r="DN116" s="25" t="str">
        <f>IF($A$25="mm","Pa","psi")</f>
        <v>psi</v>
      </c>
      <c r="DO116" s="11" t="str">
        <f>IF(DM63=0,"N/A",IF(NOT(DM111="Bolted"),"N/A",IF(OR(DM116="",DM116=0),"BLANK","EQ")))</f>
        <v>N/A</v>
      </c>
    </row>
    <row r="117" spans="1:119" x14ac:dyDescent="0.2">
      <c r="A117" s="12"/>
      <c r="B117" s="11"/>
      <c r="C117" s="11"/>
      <c r="D117" s="11"/>
      <c r="E117" s="11"/>
      <c r="F117" s="15" t="e">
        <f>IF(G111*0.5*SQRT(G112/G113)&lt;SQRT(2*PI()*G114/G115),
"No. columns * A * ( Sy-(A/EI) * (Sy*0.5*L/2pi)^2) (Johnson):",
"No. columns * pi^2 * EI / (0.5L)^2 (Euler):")</f>
        <v>#DIV/0!</v>
      </c>
      <c r="G117" s="26" t="e">
        <f>IF(G111*0.5*SQRT(G112/G113)&lt;SQRT((2*G114*PI()^2)/G115),
G110*G112*(G115-(G112/(G114*G113))*((G115*0.5*G111)/(2*PI()))^2),
G110*(PI()^2)*G114*G113/((0.5*G111)^2))</f>
        <v>#DIV/0!</v>
      </c>
      <c r="H117" s="191">
        <f>IF(G116=0,0,G117/G116)</f>
        <v>0</v>
      </c>
      <c r="I117" s="11" t="str">
        <f>IF(H117=0,"BLANK",IF(H117&lt;1,"CHECK","EQ"))</f>
        <v>BLANK</v>
      </c>
      <c r="K117" s="124"/>
      <c r="L117" s="307" t="s">
        <v>734</v>
      </c>
      <c r="M117" s="307"/>
      <c r="N117" s="307"/>
      <c r="O117" s="307"/>
      <c r="P117" s="26">
        <f>IF($A$25="mm",1/1000,1)*Q100*P115^3/12</f>
        <v>0</v>
      </c>
      <c r="Q117" s="26">
        <f>IF(P101="Composite",R113,IF($A$25="mm",1/1000,1)*Q100*Q115^3/12)</f>
        <v>0</v>
      </c>
      <c r="R117" s="25" t="str">
        <f>IF($A$25="mm","m^4","in^4")</f>
        <v>in^4</v>
      </c>
      <c r="S117" s="11" t="str">
        <f>IF(NOT(OR(P101="Isotropic",P101="Composite")),"N/A","EQ")</f>
        <v>N/A</v>
      </c>
      <c r="U117" s="11"/>
      <c r="V117" s="11"/>
      <c r="X117" s="15"/>
      <c r="Y117" s="182"/>
      <c r="Z117" s="15" t="str">
        <f>IF(AA65=0,"",IF(NOT(AA100="Bonded"),"","0.5*(0.5*T-peel)/Peel*Area &gt;= Test Load *Offset/Brace:"))</f>
        <v/>
      </c>
      <c r="AA117" s="26" t="str">
        <f>IF(AA115="","",0.5*0.5*AA114*AA115)</f>
        <v/>
      </c>
      <c r="AB117" s="177" t="str">
        <f>IF(OR(AA115="",AA114=""),"",AA117/($U$23*AA65/IF(MIN(AA86,AA88)&gt;0,MIN(AA86,AA88),AA65)))</f>
        <v/>
      </c>
      <c r="AC117" s="128" t="str">
        <f>IF(AA65=0,"N/A",IF(NOT(AA100="Bonded"),"N/A",IF(AB117&lt;1,"REJECT","EQ")))</f>
        <v>N/A</v>
      </c>
      <c r="AE117" s="11"/>
      <c r="AF117" s="11"/>
      <c r="AH117" s="15"/>
      <c r="AI117" s="182"/>
      <c r="AJ117" s="15" t="str">
        <f>IF(AK65=0,"",IF(NOT(AK100="Bonded"),"","0.5*(0.5*T-peel)/Peel*Area &gt;= Test Load *Offset/Brace:"))</f>
        <v/>
      </c>
      <c r="AK117" s="26" t="str">
        <f>IF(AK115="","",0.5*0.5*AK114*AK115)</f>
        <v/>
      </c>
      <c r="AL117" s="177" t="str">
        <f>IF(OR(AK115="",AK114=""),"",AK117/($U$23*AK65/IF(MIN(AK86,AK88)&gt;0,MIN(AK86,AK88),AK65)))</f>
        <v/>
      </c>
      <c r="AM117" s="128" t="str">
        <f>IF(AK65=0,"N/A",IF(NOT(AK100="Bonded"),"N/A",IF(AL117&lt;1,"REJECT","EQ")))</f>
        <v>N/A</v>
      </c>
      <c r="AO117" s="11"/>
      <c r="AP117" s="11"/>
      <c r="AR117" s="15"/>
      <c r="AS117" s="182"/>
      <c r="AT117" s="15" t="str">
        <f>IF(AU65=0,"",IF(NOT(AU100="Bonded"),"","0.5*(0.5*T-peel)/Peel*Area &gt;= Test Load *Offset/Brace:"))</f>
        <v/>
      </c>
      <c r="AU117" s="26" t="str">
        <f>IF(AU115="","",0.5*0.5*AU114*AU115)</f>
        <v/>
      </c>
      <c r="AV117" s="177" t="str">
        <f>IF(OR(AU115="",AU114=""),"",AU117/($U$23*AU65/IF(MIN(AU86,AU88)&gt;0,MIN(AU86,AU88),AU65)))</f>
        <v/>
      </c>
      <c r="AW117" s="128" t="str">
        <f>IF(AU65=0,"N/A",IF(NOT(AU100="Bonded"),"N/A",IF(AV117&lt;1,"REJECT","EQ")))</f>
        <v>N/A</v>
      </c>
      <c r="AY117" s="11"/>
      <c r="AZ117" s="11"/>
      <c r="BB117" s="15"/>
      <c r="BC117" s="182"/>
      <c r="BD117" s="15" t="str">
        <f>IF(BE65=0,"",IF(NOT(BE100="Bonded"),"","0.5*(0.5*T-peel)/Peel*Area &gt;= Test Load *Offset/Brace:"))</f>
        <v/>
      </c>
      <c r="BE117" s="26" t="str">
        <f>IF(BE115="","",0.5*0.5*BE114*BE115)</f>
        <v/>
      </c>
      <c r="BF117" s="177" t="str">
        <f>IF(OR(BE115="",BE114=""),"",BE117/($U$23*BE65/IF(MIN(BE86,BE88)&gt;0,MIN(BE86,BE88),BE65)))</f>
        <v/>
      </c>
      <c r="BG117" s="128" t="str">
        <f>IF(BE65=0,"N/A",IF(NOT(BE100="Bonded"),"N/A",IF(BF117&lt;1,"REJECT","EQ")))</f>
        <v>N/A</v>
      </c>
      <c r="BI117" s="11"/>
      <c r="BJ117" s="11"/>
      <c r="BL117" s="15"/>
      <c r="BM117" s="182"/>
      <c r="BN117" s="15" t="str">
        <f>IF(BO65=0,"",IF(NOT(BO100="Bonded"),"","0.5*(0.5*T-peel)/Peel*Area &gt;= Test Load *Offset/Brace:"))</f>
        <v/>
      </c>
      <c r="BO117" s="26" t="str">
        <f>IF(BO115="","",0.5*0.5*BO114*BO115)</f>
        <v/>
      </c>
      <c r="BP117" s="177" t="str">
        <f>IF(OR(BO115="",BO114=""),"",BO117/($U$23*BO65/IF(MIN(BO86,BO88)&gt;0,MIN(BO86,BO88),BO65)))</f>
        <v/>
      </c>
      <c r="BQ117" s="128" t="str">
        <f>IF(BO65=0,"N/A",IF(NOT(BO100="Bonded"),"N/A",IF(BP117&lt;1,"REJECT","EQ")))</f>
        <v>N/A</v>
      </c>
      <c r="BS117" s="35"/>
      <c r="BT117" s="124"/>
      <c r="BU117" s="15"/>
      <c r="BV117" s="15"/>
      <c r="BW117" s="15"/>
      <c r="BX117" s="15" t="str">
        <f>IF(BY63=0,"",IF(NOT(BY111="Bolted"),"","--Pullout-- Min total perimeter of all washers or inserts on one surface:"))</f>
        <v/>
      </c>
      <c r="BY117" s="16"/>
      <c r="BZ117" s="25" t="str">
        <f>IF($A$25="mm","mm","in")</f>
        <v>in</v>
      </c>
      <c r="CA117" s="11" t="str">
        <f>IF(BY63=0,"N/A",IF(NOT(BY111="Bolted"),"N/A",IF(BY117="","BLANK","EQ")))</f>
        <v>N/A</v>
      </c>
      <c r="CC117" s="35"/>
      <c r="CD117" s="124"/>
      <c r="CE117" s="15"/>
      <c r="CF117" s="15"/>
      <c r="CG117" s="15"/>
      <c r="CH117" s="15" t="str">
        <f>IF(CI63=0,"",IF(NOT(CI111="Bolted"),"","--Pullout-- Min total perimeter of all washers or inserts on one surface:"))</f>
        <v/>
      </c>
      <c r="CI117" s="16"/>
      <c r="CJ117" s="25" t="str">
        <f>IF($A$25="mm","mm","in")</f>
        <v>in</v>
      </c>
      <c r="CK117" s="11" t="str">
        <f>IF(CI63=0,"N/A",IF(NOT(CI111="Bolted"),"N/A",IF(CI117="","BLANK","EQ")))</f>
        <v>N/A</v>
      </c>
      <c r="CM117" s="35"/>
      <c r="CN117" s="124"/>
      <c r="CO117" s="15"/>
      <c r="CP117" s="15"/>
      <c r="CQ117" s="15"/>
      <c r="CR117" s="15" t="str">
        <f>IF(CS63=0,"",IF(NOT(CS111="Bolted"),"","--Pullout-- Min total perimeter of all washers or inserts on one surface:"))</f>
        <v/>
      </c>
      <c r="CS117" s="16"/>
      <c r="CT117" s="25" t="str">
        <f>IF($A$25="mm","mm","in")</f>
        <v>in</v>
      </c>
      <c r="CU117" s="11" t="str">
        <f>IF(CS63=0,"N/A",IF(NOT(CS111="Bolted"),"N/A",IF(CS117="","BLANK","EQ")))</f>
        <v>N/A</v>
      </c>
      <c r="CW117" s="35"/>
      <c r="CX117" s="124"/>
      <c r="CY117" s="15"/>
      <c r="CZ117" s="15"/>
      <c r="DA117" s="15"/>
      <c r="DB117" s="15" t="str">
        <f>IF(DC63=0,"",IF(NOT(DC111="Bolted"),"","--Pullout-- Min total perimeter of all washers or inserts on one surface:"))</f>
        <v/>
      </c>
      <c r="DC117" s="16"/>
      <c r="DD117" s="25" t="str">
        <f>IF($A$25="mm","mm","in")</f>
        <v>in</v>
      </c>
      <c r="DE117" s="11" t="str">
        <f>IF(DC63=0,"N/A",IF(NOT(DC111="Bolted"),"N/A",IF(DC117="","BLANK","EQ")))</f>
        <v>N/A</v>
      </c>
      <c r="DG117" s="35"/>
      <c r="DH117" s="124"/>
      <c r="DI117" s="15"/>
      <c r="DJ117" s="15"/>
      <c r="DK117" s="15"/>
      <c r="DL117" s="15" t="str">
        <f>IF(DM63=0,"",IF(NOT(DM111="Bolted"),"","--Pullout-- Min total perimeter of all washers or inserts on one surface:"))</f>
        <v/>
      </c>
      <c r="DM117" s="16"/>
      <c r="DN117" s="25" t="str">
        <f>IF($A$25="mm","mm","in")</f>
        <v>in</v>
      </c>
      <c r="DO117" s="11" t="str">
        <f>IF(DM63=0,"N/A",IF(NOT(DM111="Bolted"),"N/A",IF(DM117="","BLANK","EQ")))</f>
        <v>N/A</v>
      </c>
    </row>
    <row r="118" spans="1:119" x14ac:dyDescent="0.2">
      <c r="A118" s="12"/>
      <c r="B118" s="15"/>
      <c r="C118" s="15"/>
      <c r="D118" s="15"/>
      <c r="E118" s="15"/>
      <c r="F118" s="11"/>
      <c r="G118" s="11"/>
      <c r="I118" s="11"/>
      <c r="K118" s="12" t="s">
        <v>218</v>
      </c>
      <c r="L118" s="307" t="s">
        <v>651</v>
      </c>
      <c r="M118" s="307"/>
      <c r="N118" s="307"/>
      <c r="O118" s="307"/>
      <c r="P118" s="26">
        <f>$G$4</f>
        <v>29000000</v>
      </c>
      <c r="Q118" s="26" t="e">
        <f>INDEX($G$3:$G$19,MATCH(Q103,$E$3:$E$19,0))</f>
        <v>#N/A</v>
      </c>
      <c r="R118" s="25" t="str">
        <f>IF($A$25="mm","Pa","psi")</f>
        <v>psi</v>
      </c>
      <c r="S118" s="11" t="str">
        <f>IF(NOT(OR(P101="Isotropic",P101="Composite")),"N/A",IF(Q118=0,"BLANK","EQ"))</f>
        <v>N/A</v>
      </c>
      <c r="U118" s="124"/>
      <c r="V118" s="15"/>
      <c r="W118" s="15"/>
      <c r="X118" s="15"/>
      <c r="Y118" s="15"/>
      <c r="Z118" s="188" t="str">
        <f>IF(AA65=0,"",IF(NOT(AA100="Bonded"),"","Bonded Area Perimeter:"))</f>
        <v/>
      </c>
      <c r="AA118" s="82"/>
      <c r="AB118" s="25" t="str">
        <f>IF($A$25="mm","mm","in")</f>
        <v>in</v>
      </c>
      <c r="AC118" s="11" t="str">
        <f>IF(AA65=0,"N/A",IF(NOT(AA100="Bonded"),"N/A",IF(AA118="","BLANK","EQ")))</f>
        <v>N/A</v>
      </c>
      <c r="AF118" s="15"/>
      <c r="AG118" s="15"/>
      <c r="AH118" s="15"/>
      <c r="AI118" s="15"/>
      <c r="AJ118" s="188" t="str">
        <f>IF(AK65=0,"",IF(NOT(AK100="Bonded"),"","Bonded Area Perimeter:"))</f>
        <v/>
      </c>
      <c r="AK118" s="82"/>
      <c r="AL118" s="25" t="str">
        <f>IF($A$25="mm","mm","in")</f>
        <v>in</v>
      </c>
      <c r="AM118" s="11" t="str">
        <f>IF(AK65=0,"N/A",IF(NOT(AK100="Bonded"),"N/A",IF(AK118="","BLANK","EQ")))</f>
        <v>N/A</v>
      </c>
      <c r="AO118" s="124"/>
      <c r="AP118" s="15"/>
      <c r="AQ118" s="15"/>
      <c r="AR118" s="15"/>
      <c r="AS118" s="15"/>
      <c r="AT118" s="188" t="str">
        <f>IF(AU65=0,"",IF(NOT(AU100="Bonded"),"","Bonded Area Perimeter:"))</f>
        <v/>
      </c>
      <c r="AU118" s="82"/>
      <c r="AV118" s="25" t="str">
        <f>IF($A$25="mm","mm","in")</f>
        <v>in</v>
      </c>
      <c r="AW118" s="11" t="str">
        <f>IF(AU65=0,"N/A",IF(NOT(AU100="Bonded"),"N/A",IF(AU118="","BLANK","EQ")))</f>
        <v>N/A</v>
      </c>
      <c r="AY118" s="37"/>
      <c r="AZ118" s="124"/>
      <c r="BA118" s="124"/>
      <c r="BB118" s="124"/>
      <c r="BC118" s="124"/>
      <c r="BD118" s="188" t="str">
        <f>IF(BE65=0,"",IF(NOT(BE100="Bonded"),"","Bonded Area Perimeter:"))</f>
        <v/>
      </c>
      <c r="BE118" s="82"/>
      <c r="BF118" s="25" t="str">
        <f>IF($A$25="mm","mm","in")</f>
        <v>in</v>
      </c>
      <c r="BG118" s="11" t="str">
        <f>IF(BE65=0,"N/A",IF(NOT(BE100="Bonded"),"N/A",IF(BE118="","BLANK","EQ")))</f>
        <v>N/A</v>
      </c>
      <c r="BI118" s="11"/>
      <c r="BJ118" s="11"/>
      <c r="BK118" s="11"/>
      <c r="BL118" s="11"/>
      <c r="BM118" s="11"/>
      <c r="BN118" s="188" t="str">
        <f>IF(BO65=0,"",IF(NOT(BO100="Bonded"),"","Bonded Area Perimeter:"))</f>
        <v/>
      </c>
      <c r="BO118" s="82"/>
      <c r="BP118" s="25" t="str">
        <f>IF($A$25="mm","mm","in")</f>
        <v>in</v>
      </c>
      <c r="BQ118" s="11" t="str">
        <f>IF(BO65=0,"N/A",IF(NOT(BO100="Bonded"),"N/A",IF(BO118="","BLANK","EQ")))</f>
        <v>N/A</v>
      </c>
      <c r="BS118" s="35"/>
      <c r="BT118" s="124"/>
      <c r="BU118" s="15"/>
      <c r="BV118" s="15"/>
      <c r="BW118" s="15"/>
      <c r="BX118" s="15" t="str">
        <f>IF(BY63=0,"",IF(NOT(BY111="Bolted"),"","Fastener shear &gt;= Test Load:"))</f>
        <v/>
      </c>
      <c r="BY118" s="26">
        <f>0.577*BY113*BY116*PI()*((BY114/2)^2)*IF($A$25="mm",1/(10^6),1)</f>
        <v>0</v>
      </c>
      <c r="BZ118" s="177" t="str">
        <f>IF(BY118=0,"",BY118/$U$23)</f>
        <v/>
      </c>
      <c r="CA118" s="11" t="str">
        <f>IF(BY63=0,"N/A",IF(NOT(BY111="Bolted"),"N/A",IF(BZ118&lt;1,"REJECT","EQ")))</f>
        <v>N/A</v>
      </c>
      <c r="CC118" s="35"/>
      <c r="CD118" s="124"/>
      <c r="CE118" s="15"/>
      <c r="CF118" s="15"/>
      <c r="CG118" s="15"/>
      <c r="CH118" s="15" t="str">
        <f>IF(CI63=0,"",IF(NOT(CI111="Bolted"),"","Fastener shear &gt;= Test Load:"))</f>
        <v/>
      </c>
      <c r="CI118" s="26">
        <f>0.577*CI113*CI116*PI()*((CI114/2)^2)*IF($A$25="mm",1/(10^6),1)</f>
        <v>0</v>
      </c>
      <c r="CJ118" s="177" t="str">
        <f>IF(CI118=0,"",CI118/$U$23)</f>
        <v/>
      </c>
      <c r="CK118" s="11" t="str">
        <f>IF(CI63=0,"N/A",IF(NOT(CI111="Bolted"),"N/A",IF(CJ118&lt;1,"REJECT","EQ")))</f>
        <v>N/A</v>
      </c>
      <c r="CM118" s="35"/>
      <c r="CN118" s="124"/>
      <c r="CO118" s="15"/>
      <c r="CP118" s="15"/>
      <c r="CQ118" s="15"/>
      <c r="CR118" s="15" t="str">
        <f>IF(CS63=0,"",IF(NOT(CS111="Bolted"),"","Fastener shear &gt;= Test Load:"))</f>
        <v/>
      </c>
      <c r="CS118" s="26">
        <f>0.577*CS113*CS116*PI()*((CS114/2)^2)*IF($A$25="mm",1/(10^6),1)</f>
        <v>0</v>
      </c>
      <c r="CT118" s="177" t="str">
        <f>IF(CS118=0,"",CS118/$U$23)</f>
        <v/>
      </c>
      <c r="CU118" s="11" t="str">
        <f>IF(CS63=0,"N/A",IF(NOT(CS111="Bolted"),"N/A",IF(CT118&lt;1,"REJECT","EQ")))</f>
        <v>N/A</v>
      </c>
      <c r="CW118" s="35"/>
      <c r="CX118" s="124"/>
      <c r="CY118" s="15"/>
      <c r="CZ118" s="15"/>
      <c r="DA118" s="15"/>
      <c r="DB118" s="15" t="str">
        <f>IF(DC63=0,"",IF(NOT(DC111="Bolted"),"","Fastener shear &gt;= Test Load:"))</f>
        <v/>
      </c>
      <c r="DC118" s="26">
        <f>0.577*DC113*DC116*PI()*((DC114/2)^2)*IF($A$25="mm",1/(10^6),1)</f>
        <v>0</v>
      </c>
      <c r="DD118" s="177" t="str">
        <f>IF(DC118=0,"",DC118/$U$23)</f>
        <v/>
      </c>
      <c r="DE118" s="11" t="str">
        <f>IF(DC63=0,"N/A",IF(NOT(DC111="Bolted"),"N/A",IF(DD118&lt;1,"REJECT","EQ")))</f>
        <v>N/A</v>
      </c>
      <c r="DG118" s="35"/>
      <c r="DH118" s="124"/>
      <c r="DI118" s="15"/>
      <c r="DJ118" s="15"/>
      <c r="DK118" s="15"/>
      <c r="DL118" s="15" t="str">
        <f>IF(DM63=0,"",IF(NOT(DM111="Bolted"),"","Fastener shear &gt;= Test Load:"))</f>
        <v/>
      </c>
      <c r="DM118" s="26">
        <f>0.577*DM113*DM116*PI()*((DM114/2)^2)*IF($A$25="mm",1/(10^6),1)</f>
        <v>0</v>
      </c>
      <c r="DN118" s="177" t="str">
        <f>IF(DM118=0,"",DM118/$U$23)</f>
        <v/>
      </c>
      <c r="DO118" s="11" t="str">
        <f>IF(DM63=0,"N/A",IF(NOT(DM111="Bolted"),"N/A",IF(DN118&lt;1,"REJECT","EQ")))</f>
        <v>N/A</v>
      </c>
    </row>
    <row r="119" spans="1:119" ht="16" thickBot="1" x14ac:dyDescent="0.25">
      <c r="A119" s="295" t="str" cm="1">
        <f t="array" ref="A119">IF(COUNTIF(I120:I143,"BLANK"),"BLANK",IF(OR(SUMPRODUCT(--ISERROR(I120:I143))&gt;0,COUNTIF(I120:I143,"REJECT")),"REJECT",IF(COUNTIF(I120:I143,"CHECK"),"CHECK","EQ")))</f>
        <v>BLANK</v>
      </c>
      <c r="B119" s="295"/>
      <c r="C119" s="295"/>
      <c r="D119" s="295"/>
      <c r="E119" s="295"/>
      <c r="F119" s="295"/>
      <c r="G119" s="295"/>
      <c r="H119" s="295"/>
      <c r="I119" s="295"/>
      <c r="K119" s="307" t="s">
        <v>656</v>
      </c>
      <c r="L119" s="307"/>
      <c r="M119" s="307"/>
      <c r="N119" s="307"/>
      <c r="O119" s="307"/>
      <c r="P119" s="26">
        <f>$I$4</f>
        <v>43500</v>
      </c>
      <c r="Q119" s="26" t="e">
        <f>INDEX($I$3:$I$19,MATCH(Q103,$E$3:$E$19,0))</f>
        <v>#N/A</v>
      </c>
      <c r="R119" s="84" t="e">
        <f>IF(OR(Q119=0,Q119=""),0,Q119/P119)</f>
        <v>#N/A</v>
      </c>
      <c r="S119" s="11" t="str">
        <f>IF(NOT(OR(P101="Isotropic",P101="Composite")),"N/A",IF(OR(Q119="",Q119=0),"BLANK",IF(Q119&gt;=1,"EQ",IF(Q119&gt;=0.95,"CHECK","REJECT"))))</f>
        <v>N/A</v>
      </c>
      <c r="U119" s="12"/>
      <c r="V119" s="15"/>
      <c r="W119" s="15"/>
      <c r="X119" s="15"/>
      <c r="Y119" s="15"/>
      <c r="Z119" s="188" t="str">
        <f>IF(AA65=0,"",IF(NOT(AA100="Bonded"),"","Bonded Single Skin Thickness:"))</f>
        <v/>
      </c>
      <c r="AA119" s="82"/>
      <c r="AB119" s="25" t="str">
        <f>IF($A$25="mm","mm","in")</f>
        <v>in</v>
      </c>
      <c r="AC119" s="11" t="str">
        <f>IF(AA65=0,"N/A",IF(NOT(AA100="Bonded"),"N/A",IF(AA113="","BLANK","EQ")))</f>
        <v>N/A</v>
      </c>
      <c r="AF119" s="15"/>
      <c r="AG119" s="15"/>
      <c r="AH119" s="15"/>
      <c r="AI119" s="15"/>
      <c r="AJ119" s="188" t="str">
        <f>IF(AK65=0,"",IF(NOT(AK100="Bonded"),"","Bonded Single Skin Thickness:"))</f>
        <v/>
      </c>
      <c r="AK119" s="82"/>
      <c r="AL119" s="25" t="str">
        <f>IF($A$25="mm","mm","in")</f>
        <v>in</v>
      </c>
      <c r="AM119" s="11" t="str">
        <f>IF(AK65=0,"N/A",IF(NOT(AK100="Bonded"),"N/A",IF(AK113="","BLANK","EQ")))</f>
        <v>N/A</v>
      </c>
      <c r="AO119" s="47"/>
      <c r="AP119" s="47"/>
      <c r="AQ119" s="124"/>
      <c r="AR119" s="124"/>
      <c r="AS119" s="124"/>
      <c r="AT119" s="188" t="str">
        <f>IF(AU65=0,"",IF(NOT(AU100="Bonded"),"","Bonded Single Skin Thickness:"))</f>
        <v/>
      </c>
      <c r="AU119" s="82"/>
      <c r="AV119" s="25" t="str">
        <f>IF($A$25="mm","mm","in")</f>
        <v>in</v>
      </c>
      <c r="AW119" s="11" t="str">
        <f>IF(AU65=0,"N/A",IF(NOT(AU100="Bonded"),"N/A",IF(AU113="","BLANK","EQ")))</f>
        <v>N/A</v>
      </c>
      <c r="AY119" s="37"/>
      <c r="AZ119" s="124"/>
      <c r="BA119" s="124"/>
      <c r="BB119" s="124"/>
      <c r="BC119" s="124"/>
      <c r="BD119" s="188" t="str">
        <f>IF(BE65=0,"",IF(NOT(BE100="Bonded"),"","Bonded Single Skin Thickness:"))</f>
        <v/>
      </c>
      <c r="BE119" s="82"/>
      <c r="BF119" s="25" t="str">
        <f>IF($A$25="mm","mm","in")</f>
        <v>in</v>
      </c>
      <c r="BG119" s="11" t="str">
        <f>IF(BE65=0,"N/A",IF(NOT(BE100="Bonded"),"N/A",IF(BE113="","BLANK","EQ")))</f>
        <v>N/A</v>
      </c>
      <c r="BI119" s="15"/>
      <c r="BJ119" s="15"/>
      <c r="BK119" s="15"/>
      <c r="BL119" s="15"/>
      <c r="BM119" s="15"/>
      <c r="BN119" s="188" t="str">
        <f>IF(BO65=0,"",IF(NOT(BO100="Bonded"),"","Bonded Single Skin Thickness:"))</f>
        <v/>
      </c>
      <c r="BO119" s="82"/>
      <c r="BP119" s="25" t="str">
        <f>IF($A$25="mm","mm","in")</f>
        <v>in</v>
      </c>
      <c r="BQ119" s="11" t="str">
        <f>IF(BO65=0,"N/A",IF(NOT(BO100="Bonded"),"N/A",IF(BO113="","BLANK","EQ")))</f>
        <v>N/A</v>
      </c>
      <c r="BS119" s="35"/>
      <c r="BT119" s="124"/>
      <c r="BU119" s="15"/>
      <c r="BV119" s="15"/>
      <c r="BW119" s="15"/>
      <c r="BX119" s="15" t="str">
        <f>IF(BY63=0,"",IF(NOT(BY111="Bolted"),"","Accumulator Pullout &gt;= Test Load:"))</f>
        <v/>
      </c>
      <c r="BY119" s="26" t="e">
        <f>BY109*BY110*BY117*IF($A$25="mm",1/10^6,1)</f>
        <v>#N/A</v>
      </c>
      <c r="BZ119" s="177" t="e">
        <f>IF(BY119=0,"",BY119/$U$23)</f>
        <v>#N/A</v>
      </c>
      <c r="CA119" s="11" t="str">
        <f>IF(BY63=0,"N/A",IF(NOT(BY111="Bolted"),"N/A",IF(BZ119&lt;1,"REJECT","EQ")))</f>
        <v>N/A</v>
      </c>
      <c r="CC119" s="35"/>
      <c r="CD119" s="124"/>
      <c r="CE119" s="15"/>
      <c r="CF119" s="15"/>
      <c r="CG119" s="15"/>
      <c r="CH119" s="15" t="str">
        <f>IF(CI63=0,"",IF(NOT(CI111="Bolted"),"","Chassis Pullout &gt;= Test Load:"))</f>
        <v/>
      </c>
      <c r="CI119" s="26" t="e">
        <f>CI109*CI110*CI117*IF($A$25="mm",1/10^6,1)</f>
        <v>#N/A</v>
      </c>
      <c r="CJ119" s="177" t="e">
        <f>IF(CI119=0,"",CI119/$U$23)</f>
        <v>#N/A</v>
      </c>
      <c r="CK119" s="11" t="str">
        <f>IF(CI63=0,"N/A",IF(NOT(CI111="Bolted"),"N/A",IF(CJ119&lt;1,"REJECT","EQ")))</f>
        <v>N/A</v>
      </c>
      <c r="CM119" s="35"/>
      <c r="CN119" s="124"/>
      <c r="CO119" s="15"/>
      <c r="CP119" s="15"/>
      <c r="CQ119" s="15"/>
      <c r="CR119" s="15" t="str">
        <f>IF(CS63=0,"",IF(NOT(CS111="Bolted"),"","Accumulator Pullout &gt;= Test Load:"))</f>
        <v/>
      </c>
      <c r="CS119" s="26" t="e">
        <f>CS109*CS110*CS117*IF($A$25="mm",1/10^6,1)</f>
        <v>#N/A</v>
      </c>
      <c r="CT119" s="177" t="e">
        <f>IF(CS119=0,"",CS119/$U$23)</f>
        <v>#N/A</v>
      </c>
      <c r="CU119" s="11" t="str">
        <f>IF(CS63=0,"N/A",IF(NOT(CS111="Bolted"),"N/A",IF(CT119&lt;1,"REJECT","EQ")))</f>
        <v>N/A</v>
      </c>
      <c r="CW119" s="35"/>
      <c r="CX119" s="124"/>
      <c r="CY119" s="15"/>
      <c r="CZ119" s="15"/>
      <c r="DA119" s="15"/>
      <c r="DB119" s="15" t="str">
        <f>IF(DC63=0,"",IF(NOT(DC111="Bolted"),"","Accumulator Pullout &gt;= Test Load:"))</f>
        <v/>
      </c>
      <c r="DC119" s="26" t="e">
        <f>DC109*DC110*DC117*IF($A$25="mm",1/10^6,1)</f>
        <v>#N/A</v>
      </c>
      <c r="DD119" s="177" t="e">
        <f>IF(DC119=0,"",DC119/$U$23)</f>
        <v>#N/A</v>
      </c>
      <c r="DE119" s="11" t="str">
        <f>IF(DC63=0,"N/A",IF(NOT(DC111="Bolted"),"N/A",IF(DD119&lt;1,"REJECT","EQ")))</f>
        <v>N/A</v>
      </c>
      <c r="DG119" s="35"/>
      <c r="DH119" s="124"/>
      <c r="DI119" s="15"/>
      <c r="DJ119" s="15"/>
      <c r="DK119" s="15"/>
      <c r="DL119" s="15" t="str">
        <f>IF(DM63=0,"",IF(NOT(DM111="Bolted"),"","Accumulator Pullout &gt;= Test Load:"))</f>
        <v/>
      </c>
      <c r="DM119" s="26" t="e">
        <f>DM109*DM110*DM117*IF($A$25="mm",1/10^6,1)</f>
        <v>#N/A</v>
      </c>
      <c r="DN119" s="177" t="e">
        <f>IF(DM119=0,"",DM119/$U$23)</f>
        <v>#N/A</v>
      </c>
      <c r="DO119" s="11" t="str">
        <f>IF(DM63=0,"N/A",IF(NOT(DM111="Bolted"),"N/A",IF(DN119&lt;1,"REJECT","EQ")))</f>
        <v>N/A</v>
      </c>
    </row>
    <row r="120" spans="1:119" ht="16" thickBot="1" x14ac:dyDescent="0.25">
      <c r="A120" s="12" t="s">
        <v>787</v>
      </c>
      <c r="B120" s="298"/>
      <c r="C120" s="299"/>
      <c r="D120" s="299"/>
      <c r="E120" s="299"/>
      <c r="F120" s="299"/>
      <c r="G120" s="299"/>
      <c r="H120" s="300"/>
      <c r="I120" s="11" t="str">
        <f>IF(B120="","BLANK","EQ")</f>
        <v>BLANK</v>
      </c>
      <c r="K120" s="124"/>
      <c r="L120" s="307" t="s">
        <v>659</v>
      </c>
      <c r="M120" s="307"/>
      <c r="N120" s="307"/>
      <c r="O120" s="307"/>
      <c r="P120" s="26">
        <f>$K$4</f>
        <v>25099.499999999996</v>
      </c>
      <c r="Q120" s="26" t="e">
        <f>INDEX($K$3:$K$19,MATCH(Q103,$E$3:$E$19,0))</f>
        <v>#N/A</v>
      </c>
      <c r="R120" s="84" t="e">
        <f>IF(OR(Q120=0,Q120=""),0,Q120/P120)</f>
        <v>#N/A</v>
      </c>
      <c r="S120" s="11" t="str">
        <f>IF(NOT(OR(P101="Isotropic",P101="Composite")),"N/A",IF(OR(Q120="",Q120=0),"BLANK",IF(Q120&gt;=1,"EQ",IF(Q120&gt;=0.95,"CHECK","REJECT"))))</f>
        <v>N/A</v>
      </c>
      <c r="T120" s="84"/>
      <c r="U120" s="124"/>
      <c r="V120" s="15"/>
      <c r="W120" s="15"/>
      <c r="X120" s="15"/>
      <c r="Y120" s="15"/>
      <c r="Z120" s="188" t="str">
        <f>IF(AA65=0,"",IF(NOT(AA100="Bonded"),"","Skin shear strength &gt;= Test Load:"))</f>
        <v/>
      </c>
      <c r="AA120" s="26" t="str">
        <f>IF(AA118="","",AA118*AA119*AA98*IF($A$25="mm",1/(10^6),1))</f>
        <v/>
      </c>
      <c r="AB120" s="177" t="str">
        <f>IF(OR(AA118="",AA119=""),"",AA120/$U$23)</f>
        <v/>
      </c>
      <c r="AC120" s="11" t="str">
        <f>IF(AA65=0,"N/A",IF(NOT(AA100="Bonded"),"N/A",IF(AB120&lt;1,"REJECT","EQ")))</f>
        <v>N/A</v>
      </c>
      <c r="AF120" s="15"/>
      <c r="AG120" s="15"/>
      <c r="AH120" s="15"/>
      <c r="AI120" s="15"/>
      <c r="AJ120" s="188" t="str">
        <f>IF(AK65=0,"",IF(NOT(AK100="Bonded"),"","Skin shear strength &gt;= Test Load:"))</f>
        <v/>
      </c>
      <c r="AK120" s="26" t="str">
        <f>IF(AK118="","",AK118*AK119*AK98*IF($A$25="mm",1/(10^6),1))</f>
        <v/>
      </c>
      <c r="AL120" s="177" t="str">
        <f>IF(OR(AK118="",AK119=""),"",AK120/$U$23)</f>
        <v/>
      </c>
      <c r="AM120" s="11" t="str">
        <f>IF(AK65=0,"N/A",IF(NOT(AK100="Bonded"),"N/A",IF(AL120&lt;1,"REJECT","EQ")))</f>
        <v>N/A</v>
      </c>
      <c r="AO120" s="37"/>
      <c r="AP120" s="124"/>
      <c r="AQ120" s="124"/>
      <c r="AR120" s="124"/>
      <c r="AS120" s="124"/>
      <c r="AT120" s="188" t="str">
        <f>IF(AU65=0,"",IF(NOT(AU100="Bonded"),"","Skin shear strength &gt;= Test Load:"))</f>
        <v/>
      </c>
      <c r="AU120" s="26" t="str">
        <f>IF(AU118="","",AU118*AU119*AU98*IF($A$25="mm",1/(10^6),1))</f>
        <v/>
      </c>
      <c r="AV120" s="177" t="str">
        <f>IF(OR(AU118="",AU119=""),"",AU120/$U$23)</f>
        <v/>
      </c>
      <c r="AW120" s="11" t="str">
        <f>IF(AU65=0,"N/A",IF(NOT(AU100="Bonded"),"N/A",IF(AV120&lt;1,"REJECT","EQ")))</f>
        <v>N/A</v>
      </c>
      <c r="AY120" s="12"/>
      <c r="AZ120" s="15"/>
      <c r="BA120" s="15"/>
      <c r="BB120" s="15"/>
      <c r="BC120" s="15"/>
      <c r="BD120" s="188" t="str">
        <f>IF(BE65=0,"",IF(NOT(BE100="Bonded"),"","Skin shear strength &gt;= Test Load:"))</f>
        <v/>
      </c>
      <c r="BE120" s="26" t="str">
        <f>IF(BE118="","",BE118*BE119*BE98*IF($A$25="mm",1/(10^6),1))</f>
        <v/>
      </c>
      <c r="BF120" s="177" t="str">
        <f>IF(OR(BE118="",BE119=""),"",BE120/$U$23)</f>
        <v/>
      </c>
      <c r="BG120" s="11" t="str">
        <f>IF(BE65=0,"N/A",IF(NOT(BE100="Bonded"),"N/A",IF(BF120&lt;1,"REJECT","EQ")))</f>
        <v>N/A</v>
      </c>
      <c r="BI120" s="12"/>
      <c r="BJ120" s="32"/>
      <c r="BK120" s="32"/>
      <c r="BL120" s="32"/>
      <c r="BM120" s="32"/>
      <c r="BN120" s="188" t="str">
        <f>IF(BO65=0,"",IF(NOT(BO100="Bonded"),"","Skin shear strength &gt;= Test Load:"))</f>
        <v/>
      </c>
      <c r="BO120" s="26" t="str">
        <f>IF(BO118="","",BO118*BO119*BO98*IF($A$25="mm",1/(10^6),1))</f>
        <v/>
      </c>
      <c r="BP120" s="177" t="str">
        <f>IF(OR(BO118="",BO119=""),"",BO120/$U$23)</f>
        <v/>
      </c>
      <c r="BQ120" s="11" t="str">
        <f>IF(BO65=0,"N/A",IF(NOT(BO100="Bonded"),"N/A",IF(BP120&lt;1,"REJECT","EQ")))</f>
        <v>N/A</v>
      </c>
      <c r="BS120" s="35"/>
      <c r="BT120" s="124"/>
      <c r="BU120" s="15"/>
      <c r="BV120" s="15"/>
      <c r="BW120" s="15"/>
      <c r="BX120" s="15" t="str">
        <f>IF(BY63=0,"",IF(NOT(BY111="Bolted"),"","Accumulator Tearout &gt;= Test Load:"))</f>
        <v/>
      </c>
      <c r="BY120" s="26" t="e">
        <f>2*BY109*BY110*BY113*BY112*IF($A$25="mm",1/10^6,1)</f>
        <v>#N/A</v>
      </c>
      <c r="BZ120" s="177" t="e">
        <f>IF(BY120=0,"",BY120/$U$23)</f>
        <v>#N/A</v>
      </c>
      <c r="CA120" s="11" t="str">
        <f>IF(BY63=0,"N/A",IF(NOT(BY111="Bolted"),"N/A",IF(BZ120&lt;1,"REJECT","EQ")))</f>
        <v>N/A</v>
      </c>
      <c r="CC120" s="35"/>
      <c r="CD120" s="124"/>
      <c r="CE120" s="15"/>
      <c r="CF120" s="15"/>
      <c r="CG120" s="15"/>
      <c r="CH120" s="15" t="str">
        <f>IF(CI63=0,"",IF(NOT(CI111="Bolted"),"","Chassis Tearout &gt;= Test Load:"))</f>
        <v/>
      </c>
      <c r="CI120" s="26" t="e">
        <f>2*CI109*CI110*CI113*CI112*IF($A$25="mm",1/10^6,1)</f>
        <v>#N/A</v>
      </c>
      <c r="CJ120" s="177" t="e">
        <f>IF(CI120=0,"",CI120/$U$23)</f>
        <v>#N/A</v>
      </c>
      <c r="CK120" s="11" t="str">
        <f>IF(CI63=0,"N/A",IF(NOT(CI111="Bolted"),"N/A",IF(CJ120&lt;1,"REJECT","EQ")))</f>
        <v>N/A</v>
      </c>
      <c r="CM120" s="35"/>
      <c r="CN120" s="124"/>
      <c r="CO120" s="15"/>
      <c r="CP120" s="15"/>
      <c r="CQ120" s="15"/>
      <c r="CR120" s="15" t="str">
        <f>IF(CS63=0,"",IF(NOT(CS111="Bolted"),"","Accumulator Tearout &gt;= Test Load:"))</f>
        <v/>
      </c>
      <c r="CS120" s="26" t="e">
        <f>2*CS109*CS110*CS113*CS112*IF($A$25="mm",1/10^6,1)</f>
        <v>#N/A</v>
      </c>
      <c r="CT120" s="177" t="e">
        <f>IF(CS120=0,"",CS120/$U$23)</f>
        <v>#N/A</v>
      </c>
      <c r="CU120" s="11" t="str">
        <f>IF(CS63=0,"N/A",IF(NOT(CS111="Bolted"),"N/A",IF(CT120&lt;1,"REJECT","EQ")))</f>
        <v>N/A</v>
      </c>
      <c r="CW120" s="35"/>
      <c r="CX120" s="124"/>
      <c r="CY120" s="15"/>
      <c r="CZ120" s="15"/>
      <c r="DA120" s="15"/>
      <c r="DB120" s="15" t="str">
        <f>IF(DC63=0,"",IF(NOT(DC111="Bolted"),"","Accumulator Tearout &gt;= Test Load:"))</f>
        <v/>
      </c>
      <c r="DC120" s="26" t="e">
        <f>2*DC109*DC110*DC113*DC112*IF($A$25="mm",1/10^6,1)</f>
        <v>#N/A</v>
      </c>
      <c r="DD120" s="177" t="e">
        <f>IF(DC120=0,"",DC120/$U$23)</f>
        <v>#N/A</v>
      </c>
      <c r="DE120" s="11" t="str">
        <f>IF(DC63=0,"N/A",IF(NOT(DC111="Bolted"),"N/A",IF(DD120&lt;1,"REJECT","EQ")))</f>
        <v>N/A</v>
      </c>
      <c r="DG120" s="35"/>
      <c r="DH120" s="124"/>
      <c r="DI120" s="15"/>
      <c r="DJ120" s="15"/>
      <c r="DK120" s="15"/>
      <c r="DL120" s="15" t="str">
        <f>IF(DM63=0,"",IF(NOT(DM111="Bolted"),"","Accumulator Tearout &gt;= Test Load:"))</f>
        <v/>
      </c>
      <c r="DM120" s="26" t="e">
        <f>2*DM109*DM110*DM113*DM112*IF($A$25="mm",1/10^6,1)</f>
        <v>#N/A</v>
      </c>
      <c r="DN120" s="177" t="e">
        <f>IF(DM120=0,"",DM120/$U$23)</f>
        <v>#N/A</v>
      </c>
      <c r="DO120" s="11" t="str">
        <f>IF(DM63=0,"N/A",IF(NOT(DM111="Bolted"),"N/A",IF(DN120&lt;1,"REJECT","EQ")))</f>
        <v>N/A</v>
      </c>
    </row>
    <row r="121" spans="1:119" ht="16" thickBot="1" x14ac:dyDescent="0.25">
      <c r="A121" s="124"/>
      <c r="B121" s="15"/>
      <c r="C121" s="15"/>
      <c r="D121" s="15"/>
      <c r="E121" s="188" t="s">
        <v>788</v>
      </c>
      <c r="F121" s="298"/>
      <c r="G121" s="300"/>
      <c r="I121" s="11" t="str">
        <f>IF(F121="","BLANK","EQ")</f>
        <v>BLANK</v>
      </c>
      <c r="K121" s="334" t="s">
        <v>742</v>
      </c>
      <c r="L121" s="334"/>
      <c r="M121" s="335" t="s">
        <v>743</v>
      </c>
      <c r="N121" s="335"/>
      <c r="O121" s="335"/>
      <c r="P121" s="181">
        <f>P118*P117</f>
        <v>0</v>
      </c>
      <c r="Q121" s="181" t="e">
        <f>IF(Q118=0,0,Q118*Q117)</f>
        <v>#N/A</v>
      </c>
      <c r="R121" s="189" t="e">
        <f>IF(OR(P121=0,Q121=""),0,Q121/P121)</f>
        <v>#N/A</v>
      </c>
      <c r="S121" s="128" t="str">
        <f>IF(NOT(OR(P101="Isotropic",P101="Composite")),"N/A",IF(R121="","EQ",IF(R121&gt;=1,"EQ",IF(R121&gt;=0.95,"CHECK","REJECT"))))</f>
        <v>N/A</v>
      </c>
      <c r="U121" s="124"/>
      <c r="V121" s="15"/>
      <c r="W121" s="15"/>
      <c r="X121" s="15"/>
      <c r="Y121" s="15"/>
      <c r="Z121" s="26"/>
      <c r="AA121" s="26"/>
      <c r="AC121" s="128"/>
      <c r="AF121" s="15"/>
      <c r="AG121" s="15"/>
      <c r="AH121" s="15"/>
      <c r="AI121" s="15"/>
      <c r="AJ121" s="15"/>
      <c r="AK121" s="26"/>
      <c r="AM121" s="11"/>
      <c r="AO121" s="37"/>
      <c r="AP121" s="124"/>
      <c r="AQ121" s="124"/>
      <c r="AR121" s="124"/>
      <c r="AS121" s="124"/>
      <c r="AT121" s="181"/>
      <c r="AU121" s="126"/>
      <c r="AV121" s="127"/>
      <c r="AW121" s="128"/>
      <c r="AY121" s="12"/>
      <c r="AZ121" s="15"/>
      <c r="BA121" s="15"/>
      <c r="BB121" s="15"/>
      <c r="BC121" s="15"/>
      <c r="BD121" s="126"/>
      <c r="BE121" s="126"/>
      <c r="BF121" s="127"/>
      <c r="BG121" s="128"/>
      <c r="BI121" s="12"/>
      <c r="BJ121" s="32"/>
      <c r="BK121" s="32"/>
      <c r="BL121" s="32"/>
      <c r="BM121" s="32"/>
      <c r="BN121" s="15"/>
      <c r="BO121" s="11"/>
      <c r="BQ121" s="11"/>
      <c r="BS121" s="15"/>
      <c r="BT121" s="124"/>
      <c r="BU121" s="124"/>
      <c r="BV121" s="124"/>
      <c r="BW121" s="124"/>
      <c r="BX121" s="188" t="str">
        <f>IF(BY63=0,"",IF(BY111="Continuous","Mount centerline length at accumulator skin:",IF(BY111="Welded","Total weld perimeter:","")))</f>
        <v/>
      </c>
      <c r="BY121" s="192"/>
      <c r="BZ121" s="25" t="str">
        <f>IF($A$25="mm","mm","in")</f>
        <v>in</v>
      </c>
      <c r="CA121" s="128" t="str">
        <f>IF(BY63=0,"N/A",IF(NOT(OR(BY111="Continuous",BY111="Welded")),"N/A",IF(BY121="","BLANK","EQ")))</f>
        <v>N/A</v>
      </c>
      <c r="CC121" s="15"/>
      <c r="CD121" s="124"/>
      <c r="CE121" s="124"/>
      <c r="CF121" s="124"/>
      <c r="CG121" s="124"/>
      <c r="CH121" s="188" t="str">
        <f>IF(CI63=0,"",IF(CI111="Continuous","Mount centerline length at accumulator skin:",IF(CI111="Welded","Total weld perimeter:","")))</f>
        <v/>
      </c>
      <c r="CI121" s="192"/>
      <c r="CJ121" s="25" t="str">
        <f>IF($A$25="mm","mm","in")</f>
        <v>in</v>
      </c>
      <c r="CK121" s="128" t="str">
        <f>IF(CI63=0,"N/A",IF(NOT(OR(CI111="Continuous",CI111="Welded")),"N/A",IF(CI121="","BLANK","EQ")))</f>
        <v>N/A</v>
      </c>
      <c r="CM121" s="15"/>
      <c r="CN121" s="124"/>
      <c r="CO121" s="124"/>
      <c r="CP121" s="124"/>
      <c r="CQ121" s="124"/>
      <c r="CR121" s="188" t="str">
        <f>IF(CS63=0,"",IF(CS111="Continuous","Mount centerline length at accumulator skin:",IF(CS111="Welded","Total weld perimeter:","")))</f>
        <v/>
      </c>
      <c r="CS121" s="192"/>
      <c r="CT121" s="25" t="str">
        <f>IF($A$25="mm","mm","in")</f>
        <v>in</v>
      </c>
      <c r="CU121" s="128" t="str">
        <f>IF(CS63=0,"N/A",IF(NOT(OR(CS111="Continuous",CS111="Welded")),"N/A",IF(CS121="","BLANK","EQ")))</f>
        <v>N/A</v>
      </c>
      <c r="CW121" s="15"/>
      <c r="CX121" s="124"/>
      <c r="CY121" s="124"/>
      <c r="CZ121" s="124"/>
      <c r="DA121" s="124"/>
      <c r="DB121" s="188" t="str">
        <f>IF(DC63=0,"",IF(DC111="Continuous","Mount centerline length at accumulator skin:",IF(DC111="Welded","Total weld perimeter:","")))</f>
        <v/>
      </c>
      <c r="DC121" s="192"/>
      <c r="DD121" s="25" t="str">
        <f>IF($A$25="mm","mm","in")</f>
        <v>in</v>
      </c>
      <c r="DE121" s="128" t="str">
        <f>IF(DC63=0,"N/A",IF(NOT(OR(DC111="Continuous",DC111="Welded")),"N/A",IF(DC121="","BLANK","EQ")))</f>
        <v>N/A</v>
      </c>
      <c r="DG121" s="15"/>
      <c r="DH121" s="124"/>
      <c r="DI121" s="124"/>
      <c r="DJ121" s="124"/>
      <c r="DK121" s="124"/>
      <c r="DL121" s="188" t="str">
        <f>IF(DM63=0,"",IF(DM111="Continuous","Mount centerline length at accumulator skin:",IF(DM111="Welded","Total weld perimeter:","")))</f>
        <v/>
      </c>
      <c r="DM121" s="192"/>
      <c r="DN121" s="25" t="str">
        <f>IF($A$25="mm","mm","in")</f>
        <v>in</v>
      </c>
      <c r="DO121" s="128" t="str">
        <f>IF(DM63=0,"N/A",IF(NOT(OR(DM111="Continuous",DM111="Welded")),"N/A",IF(DM121="","BLANK","EQ")))</f>
        <v>N/A</v>
      </c>
    </row>
    <row r="122" spans="1:119" ht="15" customHeight="1" thickBot="1" x14ac:dyDescent="0.25">
      <c r="A122" s="12"/>
      <c r="B122" s="15"/>
      <c r="C122" s="15"/>
      <c r="D122" s="15"/>
      <c r="E122" s="15"/>
      <c r="F122" s="188" t="str">
        <f>IF(G122="Tension","All fasteners in tension:","Some fasteners in shear:")</f>
        <v>Some fasteners in shear:</v>
      </c>
      <c r="G122" s="80"/>
      <c r="I122" s="11" t="str">
        <f t="shared" ref="I122:I124" si="14">IF(G122="","BLANK","EQ")</f>
        <v>BLANK</v>
      </c>
      <c r="K122" s="37" t="s">
        <v>746</v>
      </c>
      <c r="L122" s="335" t="s">
        <v>747</v>
      </c>
      <c r="M122" s="335"/>
      <c r="N122" s="335"/>
      <c r="O122" s="335"/>
      <c r="P122" s="181">
        <f>P119*P116</f>
        <v>0</v>
      </c>
      <c r="Q122" s="181" t="e">
        <f>IF(OR(P98="Tube",Q118=0),0,Q119*Q116)</f>
        <v>#N/A</v>
      </c>
      <c r="R122" s="189" t="e">
        <f>IF(OR(P122=0,Q122=""),0,Q122/P122)</f>
        <v>#N/A</v>
      </c>
      <c r="S122" s="128" t="str">
        <f>IF(NOT(OR(P101="Isotropic",P101="Composite")),"N/A",IF(OR(Q116=0,Q119=0),"BLANK",IF(R122&gt;=1,"EQ",IF(R122&gt;=0.95,"CHECK","REJECT"))))</f>
        <v>N/A</v>
      </c>
      <c r="U122" s="10"/>
      <c r="V122" s="10"/>
      <c r="W122" s="10"/>
      <c r="X122" s="10"/>
      <c r="Y122" s="10"/>
      <c r="Z122" s="10"/>
      <c r="AA122" s="10"/>
      <c r="AB122" s="10"/>
      <c r="AC122" s="10"/>
      <c r="AO122" s="12"/>
      <c r="AP122" s="15"/>
      <c r="AQ122" s="15"/>
      <c r="AR122" s="15"/>
      <c r="AS122" s="15"/>
      <c r="AT122" s="181"/>
      <c r="AU122" s="126"/>
      <c r="AV122" s="127"/>
      <c r="AW122" s="128"/>
      <c r="BI122" s="15"/>
      <c r="BJ122" s="15"/>
      <c r="BK122" s="15"/>
      <c r="BL122" s="15"/>
      <c r="BM122" s="15"/>
      <c r="BN122" s="15"/>
      <c r="BO122" s="143"/>
      <c r="BP122" s="143"/>
      <c r="BQ122" s="11"/>
      <c r="BS122" s="15"/>
      <c r="BT122" s="124"/>
      <c r="BU122" s="124"/>
      <c r="BV122" s="124"/>
      <c r="BW122" s="124"/>
      <c r="BX122" s="188" t="str">
        <f>IF(BY63=0,"",IF(OR(BY111="Continuous",BY111="Welded"),"Thickness is assumed = skin thickness:",""))</f>
        <v/>
      </c>
      <c r="BY122" s="128">
        <f>BY110</f>
        <v>0</v>
      </c>
      <c r="BZ122" s="25" t="str">
        <f>IF($A$25="mm","mm","in")</f>
        <v>in</v>
      </c>
      <c r="CA122" s="128" t="str">
        <f>IF(BY63=0,"N/A",IF(NOT(OR(BY111="Continuous",BY111="Welded")),"N/A",IF(BY122="","BLANK","EQ")))</f>
        <v>N/A</v>
      </c>
      <c r="CC122" s="15"/>
      <c r="CD122" s="124"/>
      <c r="CE122" s="124"/>
      <c r="CF122" s="124"/>
      <c r="CG122" s="124"/>
      <c r="CH122" s="188" t="str">
        <f>IF(CI63=0,"",IF(OR(CI111="Continuous",CI111="Welded"),"Thickness is assumed = skin thickness:",""))</f>
        <v/>
      </c>
      <c r="CI122" s="128">
        <f>CI110</f>
        <v>0</v>
      </c>
      <c r="CJ122" s="25" t="str">
        <f>IF($A$25="mm","mm","in")</f>
        <v>in</v>
      </c>
      <c r="CK122" s="128" t="str">
        <f>IF(CI63=0,"N/A",IF(NOT(OR(CI111="Continuous",CI111="Welded")),"N/A",IF(CI122="","BLANK","EQ")))</f>
        <v>N/A</v>
      </c>
      <c r="CM122" s="15"/>
      <c r="CN122" s="124"/>
      <c r="CO122" s="124"/>
      <c r="CP122" s="124"/>
      <c r="CQ122" s="124"/>
      <c r="CR122" s="188" t="str">
        <f>IF(CS63=0,"",IF(OR(CS111="Continuous",CS111="Welded"),"Thickness is assumed = skin thickness:",""))</f>
        <v/>
      </c>
      <c r="CS122" s="128">
        <f>CS110</f>
        <v>0</v>
      </c>
      <c r="CT122" s="25" t="str">
        <f>IF($A$25="mm","mm","in")</f>
        <v>in</v>
      </c>
      <c r="CU122" s="128" t="str">
        <f>IF(CS63=0,"N/A",IF(NOT(OR(CS111="Continuous",CS111="Welded")),"N/A",IF(CS122="","BLANK","EQ")))</f>
        <v>N/A</v>
      </c>
      <c r="CV122" s="44"/>
      <c r="CW122" s="15"/>
      <c r="CX122" s="124"/>
      <c r="CY122" s="124"/>
      <c r="CZ122" s="124"/>
      <c r="DA122" s="124"/>
      <c r="DB122" s="188" t="str">
        <f>IF(DC63=0,"",IF(OR(DC111="Continuous",DC111="Welded"),"Thickness is assumed = skin thickness:",""))</f>
        <v/>
      </c>
      <c r="DC122" s="128">
        <f>DC110</f>
        <v>0</v>
      </c>
      <c r="DD122" s="25" t="str">
        <f>IF($A$25="mm","mm","in")</f>
        <v>in</v>
      </c>
      <c r="DE122" s="128" t="str">
        <f>IF(DC63=0,"N/A",IF(NOT(OR(DC111="Continuous",DC111="Welded")),"N/A",IF(DC122="","BLANK","EQ")))</f>
        <v>N/A</v>
      </c>
      <c r="DG122" s="15"/>
      <c r="DH122" s="124"/>
      <c r="DI122" s="124"/>
      <c r="DJ122" s="124"/>
      <c r="DK122" s="124"/>
      <c r="DL122" s="188" t="str">
        <f>IF(DM63=0,"",IF(OR(DM111="Continuous",DM111="Welded"),"Thickness is assumed = skin thickness:",""))</f>
        <v/>
      </c>
      <c r="DM122" s="128">
        <f>DM110</f>
        <v>0</v>
      </c>
      <c r="DN122" s="25" t="str">
        <f>IF($A$25="mm","mm","in")</f>
        <v>in</v>
      </c>
      <c r="DO122" s="128" t="str">
        <f>IF(DM63=0,"N/A",IF(NOT(OR(DM111="Continuous",DM111="Welded")),"N/A",IF(DM122="","BLANK","EQ")))</f>
        <v>N/A</v>
      </c>
    </row>
    <row r="123" spans="1:119" ht="15" customHeight="1" x14ac:dyDescent="0.2">
      <c r="A123" s="124"/>
      <c r="B123" s="15"/>
      <c r="C123" s="15"/>
      <c r="D123" s="15"/>
      <c r="E123" s="15"/>
      <c r="F123" s="188" t="str">
        <f>IF(B120="Lid attachment equivlent to weld","Maximum fastener spacing:",_xlfn.CONCAT("Number of fasteners",IF(G122="Shear"," (2x if double shear):",":")))</f>
        <v>Number of fasteners:</v>
      </c>
      <c r="G123" s="79"/>
      <c r="H123" s="25" t="str">
        <f>IF(B120="Lid attachment equivlent to weld",IF($A$25="mm","mm","in"),"")</f>
        <v/>
      </c>
      <c r="I123" s="11" t="str">
        <f t="shared" si="14"/>
        <v>BLANK</v>
      </c>
      <c r="K123" s="37" t="s">
        <v>748</v>
      </c>
      <c r="L123" s="335" t="s">
        <v>749</v>
      </c>
      <c r="M123" s="335"/>
      <c r="N123" s="335"/>
      <c r="O123" s="335"/>
      <c r="P123" s="181">
        <f>4*P119*P117/(P115/2)</f>
        <v>0</v>
      </c>
      <c r="Q123" s="181" t="e">
        <f>IF(Q118=0,0,4*Q119*Q117/(IF(P101="Composite",MAX(ABS(O113-O111),ABS(O113-O112)),Q115/2)))</f>
        <v>#N/A</v>
      </c>
      <c r="R123" s="189" t="e">
        <f>IF(OR(P123=0,Q123=""),0,Q123/P123)</f>
        <v>#N/A</v>
      </c>
      <c r="S123" s="128" t="str">
        <f>IF(NOT(OR(P101="Isotropic",P101="Composite")),"N/A",IF(OR(Q117=0,Q119=0),"BLANK",IF(R123&gt;=1,"EQ",IF(R123&gt;=0.95,"CHECK","REJECT"))))</f>
        <v>N/A</v>
      </c>
      <c r="U123" s="10"/>
      <c r="V123" s="10"/>
      <c r="W123" s="10"/>
      <c r="X123" s="10"/>
      <c r="Y123" s="10"/>
      <c r="Z123" s="10"/>
      <c r="AA123" s="10"/>
      <c r="AB123" s="10"/>
      <c r="AC123" s="10"/>
      <c r="AO123" s="12"/>
      <c r="AP123" s="15"/>
      <c r="AQ123" s="15"/>
      <c r="AR123" s="15"/>
      <c r="AS123" s="15"/>
      <c r="AT123" s="181"/>
      <c r="AU123" s="126"/>
      <c r="AV123" s="127"/>
      <c r="AW123" s="128"/>
      <c r="BI123" s="15"/>
      <c r="BJ123" s="15"/>
      <c r="BK123" s="15"/>
      <c r="BL123" s="15"/>
      <c r="BM123" s="15"/>
      <c r="BN123" s="15"/>
      <c r="BO123" s="128"/>
      <c r="BQ123" s="128"/>
      <c r="BS123" s="12"/>
      <c r="BT123" s="15"/>
      <c r="BU123" s="15"/>
      <c r="BV123" s="15"/>
      <c r="BW123" s="15"/>
      <c r="BX123" s="15" t="str">
        <f>IF(BY63=0,"",IF(OR(BY111="Continuous",BY111="Welded"),"Shear strength &gt;= Test Load:",""))</f>
        <v/>
      </c>
      <c r="BY123" s="26" t="str">
        <f>IF(BY121="","",BY109*BY121*BY122*IF($A$25="mm",1/10^6,1))</f>
        <v/>
      </c>
      <c r="BZ123" s="177" t="str">
        <f>IF(BY121="","",BY123/$U$23)</f>
        <v/>
      </c>
      <c r="CA123" s="128" t="str">
        <f>IF(BY63=0,"N/A",IF(NOT(OR(BY111="Continuous",BY111="Welded")),"N/A",IF(BZ123&lt;1,"REJECT","EQ")))</f>
        <v>N/A</v>
      </c>
      <c r="CC123" s="12"/>
      <c r="CD123" s="15"/>
      <c r="CE123" s="15"/>
      <c r="CF123" s="15"/>
      <c r="CG123" s="15"/>
      <c r="CH123" s="15" t="str">
        <f>IF(CI63=0,"",IF(OR(CI111="Continuous",CI111="Welded"),"Shear strength &gt;= Test Load:",""))</f>
        <v/>
      </c>
      <c r="CI123" s="26" t="str">
        <f>IF(CI121="","",CI109*CI121*CI122*IF($A$25="mm",1/10^6,1))</f>
        <v/>
      </c>
      <c r="CJ123" s="177" t="str">
        <f>IF(CI121="","",CI123/$U$23)</f>
        <v/>
      </c>
      <c r="CK123" s="128" t="str">
        <f>IF(CI63=0,"N/A",IF(NOT(OR(CI111="Continuous",CI111="Welded")),"N/A",IF(CJ123&lt;1,"REJECT","EQ")))</f>
        <v>N/A</v>
      </c>
      <c r="CM123" s="12"/>
      <c r="CN123" s="15"/>
      <c r="CO123" s="15"/>
      <c r="CP123" s="15"/>
      <c r="CQ123" s="15"/>
      <c r="CR123" s="15" t="str">
        <f>IF(CS63=0,"",IF(OR(CS111="Continuous",CS111="Welded"),"Shear strength &gt;= Test Load:",""))</f>
        <v/>
      </c>
      <c r="CS123" s="26" t="str">
        <f>IF(CS121="","",CS109*CS121*CS122*IF($A$25="mm",1/10^6,1))</f>
        <v/>
      </c>
      <c r="CT123" s="177" t="str">
        <f>IF(CS121="","",CS123/$U$23)</f>
        <v/>
      </c>
      <c r="CU123" s="128" t="str">
        <f>IF(CS63=0,"N/A",IF(NOT(OR(CS111="Continuous",CS111="Welded")),"N/A",IF(CT123&lt;1,"REJECT","EQ")))</f>
        <v>N/A</v>
      </c>
      <c r="CV123" s="44"/>
      <c r="CW123" s="12"/>
      <c r="CX123" s="15"/>
      <c r="CY123" s="15"/>
      <c r="CZ123" s="15"/>
      <c r="DA123" s="15"/>
      <c r="DB123" s="15" t="str">
        <f>IF(DC63=0,"",IF(OR(DC111="Continuous",DC111="Welded"),"Shear strength &gt;= Test Load:",""))</f>
        <v/>
      </c>
      <c r="DC123" s="26" t="str">
        <f>IF(DC121="","",DC109*DC121*DC122*IF($A$25="mm",1/10^6,1))</f>
        <v/>
      </c>
      <c r="DD123" s="177" t="str">
        <f>IF(DC121="","",DC123/$U$23)</f>
        <v/>
      </c>
      <c r="DE123" s="128" t="str">
        <f>IF(DC63=0,"N/A",IF(NOT(OR(DC111="Continuous",DC111="Welded")),"N/A",IF(DD123&lt;1,"REJECT","EQ")))</f>
        <v>N/A</v>
      </c>
      <c r="DG123" s="12"/>
      <c r="DH123" s="15"/>
      <c r="DI123" s="15"/>
      <c r="DJ123" s="15"/>
      <c r="DK123" s="15"/>
      <c r="DL123" s="15" t="str">
        <f>IF(DM63=0,"",IF(OR(DM111="Continuous",DM111="Welded"),"Shear strength &gt;= Test Load:",""))</f>
        <v/>
      </c>
      <c r="DM123" s="26" t="str">
        <f>IF(DM121="","",DM109*DM121*DM122*IF($A$25="mm",1/10^6,1))</f>
        <v/>
      </c>
      <c r="DN123" s="177" t="str">
        <f>IF(DM121="","",DM123/$U$23)</f>
        <v/>
      </c>
      <c r="DO123" s="128" t="str">
        <f>IF(DM63=0,"N/A",IF(NOT(OR(DM111="Continuous",DM111="Welded")),"N/A",IF(DN123&lt;1,"REJECT","EQ")))</f>
        <v>N/A</v>
      </c>
    </row>
    <row r="124" spans="1:119" ht="15" customHeight="1" x14ac:dyDescent="0.2">
      <c r="A124" s="47"/>
      <c r="B124" s="15"/>
      <c r="C124" s="15"/>
      <c r="D124" s="15"/>
      <c r="E124" s="15"/>
      <c r="F124" s="188" t="s">
        <v>789</v>
      </c>
      <c r="G124" s="79"/>
      <c r="H124" s="25" t="str">
        <f>IF($A$25="mm","mm","in")</f>
        <v>in</v>
      </c>
      <c r="I124" s="11" t="str">
        <f t="shared" si="14"/>
        <v>BLANK</v>
      </c>
      <c r="K124" s="12" t="s">
        <v>753</v>
      </c>
      <c r="L124" s="307" t="s">
        <v>754</v>
      </c>
      <c r="M124" s="307"/>
      <c r="N124" s="307"/>
      <c r="O124" s="307"/>
      <c r="P124" s="181">
        <f>IF(P117=0,0,P123/(48*P118*P117))</f>
        <v>0</v>
      </c>
      <c r="Q124" s="181" t="e">
        <f>IF(OR(Q123="",Q118=0),0,P123/(48*Q118*Q117))</f>
        <v>#N/A</v>
      </c>
      <c r="R124" s="189" t="e">
        <f>IF(OR(P124=0,Q124=""),0,Q124/P124)</f>
        <v>#N/A</v>
      </c>
      <c r="S124" s="128" t="str">
        <f>IF(NOT(OR(P101="Isotropic",P101="Composite")),"N/A",IF(OR(Q123=0,Q118=0,Q117=0),"BLANK",IF(R124&lt;=1,"EQ",IF(R124&lt;=1.05,"CHECK","REJECT"))))</f>
        <v>N/A</v>
      </c>
      <c r="U124" s="10"/>
      <c r="V124" s="10"/>
      <c r="W124" s="10"/>
      <c r="X124" s="10"/>
      <c r="Y124" s="10"/>
      <c r="Z124" s="10"/>
      <c r="AA124" s="10"/>
      <c r="AB124" s="10"/>
      <c r="AC124" s="10"/>
      <c r="AO124" s="12"/>
      <c r="AP124" s="15"/>
      <c r="AQ124" s="15"/>
      <c r="AR124" s="15"/>
      <c r="AS124" s="15"/>
      <c r="AT124" s="26"/>
      <c r="AU124" s="26"/>
      <c r="AV124" s="127"/>
      <c r="AW124" s="11"/>
      <c r="BI124" s="124"/>
      <c r="BJ124" s="124"/>
      <c r="BK124" s="124"/>
      <c r="BL124" s="124"/>
      <c r="BM124" s="124"/>
      <c r="BN124" s="124"/>
      <c r="BO124" s="128"/>
      <c r="BQ124" s="11"/>
      <c r="BS124" s="12" t="s">
        <v>783</v>
      </c>
      <c r="BT124" s="124"/>
      <c r="BU124" s="124"/>
      <c r="BV124" s="124"/>
      <c r="BW124" s="124"/>
      <c r="BX124" s="188" t="str">
        <f>IF(BY63=0,"",IF(NOT(BY111="Bonded"),"","Shear strength of adhesive:"))</f>
        <v/>
      </c>
      <c r="BY124" s="175"/>
      <c r="BZ124" s="35" t="str">
        <f>IF($A$25="mm","N/mm^2","psi")</f>
        <v>psi</v>
      </c>
      <c r="CA124" s="128" t="str">
        <f>IF(BY63=0,"N/A",IF(NOT(BY111="Bonded"),"N/A",IF(BY124="","BLANK","EQ")))</f>
        <v>N/A</v>
      </c>
      <c r="CC124" s="12" t="s">
        <v>783</v>
      </c>
      <c r="CD124" s="124"/>
      <c r="CE124" s="124"/>
      <c r="CF124" s="124"/>
      <c r="CG124" s="124"/>
      <c r="CH124" s="188" t="str">
        <f>IF(CI63=0,"",IF(NOT(CI111="Bonded"),"","Shear strength of adhesive:"))</f>
        <v/>
      </c>
      <c r="CI124" s="175"/>
      <c r="CJ124" s="35" t="str">
        <f>IF($A$25="mm","N/mm^2","psi")</f>
        <v>psi</v>
      </c>
      <c r="CK124" s="128" t="str">
        <f>IF(CI63=0,"N/A",IF(NOT(CI111="Bonded"),"N/A",IF(CI124="","BLANK","EQ")))</f>
        <v>N/A</v>
      </c>
      <c r="CM124" s="12" t="s">
        <v>783</v>
      </c>
      <c r="CN124" s="124"/>
      <c r="CO124" s="124"/>
      <c r="CP124" s="124"/>
      <c r="CQ124" s="124"/>
      <c r="CR124" s="188" t="str">
        <f>IF(CS63=0,"",IF(NOT(CS111="Bonded"),"","Shear strength of adhesive:"))</f>
        <v/>
      </c>
      <c r="CS124" s="175"/>
      <c r="CT124" s="35" t="str">
        <f>IF($A$25="mm","N/mm^2","psi")</f>
        <v>psi</v>
      </c>
      <c r="CU124" s="128" t="str">
        <f>IF(CS63=0,"N/A",IF(NOT(CS111="Bonded"),"N/A",IF(CS124="","BLANK","EQ")))</f>
        <v>N/A</v>
      </c>
      <c r="CW124" s="12" t="s">
        <v>783</v>
      </c>
      <c r="CX124" s="124"/>
      <c r="CY124" s="124"/>
      <c r="CZ124" s="124"/>
      <c r="DA124" s="124"/>
      <c r="DB124" s="188" t="str">
        <f>IF(DC63=0,"",IF(NOT(DC111="Bonded"),"","Shear strength of adhesive:"))</f>
        <v/>
      </c>
      <c r="DC124" s="175"/>
      <c r="DD124" s="35" t="str">
        <f>IF($A$25="mm","N/mm^2","psi")</f>
        <v>psi</v>
      </c>
      <c r="DE124" s="128" t="str">
        <f>IF(DC63=0,"N/A",IF(NOT(DC111="Bonded"),"N/A",IF(DC124="","BLANK","EQ")))</f>
        <v>N/A</v>
      </c>
      <c r="DG124" s="12" t="s">
        <v>783</v>
      </c>
      <c r="DH124" s="124"/>
      <c r="DI124" s="124"/>
      <c r="DJ124" s="124"/>
      <c r="DK124" s="124"/>
      <c r="DL124" s="188" t="str">
        <f>IF(DM63=0,"",IF(NOT(DM111="Bonded"),"","Shear strength of adhesive:"))</f>
        <v/>
      </c>
      <c r="DM124" s="175"/>
      <c r="DN124" s="35" t="str">
        <f>IF($A$25="mm","N/mm^2","psi")</f>
        <v>psi</v>
      </c>
      <c r="DO124" s="128" t="str">
        <f>IF(DM63=0,"N/A",IF(NOT(DM111="Bonded"),"N/A",IF(DM124="","BLANK","EQ")))</f>
        <v>N/A</v>
      </c>
    </row>
    <row r="125" spans="1:119" ht="15" customHeight="1" x14ac:dyDescent="0.2">
      <c r="A125" s="37"/>
      <c r="B125" s="15" t="s">
        <v>790</v>
      </c>
      <c r="C125" s="314"/>
      <c r="D125" s="341"/>
      <c r="E125" s="315"/>
      <c r="F125" s="193" t="s">
        <v>791</v>
      </c>
      <c r="G125" s="82"/>
      <c r="H125" s="25" t="str">
        <f>IF($A$25="mm","Pa","psi")</f>
        <v>psi</v>
      </c>
      <c r="I125" s="11" t="str">
        <f>IF(OR(C125="",G125=""),"BLANK","EQ")</f>
        <v>BLANK</v>
      </c>
      <c r="K125" s="12" t="s">
        <v>756</v>
      </c>
      <c r="L125" s="307" t="s">
        <v>757</v>
      </c>
      <c r="M125" s="307"/>
      <c r="N125" s="307"/>
      <c r="O125" s="307"/>
      <c r="P125" s="181">
        <f>IF(P117=0,0,0.5*P123^2/(48*P118*P117))</f>
        <v>0</v>
      </c>
      <c r="Q125" s="181" t="e">
        <f>IF(OR(Q123="",Q118=0),0,0.5*Q123^2/(48*(Q118*Q117)))</f>
        <v>#N/A</v>
      </c>
      <c r="R125" s="189" t="e">
        <f>IF(OR(P125=0,Q125=""),0,Q125/P125)</f>
        <v>#N/A</v>
      </c>
      <c r="S125" s="128" t="str">
        <f>IF(NOT(OR(P101="Isotropic",P101="Composite")),"N/A",IF(OR(Q123=0,Q118=0,Q117=0),"BLANK",IF(R125&gt;=1,"EQ",IF(R125&gt;=0.95,"CHECK","REJECT"))))</f>
        <v>N/A</v>
      </c>
      <c r="U125" s="10"/>
      <c r="V125" s="10"/>
      <c r="W125" s="10"/>
      <c r="X125" s="10"/>
      <c r="Y125" s="10"/>
      <c r="Z125" s="10"/>
      <c r="AA125" s="10"/>
      <c r="AB125" s="10"/>
      <c r="AC125" s="10"/>
      <c r="AO125" s="12"/>
      <c r="AP125" s="15"/>
      <c r="AQ125" s="15"/>
      <c r="AR125" s="15"/>
      <c r="AS125" s="15"/>
      <c r="AT125" s="15"/>
      <c r="AU125" s="26"/>
      <c r="AW125" s="11"/>
      <c r="BI125" s="15"/>
      <c r="BJ125" s="15"/>
      <c r="BK125" s="15"/>
      <c r="BL125" s="15"/>
      <c r="BM125" s="15"/>
      <c r="BN125" s="15"/>
      <c r="BO125" s="11"/>
      <c r="BQ125" s="11"/>
      <c r="BS125" s="12" t="s">
        <v>783</v>
      </c>
      <c r="BT125" s="124"/>
      <c r="BU125" s="124"/>
      <c r="BV125" s="124"/>
      <c r="BW125" s="124"/>
      <c r="BX125" s="188" t="str">
        <f>IF(BY63=0,"",IF(NOT(BY111="Bonded"),"","T-peel strength of adhesive:"))</f>
        <v/>
      </c>
      <c r="BY125" s="175"/>
      <c r="BZ125" s="35" t="str">
        <f>IF($A$25="mm","N/mm^2","psi")</f>
        <v>psi</v>
      </c>
      <c r="CA125" s="128" t="str">
        <f>IF(BY63=0,"N/A",IF(NOT(BY111="Bonded"),"N/A",IF(BY125="","BLANK","EQ")))</f>
        <v>N/A</v>
      </c>
      <c r="CC125" s="12" t="s">
        <v>783</v>
      </c>
      <c r="CD125" s="124"/>
      <c r="CE125" s="124"/>
      <c r="CF125" s="124"/>
      <c r="CG125" s="124"/>
      <c r="CH125" s="188" t="str">
        <f>IF(CI63=0,"",IF(NOT(CI111="Bonded"),"","T-peel strength of adhesive:"))</f>
        <v/>
      </c>
      <c r="CI125" s="175"/>
      <c r="CJ125" s="35" t="str">
        <f>IF($A$25="mm","N/mm^2","psi")</f>
        <v>psi</v>
      </c>
      <c r="CK125" s="128" t="str">
        <f>IF(CI63=0,"N/A",IF(NOT(CI111="Bonded"),"N/A",IF(CI125="","BLANK","EQ")))</f>
        <v>N/A</v>
      </c>
      <c r="CM125" s="12" t="s">
        <v>783</v>
      </c>
      <c r="CN125" s="124"/>
      <c r="CO125" s="124"/>
      <c r="CP125" s="124"/>
      <c r="CQ125" s="124"/>
      <c r="CR125" s="188" t="str">
        <f>IF(CS63=0,"",IF(NOT(CS111="Bonded"),"","T-peel strength of adhesive:"))</f>
        <v/>
      </c>
      <c r="CS125" s="175"/>
      <c r="CT125" s="35" t="str">
        <f>IF($A$25="mm","N/mm^2","psi")</f>
        <v>psi</v>
      </c>
      <c r="CU125" s="128" t="str">
        <f>IF(CS63=0,"N/A",IF(NOT(CS111="Bonded"),"N/A",IF(CS125="","BLANK","EQ")))</f>
        <v>N/A</v>
      </c>
      <c r="CW125" s="12" t="s">
        <v>783</v>
      </c>
      <c r="CX125" s="124"/>
      <c r="CY125" s="124"/>
      <c r="CZ125" s="124"/>
      <c r="DA125" s="124"/>
      <c r="DB125" s="188" t="str">
        <f>IF(DC63=0,"",IF(NOT(DC111="Bonded"),"","T-peel strength of adhesive:"))</f>
        <v/>
      </c>
      <c r="DC125" s="175"/>
      <c r="DD125" s="35" t="str">
        <f>IF($A$25="mm","N/mm^2","psi")</f>
        <v>psi</v>
      </c>
      <c r="DE125" s="128" t="str">
        <f>IF(DC63=0,"N/A",IF(NOT(DC111="Bonded"),"N/A",IF(DC125="","BLANK","EQ")))</f>
        <v>N/A</v>
      </c>
      <c r="DG125" s="12" t="s">
        <v>783</v>
      </c>
      <c r="DH125" s="124"/>
      <c r="DI125" s="124"/>
      <c r="DJ125" s="124"/>
      <c r="DK125" s="124"/>
      <c r="DL125" s="188" t="str">
        <f>IF(DM63=0,"",IF(NOT(DM111="Bonded"),"","T-peel strength of adhesive:"))</f>
        <v/>
      </c>
      <c r="DM125" s="175"/>
      <c r="DN125" s="35" t="str">
        <f>IF($A$25="mm","N/mm^2","psi")</f>
        <v>psi</v>
      </c>
      <c r="DO125" s="128" t="str">
        <f>IF(DM63=0,"N/A",IF(NOT(DM111="Bonded"),"N/A",IF(DM125="","BLANK","EQ")))</f>
        <v>N/A</v>
      </c>
    </row>
    <row r="126" spans="1:119" ht="15" customHeight="1" x14ac:dyDescent="0.2">
      <c r="A126" s="37"/>
      <c r="B126" s="124"/>
      <c r="C126" s="124"/>
      <c r="D126" s="124"/>
      <c r="E126" s="124"/>
      <c r="F126" s="193" t="str">
        <f>_xlfn.CONCAT(F121," acceleration ",IF(F121="Vertical",20,40),"*mass:")</f>
        <v xml:space="preserve"> acceleration 40*mass:</v>
      </c>
      <c r="G126" s="181">
        <f>IF(F121="Vertical",20,40)*G83*IF($A$25="mm",9.81,1)</f>
        <v>0</v>
      </c>
      <c r="H126" s="25" t="str">
        <f>IF(G125="Welded","%",IF($A$25="mm","N","lbs"))</f>
        <v>lbs</v>
      </c>
      <c r="I126" s="128" t="s">
        <v>56</v>
      </c>
      <c r="K126" s="12" t="s">
        <v>761</v>
      </c>
      <c r="L126" s="15"/>
      <c r="M126" s="15"/>
      <c r="N126" s="15"/>
      <c r="O126" s="15" t="s">
        <v>762</v>
      </c>
      <c r="P126" s="181">
        <f>P115*P120</f>
        <v>878.48249999999996</v>
      </c>
      <c r="Q126" s="181" t="e">
        <f>Q120*IF(P101="Composite",IF(Q105&gt;0,Q106,Q115))</f>
        <v>#N/A</v>
      </c>
      <c r="R126" s="189" t="e">
        <f>Q126/P126</f>
        <v>#N/A</v>
      </c>
      <c r="S126" s="128" t="str">
        <f>IF(NOT(OR(P101="Isotropic",P101="Composite")),"N/A",IF(OR(Q120=0,Q116=0),"BLANK",IF(R126&gt;=1,"EQ",IF(R126&gt;=0.95,"CHECK","REJECT"))))</f>
        <v>N/A</v>
      </c>
      <c r="U126" s="294" t="s">
        <v>792</v>
      </c>
      <c r="V126" s="294"/>
      <c r="W126" s="294"/>
      <c r="X126" s="294"/>
      <c r="Y126" s="294"/>
      <c r="Z126" s="294"/>
      <c r="AA126" s="294"/>
      <c r="AB126" s="294"/>
      <c r="AC126" s="294"/>
      <c r="AO126" s="12"/>
      <c r="AP126" s="35"/>
      <c r="BI126" s="15"/>
      <c r="BJ126" s="15"/>
      <c r="BK126" s="15"/>
      <c r="BL126" s="15"/>
      <c r="BM126" s="15"/>
      <c r="BN126" s="15"/>
      <c r="BO126" s="11"/>
      <c r="BQ126" s="11"/>
      <c r="BS126" s="124"/>
      <c r="BT126" s="124"/>
      <c r="BU126" s="124"/>
      <c r="BV126" s="124"/>
      <c r="BW126" s="124"/>
      <c r="BX126" s="193" t="str">
        <f>IF(BY63=0,"",IF(NOT(BY111="Bonded"),"","Minimum bond area:"))</f>
        <v/>
      </c>
      <c r="BY126" s="175"/>
      <c r="BZ126" s="25" t="str">
        <f>IF($A$25="mm","mm^2","in^2")</f>
        <v>in^2</v>
      </c>
      <c r="CA126" s="128" t="str">
        <f>IF(BY63=0,"N/A",IF(NOT(BY111="Bonded"),"N/A",IF(BY126="","BLANK","EQ")))</f>
        <v>N/A</v>
      </c>
      <c r="CC126" s="124"/>
      <c r="CD126" s="124"/>
      <c r="CE126" s="124"/>
      <c r="CF126" s="124"/>
      <c r="CG126" s="124"/>
      <c r="CH126" s="193" t="str">
        <f>IF(CI63=0,"",IF(NOT(CI111="Bonded"),"","Minimum bond area:"))</f>
        <v/>
      </c>
      <c r="CI126" s="175"/>
      <c r="CJ126" s="25" t="str">
        <f>IF($A$25="mm","mm^2","in^2")</f>
        <v>in^2</v>
      </c>
      <c r="CK126" s="128" t="str">
        <f>IF(CI63=0,"N/A",IF(NOT(CI111="Bonded"),"N/A",IF(CI126="","BLANK","EQ")))</f>
        <v>N/A</v>
      </c>
      <c r="CM126" s="124"/>
      <c r="CN126" s="124"/>
      <c r="CO126" s="124"/>
      <c r="CP126" s="124"/>
      <c r="CQ126" s="124"/>
      <c r="CR126" s="193" t="str">
        <f>IF(CS63=0,"",IF(NOT(CS111="Bonded"),"","Minimum bond area:"))</f>
        <v/>
      </c>
      <c r="CS126" s="175"/>
      <c r="CT126" s="25" t="str">
        <f>IF($A$25="mm","mm^2","in^2")</f>
        <v>in^2</v>
      </c>
      <c r="CU126" s="128" t="str">
        <f>IF(CS63=0,"N/A",IF(NOT(CS111="Bonded"),"N/A",IF(CS126="","BLANK","EQ")))</f>
        <v>N/A</v>
      </c>
      <c r="CW126" s="124"/>
      <c r="CX126" s="124"/>
      <c r="CY126" s="124"/>
      <c r="CZ126" s="124"/>
      <c r="DA126" s="124"/>
      <c r="DB126" s="193" t="str">
        <f>IF(DC63=0,"",IF(NOT(DC111="Bonded"),"","Minimum bond area:"))</f>
        <v/>
      </c>
      <c r="DC126" s="175"/>
      <c r="DD126" s="25" t="str">
        <f>IF($A$25="mm","mm^2","in^2")</f>
        <v>in^2</v>
      </c>
      <c r="DE126" s="128" t="str">
        <f>IF(DC63=0,"N/A",IF(NOT(DC111="Bonded"),"N/A",IF(DC126="","BLANK","EQ")))</f>
        <v>N/A</v>
      </c>
      <c r="DG126" s="124"/>
      <c r="DH126" s="124"/>
      <c r="DI126" s="124"/>
      <c r="DJ126" s="124"/>
      <c r="DK126" s="124"/>
      <c r="DL126" s="193" t="str">
        <f>IF(DM63=0,"",IF(NOT(DM111="Bonded"),"","Minimum bond area:"))</f>
        <v/>
      </c>
      <c r="DM126" s="175"/>
      <c r="DN126" s="25" t="str">
        <f>IF($A$25="mm","mm^2","in^2")</f>
        <v>in^2</v>
      </c>
      <c r="DO126" s="128" t="str">
        <f>IF(DM63=0,"N/A",IF(NOT(DM111="Bonded"),"N/A",IF(DM126="","BLANK","EQ")))</f>
        <v>N/A</v>
      </c>
    </row>
    <row r="127" spans="1:119" ht="15" customHeight="1" x14ac:dyDescent="0.2">
      <c r="A127" s="12"/>
      <c r="B127" s="15"/>
      <c r="C127" s="15"/>
      <c r="D127" s="15"/>
      <c r="E127" s="15"/>
      <c r="F127" s="193" t="str">
        <f>IF(G122="Shear","Fastener shear No.Fasteners*0.577*UTS*pi*r^2:","Fastener tensile No.Fasteners*UTS*pi*r^2:")</f>
        <v>Fastener tensile No.Fasteners*UTS*pi*r^2:</v>
      </c>
      <c r="G127" s="181">
        <f>IF(G122="Shear",G123*0.577*G125*PI()*(G124/2)^2,G123*G125*PI()*(G124/2)^2)*IF($A$25="mm",1/10^6,1)</f>
        <v>0</v>
      </c>
      <c r="H127" s="127" t="e">
        <f>G127/G$126</f>
        <v>#DIV/0!</v>
      </c>
      <c r="I127" s="128" t="e">
        <f>IF(H127&gt;=1,"EQ",IF(H127&gt;=0.95,"CHECK","REJECT"))</f>
        <v>#DIV/0!</v>
      </c>
      <c r="K127" s="12"/>
      <c r="L127" s="15"/>
      <c r="M127" s="15"/>
      <c r="N127" s="15"/>
      <c r="O127" s="15"/>
      <c r="P127" s="15"/>
      <c r="Q127" s="11"/>
      <c r="S127" s="11"/>
      <c r="U127" s="294"/>
      <c r="V127" s="294"/>
      <c r="W127" s="294"/>
      <c r="X127" s="294"/>
      <c r="Y127" s="294"/>
      <c r="Z127" s="294"/>
      <c r="AA127" s="294"/>
      <c r="AB127" s="294"/>
      <c r="AC127" s="294"/>
      <c r="AO127" s="11"/>
      <c r="AP127" s="11"/>
      <c r="AQ127" s="11"/>
      <c r="AR127" s="11"/>
      <c r="AS127" s="11"/>
      <c r="AT127" s="11"/>
      <c r="AU127" s="11"/>
      <c r="AV127" s="11"/>
      <c r="AW127" s="11"/>
      <c r="BI127" s="37"/>
      <c r="BJ127" s="37"/>
      <c r="BK127" s="37"/>
      <c r="BL127" s="37"/>
      <c r="BM127" s="37"/>
      <c r="BN127" s="37"/>
      <c r="BO127" s="37"/>
      <c r="BP127" s="37"/>
      <c r="BQ127" s="37"/>
      <c r="BS127" s="12" t="s">
        <v>786</v>
      </c>
      <c r="BT127" s="15"/>
      <c r="BU127" s="15"/>
      <c r="BV127" s="15"/>
      <c r="BW127" s="15"/>
      <c r="BX127" s="15" t="str">
        <f>IF(BY63=0,"",IF(NOT(BY111="Bonded"),"","0.5*Adhesive shear strength &gt;= Test Load:"))</f>
        <v/>
      </c>
      <c r="BY127" s="26" t="str">
        <f>IF(BY126="","",0.5*BY124*BY126)</f>
        <v/>
      </c>
      <c r="BZ127" s="177" t="str">
        <f>IF(OR(BY124="",BY126=""),"",BY127/$U$23)</f>
        <v/>
      </c>
      <c r="CA127" s="128" t="str">
        <f>IF(BY63=0,"N/A",IF(NOT(BY111="Bonded"),"N/A",IF(BZ127&lt;1,"REJECT","EQ")))</f>
        <v>N/A</v>
      </c>
      <c r="CC127" s="12" t="s">
        <v>786</v>
      </c>
      <c r="CD127" s="15"/>
      <c r="CE127" s="15"/>
      <c r="CF127" s="15"/>
      <c r="CG127" s="15"/>
      <c r="CH127" s="15" t="str">
        <f>IF(CI63=0,"",IF(NOT(CI111="Bonded"),"","0.5*Adhesive shear strength &gt;= Test Load:"))</f>
        <v/>
      </c>
      <c r="CI127" s="26" t="str">
        <f>IF(CI126="","",0.5*CI124*CI126)</f>
        <v/>
      </c>
      <c r="CJ127" s="177" t="str">
        <f>IF(OR(CI124="",CI126=""),"",CI127/$U$23)</f>
        <v/>
      </c>
      <c r="CK127" s="128" t="str">
        <f>IF(CI63=0,"N/A",IF(NOT(CI111="Bonded"),"N/A",IF(CJ127&lt;1,"REJECT","EQ")))</f>
        <v>N/A</v>
      </c>
      <c r="CM127" s="12" t="s">
        <v>786</v>
      </c>
      <c r="CN127" s="15"/>
      <c r="CO127" s="15"/>
      <c r="CP127" s="15"/>
      <c r="CQ127" s="15"/>
      <c r="CR127" s="15" t="str">
        <f>IF(CS63=0,"",IF(NOT(CS111="Bonded"),"","0.5*Adhesive shear strength &gt;= Test Load:"))</f>
        <v/>
      </c>
      <c r="CS127" s="26" t="str">
        <f>IF(CS126="","",0.5*CS124*CS126)</f>
        <v/>
      </c>
      <c r="CT127" s="177" t="str">
        <f>IF(OR(CS124="",CS126=""),"",CS127/$U$23)</f>
        <v/>
      </c>
      <c r="CU127" s="128" t="str">
        <f>IF(CS63=0,"N/A",IF(NOT(CS111="Bonded"),"N/A",IF(CT127&lt;1,"REJECT","EQ")))</f>
        <v>N/A</v>
      </c>
      <c r="CW127" s="12" t="s">
        <v>786</v>
      </c>
      <c r="CX127" s="15"/>
      <c r="CY127" s="15"/>
      <c r="CZ127" s="15"/>
      <c r="DA127" s="15"/>
      <c r="DB127" s="15" t="str">
        <f>IF(DC63=0,"",IF(NOT(DC111="Bonded"),"","0.5*Adhesive shear strength &gt;= Test Load:"))</f>
        <v/>
      </c>
      <c r="DC127" s="26" t="str">
        <f>IF(DC126="","",0.5*DC124*DC126)</f>
        <v/>
      </c>
      <c r="DD127" s="177" t="str">
        <f>IF(OR(DC124="",DC126=""),"",DC127/$U$23)</f>
        <v/>
      </c>
      <c r="DE127" s="128" t="str">
        <f>IF(DC63=0,"N/A",IF(NOT(DC111="Bonded"),"N/A",IF(DD127&lt;1,"REJECT","EQ")))</f>
        <v>N/A</v>
      </c>
      <c r="DG127" s="12" t="s">
        <v>786</v>
      </c>
      <c r="DH127" s="15"/>
      <c r="DI127" s="15"/>
      <c r="DJ127" s="15"/>
      <c r="DK127" s="15"/>
      <c r="DL127" s="15" t="str">
        <f>IF(DM63=0,"",IF(NOT(DM111="Bonded"),"","0.5*Adhesive shear strength &gt;= Test Load:"))</f>
        <v/>
      </c>
      <c r="DM127" s="26" t="str">
        <f>IF(DM126="","",0.5*DM124*DM126)</f>
        <v/>
      </c>
      <c r="DN127" s="177" t="str">
        <f>IF(OR(DM124="",DM126=""),"",DM127/$U$23)</f>
        <v/>
      </c>
      <c r="DO127" s="128" t="str">
        <f>IF(DM63=0,"N/A",IF(NOT(DM111="Bonded"),"N/A",IF(DN127&lt;1,"REJECT","EQ")))</f>
        <v>N/A</v>
      </c>
    </row>
    <row r="128" spans="1:119" ht="15" customHeight="1" x14ac:dyDescent="0.2">
      <c r="A128" s="12"/>
      <c r="B128" s="15"/>
      <c r="C128" s="15"/>
      <c r="D128" s="15"/>
      <c r="E128" s="15"/>
      <c r="F128" s="193" t="str">
        <f>_xlfn.CONCAT(IF(B120="Lid attachment equivlent to weld","Lid ","Segment "),
IF(G122="Shear","tearout","pullout")," thickness or thread depth at fastener:")</f>
        <v>Segment pullout thickness or thread depth at fastener:</v>
      </c>
      <c r="G128" s="16"/>
      <c r="H128" s="25" t="str">
        <f>IF($A$25="mm","mm","in")</f>
        <v>in</v>
      </c>
      <c r="I128" s="11" t="str">
        <f>IF(G128="","BLANK","EQ")</f>
        <v>BLANK</v>
      </c>
      <c r="K128" s="12" t="s">
        <v>765</v>
      </c>
      <c r="L128" s="37"/>
      <c r="M128" s="37"/>
      <c r="N128" s="37"/>
      <c r="O128" s="37" t="s">
        <v>793</v>
      </c>
      <c r="P128" s="37"/>
      <c r="Q128" s="37"/>
      <c r="R128" s="37"/>
      <c r="S128" s="37"/>
      <c r="U128" s="10"/>
      <c r="V128" s="10"/>
      <c r="W128" s="10"/>
      <c r="X128" s="10"/>
      <c r="Y128" s="10"/>
      <c r="Z128" s="10"/>
      <c r="AA128" s="10"/>
      <c r="AB128" s="10"/>
      <c r="AC128" s="10"/>
      <c r="AO128" s="12"/>
      <c r="AP128" s="32"/>
      <c r="AQ128" s="32"/>
      <c r="AR128" s="32"/>
      <c r="AS128" s="32"/>
      <c r="AT128" s="11"/>
      <c r="AU128" s="11"/>
      <c r="AW128" s="11"/>
      <c r="BI128" s="11"/>
      <c r="BJ128" s="11"/>
      <c r="BL128" s="15"/>
      <c r="BM128" s="181"/>
      <c r="BO128" s="15"/>
      <c r="BP128" s="181"/>
      <c r="BS128" s="11"/>
      <c r="BT128" s="11"/>
      <c r="BV128" s="15"/>
      <c r="BW128" s="182"/>
      <c r="BX128" s="15" t="str">
        <f>IF(BY63=0,"",IF(NOT(BY111="Bonded"),"","0.5*(0.5*T-peel)/Peel*Area &gt;= Test Load *Offset/Brace:"))</f>
        <v/>
      </c>
      <c r="BY128" s="26" t="str">
        <f>IF(BY126="","",0.5*0.5*BY125*BY126)</f>
        <v/>
      </c>
      <c r="BZ128" s="177" t="str">
        <f>IF(OR(BY126="",BY125=""),"",BY128/($U$23*BY63/IF(MIN(BY97,BY99)&gt;0,MIN(BY97,BY99),BY63)))</f>
        <v/>
      </c>
      <c r="CA128" s="128" t="str">
        <f>IF(BY63=0,"N/A",IF(NOT(BY111="Bonded"),"N/A",IF(BZ128&lt;1,"REJECT","EQ")))</f>
        <v>N/A</v>
      </c>
      <c r="CC128" s="11"/>
      <c r="CD128" s="11"/>
      <c r="CF128" s="15"/>
      <c r="CG128" s="182"/>
      <c r="CH128" s="15" t="str">
        <f>IF(CI63=0,"",IF(NOT(CI111="Bonded"),"","0.5*(0.5*T-peel)/Peel*Area &gt;= Test Load *Offset/Brace:"))</f>
        <v/>
      </c>
      <c r="CI128" s="26" t="str">
        <f>IF(CI126="","",0.5*0.5*CI125*CI126)</f>
        <v/>
      </c>
      <c r="CJ128" s="177" t="str">
        <f>IF(OR(CI126="",CI125=""),"",CI128/($U$23*CI63/IF(MIN(CI97,CI99)&gt;0,MIN(CI97,CI99),CI63)))</f>
        <v/>
      </c>
      <c r="CK128" s="128" t="str">
        <f>IF(CI63=0,"N/A",IF(NOT(CI111="Bonded"),"N/A",IF(CJ128&lt;1,"REJECT","EQ")))</f>
        <v>N/A</v>
      </c>
      <c r="CM128" s="11"/>
      <c r="CN128" s="11"/>
      <c r="CP128" s="15"/>
      <c r="CQ128" s="182"/>
      <c r="CR128" s="15" t="str">
        <f>IF(CS63=0,"",IF(NOT(CS111="Bonded"),"","0.5*(0.5*T-peel)/Peel*Area &gt;= Test Load *Offset/Brace:"))</f>
        <v/>
      </c>
      <c r="CS128" s="26" t="str">
        <f>IF(CS126="","",0.5*0.5*CS125*CS126)</f>
        <v/>
      </c>
      <c r="CT128" s="177" t="str">
        <f>IF(OR(CS126="",CS125=""),"",CS128/($U$23*CS63/IF(MIN(CS97,CS99)&gt;0,MIN(CS97,CS99),CS63)))</f>
        <v/>
      </c>
      <c r="CU128" s="128" t="str">
        <f>IF(CS63=0,"N/A",IF(NOT(CS111="Bonded"),"N/A",IF(CT128&lt;1,"REJECT","EQ")))</f>
        <v>N/A</v>
      </c>
      <c r="CW128" s="11"/>
      <c r="CX128" s="11"/>
      <c r="CZ128" s="15"/>
      <c r="DA128" s="182"/>
      <c r="DB128" s="15" t="str">
        <f>IF(DC63=0,"",IF(NOT(DC111="Bonded"),"","0.5*(0.5*T-peel)/Peel*Area &gt;= Test Load *Offset/Brace:"))</f>
        <v/>
      </c>
      <c r="DC128" s="26" t="str">
        <f>IF(DC126="","",0.5*0.5*DC125*DC126)</f>
        <v/>
      </c>
      <c r="DD128" s="177" t="str">
        <f>IF(OR(DC126="",DC125=""),"",DC128/($U$23*DC63/IF(MIN(DC97,DC99)&gt;0,MIN(DC97,DC99),DC63)))</f>
        <v/>
      </c>
      <c r="DE128" s="128" t="str">
        <f>IF(DC63=0,"N/A",IF(NOT(DC111="Bonded"),"N/A",IF(DD128&lt;1,"REJECT","EQ")))</f>
        <v>N/A</v>
      </c>
      <c r="DG128" s="11"/>
      <c r="DH128" s="11"/>
      <c r="DJ128" s="15"/>
      <c r="DK128" s="182"/>
      <c r="DL128" s="15" t="str">
        <f>IF(DM63=0,"",IF(NOT(DM111="Bonded"),"","0.5*(0.5*T-peel)/Peel*Area &gt;= Test Load *Offset/Brace:"))</f>
        <v/>
      </c>
      <c r="DM128" s="26" t="str">
        <f>IF(DM126="","",0.5*0.5*DM125*DM126)</f>
        <v/>
      </c>
      <c r="DN128" s="177" t="str">
        <f>IF(OR(DM126="",DM125=""),"",DM128/($U$23*DM63/IF(MIN(DM97,DM99)&gt;0,MIN(DM97,DM99),DM63)))</f>
        <v/>
      </c>
      <c r="DO128" s="128" t="str">
        <f>IF(DM63=0,"N/A",IF(NOT(DM111="Bonded"),"N/A",IF(DN128&lt;1,"REJECT","EQ")))</f>
        <v>N/A</v>
      </c>
    </row>
    <row r="129" spans="1:119" ht="15" customHeight="1" thickBot="1" x14ac:dyDescent="0.25">
      <c r="A129" s="12"/>
      <c r="B129" s="15"/>
      <c r="C129" s="15"/>
      <c r="D129" s="15"/>
      <c r="E129" s="15"/>
      <c r="F129" s="193" t="str">
        <f>IF(G122="Shear","--Tearout--Min fastener spacing, edge, or thinner material dist:","--Pullout--Fastener perimeter or thread circumference:")</f>
        <v>--Pullout--Fastener perimeter or thread circumference:</v>
      </c>
      <c r="G129" s="16"/>
      <c r="H129" s="25" t="str">
        <f>IF($A$25="mm","mm","in")</f>
        <v>in</v>
      </c>
      <c r="I129" s="11" t="str">
        <f>IF(G129="","BLANK","EQ")</f>
        <v>BLANK</v>
      </c>
      <c r="K129" s="295" t="str" cm="1">
        <f t="array" ref="K129">IF(COUNTIF(S130:S157,"BLANK"),"BLANK",IF(OR(SUMPRODUCT(--ISERROR(S130:S157))&gt;0,COUNTIF(S130:S157,"REJECT")),"REJECT",IF(COUNTIF(S130:S157,"CHECK"),"CHECK","EQ")))</f>
        <v>BLANK</v>
      </c>
      <c r="L129" s="295"/>
      <c r="M129" s="295"/>
      <c r="N129" s="295"/>
      <c r="O129" s="295"/>
      <c r="P129" s="295"/>
      <c r="Q129" s="295"/>
      <c r="R129" s="295"/>
      <c r="S129" s="295"/>
      <c r="U129" s="10"/>
      <c r="V129" s="10"/>
      <c r="W129" s="10"/>
      <c r="X129" s="10"/>
      <c r="Y129" s="10"/>
      <c r="Z129" s="10"/>
      <c r="AA129" s="10"/>
      <c r="AB129" s="10"/>
      <c r="AC129" s="10"/>
      <c r="AO129" s="12"/>
      <c r="AP129" s="15"/>
      <c r="AQ129" s="15"/>
      <c r="AR129" s="15"/>
      <c r="AS129" s="15"/>
      <c r="AT129" s="12"/>
      <c r="AU129" s="12"/>
      <c r="AV129" s="12"/>
      <c r="AW129" s="11"/>
      <c r="BI129" s="22"/>
      <c r="BJ129" s="11"/>
      <c r="BL129" s="15"/>
      <c r="BM129" s="181"/>
      <c r="BO129" s="15"/>
      <c r="BP129" s="181"/>
      <c r="BS129" s="124"/>
      <c r="BT129" s="15"/>
      <c r="BU129" s="15"/>
      <c r="BV129" s="15"/>
      <c r="BW129" s="15"/>
      <c r="BX129" s="188" t="str">
        <f>IF(BY63=0,"",IF(NOT(BY111="Bonded"),"","Bonded Area Perimeter:"))</f>
        <v/>
      </c>
      <c r="BY129" s="82"/>
      <c r="BZ129" s="25" t="str">
        <f>IF($A$25="mm","mm","in")</f>
        <v>in</v>
      </c>
      <c r="CA129" s="11" t="str">
        <f>IF(BY63=0,"N/A",IF(NOT(BY111="Bonded"),"N/A",IF(BY129="","BLANK","EQ")))</f>
        <v>N/A</v>
      </c>
      <c r="CH129" s="188" t="str">
        <f>IF(CI63=0,"",IF(NOT(CI111="Bonded"),"","Bonded Area Perimeter:"))</f>
        <v/>
      </c>
      <c r="CI129" s="82"/>
      <c r="CJ129" s="25" t="str">
        <f>IF($A$25="mm","mm","in")</f>
        <v>in</v>
      </c>
      <c r="CK129" s="11" t="str">
        <f>IF(CI63=0,"N/A",IF(NOT(CI111="Bonded"),"N/A",IF(CI129="","BLANK","EQ")))</f>
        <v>N/A</v>
      </c>
      <c r="CR129" s="188" t="str">
        <f>IF(CS63=0,"",IF(NOT(CS111="Bonded"),"","Bonded Area Perimeter:"))</f>
        <v/>
      </c>
      <c r="CS129" s="82"/>
      <c r="CT129" s="25" t="str">
        <f>IF($A$25="mm","mm","in")</f>
        <v>in</v>
      </c>
      <c r="CU129" s="11" t="str">
        <f>IF(CS63=0,"N/A",IF(NOT(CS111="Bonded"),"N/A",IF(CS129="","BLANK","EQ")))</f>
        <v>N/A</v>
      </c>
      <c r="DB129" s="188" t="str">
        <f>IF(DC63=0,"",IF(NOT(DC111="Bonded"),"","Bonded Area Perimeter:"))</f>
        <v/>
      </c>
      <c r="DC129" s="82"/>
      <c r="DD129" s="25" t="str">
        <f>IF($A$25="mm","mm","in")</f>
        <v>in</v>
      </c>
      <c r="DE129" s="11" t="str">
        <f>IF(DC63=0,"N/A",IF(NOT(DC111="Bonded"),"N/A",IF(DC129="","BLANK","EQ")))</f>
        <v>N/A</v>
      </c>
      <c r="DL129" s="188" t="str">
        <f>IF(DM63=0,"",IF(NOT(DM111="Bonded"),"","Bonded Area Perimeter:"))</f>
        <v/>
      </c>
      <c r="DM129" s="82"/>
      <c r="DN129" s="25" t="str">
        <f>IF($A$25="mm","mm","in")</f>
        <v>in</v>
      </c>
      <c r="DO129" s="11" t="str">
        <f>IF(DM63=0,"N/A",IF(NOT(DM111="Bonded"),"N/A",IF(DM129="","BLANK","EQ")))</f>
        <v>N/A</v>
      </c>
    </row>
    <row r="130" spans="1:119" ht="15" customHeight="1" thickBot="1" x14ac:dyDescent="0.25">
      <c r="B130" s="15" t="str">
        <f>IF(B120="Lid attachment equivlent to weld","Lid material:","Segment material:")</f>
        <v>Segment material:</v>
      </c>
      <c r="C130" s="314"/>
      <c r="D130" s="341"/>
      <c r="E130" s="315"/>
      <c r="F130" s="193" t="s">
        <v>659</v>
      </c>
      <c r="G130" s="82"/>
      <c r="H130" s="25" t="str">
        <f>IF($A$25="mm","Pa","psi")</f>
        <v>psi</v>
      </c>
      <c r="I130" s="11" t="str">
        <f>IF(OR(C130="",G130=""),"BLANK","EQ")</f>
        <v>BLANK</v>
      </c>
      <c r="L130" s="15"/>
      <c r="M130" s="15"/>
      <c r="N130" s="32" t="str">
        <f>IF(O130="Vector From Hole To Firewall-Seat","FIREWALL DOES NOT SATISFY F.10.4.4.c", "No accumulator holes with line of sight to driver:")</f>
        <v>No accumulator holes with line of sight to driver:</v>
      </c>
      <c r="O130" s="298"/>
      <c r="P130" s="299"/>
      <c r="Q130" s="299"/>
      <c r="R130" s="300"/>
      <c r="S130" s="11" t="str">
        <f>IF(O130="","BLANK",IF(O130="Vector From Hole To Firewall-Seat","REJECT","EQ"))</f>
        <v>BLANK</v>
      </c>
      <c r="U130" s="10"/>
      <c r="V130" s="10"/>
      <c r="W130" s="10"/>
      <c r="X130" s="10"/>
      <c r="Y130" s="10"/>
      <c r="Z130" s="10"/>
      <c r="AA130" s="10"/>
      <c r="AB130" s="10"/>
      <c r="AC130" s="10"/>
      <c r="AO130" s="11"/>
      <c r="AP130" s="15"/>
      <c r="AQ130" s="15"/>
      <c r="AR130" s="15"/>
      <c r="AS130" s="15"/>
      <c r="AT130" s="11"/>
      <c r="AU130" s="143"/>
      <c r="AV130" s="143"/>
      <c r="AW130" s="11"/>
      <c r="BI130" s="22"/>
      <c r="BJ130" s="11"/>
      <c r="BL130" s="15"/>
      <c r="BM130" s="128"/>
      <c r="BO130" s="15"/>
      <c r="BP130" s="181"/>
      <c r="BS130" s="12"/>
      <c r="BT130" s="15"/>
      <c r="BU130" s="15"/>
      <c r="BV130" s="15"/>
      <c r="BW130" s="15"/>
      <c r="BX130" s="188" t="str">
        <f>IF(BY63=0,"",IF(NOT(BY111="Bonded"),"","Bonded Single Skin Thickness:"))</f>
        <v/>
      </c>
      <c r="BY130" s="82"/>
      <c r="BZ130" s="25" t="str">
        <f>IF($A$25="mm","mm","in")</f>
        <v>in</v>
      </c>
      <c r="CA130" s="11" t="str">
        <f>IF(BY63=0,"N/A",IF(NOT(BY111="Bonded"),"N/A",IF(BY124="","BLANK","EQ")))</f>
        <v>N/A</v>
      </c>
      <c r="CH130" s="188" t="str">
        <f>IF(CI63=0,"",IF(NOT(CI111="Bonded"),"","Bonded Single Skin Thickness:"))</f>
        <v/>
      </c>
      <c r="CI130" s="82"/>
      <c r="CJ130" s="25" t="str">
        <f>IF($A$25="mm","mm","in")</f>
        <v>in</v>
      </c>
      <c r="CK130" s="11" t="str">
        <f>IF(CI63=0,"N/A",IF(NOT(CI111="Bonded"),"N/A",IF(CI124="","BLANK","EQ")))</f>
        <v>N/A</v>
      </c>
      <c r="CR130" s="188" t="str">
        <f>IF(CS63=0,"",IF(NOT(CS111="Bonded"),"","Bonded Single Skin Thickness:"))</f>
        <v/>
      </c>
      <c r="CS130" s="82"/>
      <c r="CT130" s="25" t="str">
        <f>IF($A$25="mm","mm","in")</f>
        <v>in</v>
      </c>
      <c r="CU130" s="11" t="str">
        <f>IF(CS63=0,"N/A",IF(NOT(CS111="Bonded"),"N/A",IF(CS124="","BLANK","EQ")))</f>
        <v>N/A</v>
      </c>
      <c r="DB130" s="188" t="str">
        <f>IF(DC63=0,"",IF(NOT(DC111="Bonded"),"","Bonded Single Skin Thickness:"))</f>
        <v/>
      </c>
      <c r="DC130" s="82"/>
      <c r="DD130" s="25" t="str">
        <f>IF($A$25="mm","mm","in")</f>
        <v>in</v>
      </c>
      <c r="DE130" s="11" t="str">
        <f>IF(DC63=0,"N/A",IF(NOT(DC111="Bonded"),"N/A",IF(DC124="","BLANK","EQ")))</f>
        <v>N/A</v>
      </c>
      <c r="DL130" s="188" t="str">
        <f>IF(DM63=0,"",IF(NOT(DM111="Bonded"),"","Bonded Single Skin Thickness:"))</f>
        <v/>
      </c>
      <c r="DM130" s="82"/>
      <c r="DN130" s="25" t="str">
        <f>IF($A$25="mm","mm","in")</f>
        <v>in</v>
      </c>
      <c r="DO130" s="11" t="str">
        <f>IF(DM63=0,"N/A",IF(NOT(DM111="Bonded"),"N/A",IF(DM124="","BLANK","EQ")))</f>
        <v>N/A</v>
      </c>
    </row>
    <row r="131" spans="1:119" ht="15" customHeight="1" thickBot="1" x14ac:dyDescent="0.25">
      <c r="F131" s="193" t="str">
        <f>_xlfn.CONCAT(IF(B120="Lid attachment equivlent to weld","Lid ","Segment "),
IF(G122="Shear","tearout: Shear*Thickness*2*Tearout","pullout: Shear*Thickness*Pullout"),
IF(B120="Lid attachment equivlent to weld","/Spacing:","*Number:"))</f>
        <v>Segment pullout: Shear*Thickness*Pullout*Number:</v>
      </c>
      <c r="G131" s="181">
        <f>G128*G129*G130*IF(G$122="Shear",2,1)*IF(B$120="Lid attachment equivlent to weld",1/G$123,G$123)*IF($A$25="mm",1/10^6,1)</f>
        <v>0</v>
      </c>
      <c r="H131" s="127" t="e">
        <f>G131/IF(B120="Lid attachment equivlent to weld",$Q$161,G$126)</f>
        <v>#DIV/0!</v>
      </c>
      <c r="I131" s="128" t="e">
        <f>IF(H131&gt;=1,"EQ",IF(H131&gt;=0.95,"CHECK","REJECT"))</f>
        <v>#DIV/0!</v>
      </c>
      <c r="K131" s="12" t="s">
        <v>668</v>
      </c>
      <c r="P131" s="15" t="s">
        <v>794</v>
      </c>
      <c r="Q131" s="169"/>
      <c r="S131" s="11" t="str">
        <f>IF(Q131="","BLANK",IF(Q131&gt;=0.75,"EQ","REJECT"))</f>
        <v>BLANK</v>
      </c>
      <c r="U131" s="10"/>
      <c r="V131" s="10"/>
      <c r="W131" s="10"/>
      <c r="X131" s="10"/>
      <c r="Y131" s="10"/>
      <c r="Z131" s="10"/>
      <c r="AA131" s="10"/>
      <c r="AB131" s="10"/>
      <c r="AC131" s="10"/>
      <c r="AO131" s="12"/>
      <c r="AP131" s="15"/>
      <c r="AQ131" s="15"/>
      <c r="AR131" s="15"/>
      <c r="AS131" s="15"/>
      <c r="AT131" s="11"/>
      <c r="AU131" s="11"/>
      <c r="AW131" s="11"/>
      <c r="BI131" s="11"/>
      <c r="BJ131" s="11"/>
      <c r="BL131" s="15"/>
      <c r="BM131" s="182"/>
      <c r="BO131" s="15"/>
      <c r="BP131" s="181"/>
      <c r="BS131" s="124"/>
      <c r="BT131" s="15"/>
      <c r="BU131" s="15"/>
      <c r="BV131" s="15"/>
      <c r="BW131" s="15"/>
      <c r="BX131" s="188" t="str">
        <f>IF(BY63=0,"",IF(NOT(BY111="Bonded"),"","Skin shear strength &gt;= Test Load:"))</f>
        <v/>
      </c>
      <c r="BY131" s="26" t="str">
        <f>IF(BY129="","",BY129*BY130*BY109*IF($A$25="mm",1/(10^6),1))</f>
        <v/>
      </c>
      <c r="BZ131" s="177" t="str">
        <f>IF(OR(BY129="",BY130=""),"",BY131/$U$23)</f>
        <v/>
      </c>
      <c r="CA131" s="11" t="str">
        <f>IF(BY63=0,"N/A",IF(NOT(BY111="Bonded"),"N/A",IF(BZ131&lt;1,"REJECT","EQ")))</f>
        <v>N/A</v>
      </c>
      <c r="CH131" s="188" t="str">
        <f>IF(CI63=0,"",IF(NOT(CI111="Bonded"),"","Skin shear strength &gt;= Test Load:"))</f>
        <v/>
      </c>
      <c r="CI131" s="26" t="str">
        <f>IF(CI129="","",CI129*CI130*CI109*IF($A$25="mm",1/(10^6),1))</f>
        <v/>
      </c>
      <c r="CJ131" s="177" t="str">
        <f>IF(OR(CI129="",CI130=""),"",CI131/$U$23)</f>
        <v/>
      </c>
      <c r="CK131" s="11" t="str">
        <f>IF(CI63=0,"N/A",IF(NOT(CI111="Bonded"),"N/A",IF(CJ131&lt;1,"REJECT","EQ")))</f>
        <v>N/A</v>
      </c>
      <c r="CR131" s="188" t="str">
        <f>IF(CS63=0,"",IF(NOT(CS111="Bonded"),"","Skin shear strength &gt;= Test Load:"))</f>
        <v/>
      </c>
      <c r="CS131" s="26" t="str">
        <f>IF(CS129="","",CS129*CS130*CS109*IF($A$25="mm",1/(10^6),1))</f>
        <v/>
      </c>
      <c r="CT131" s="177" t="str">
        <f>IF(OR(CS129="",CS130=""),"",CS131/$U$23)</f>
        <v/>
      </c>
      <c r="CU131" s="11" t="str">
        <f>IF(CS63=0,"N/A",IF(NOT(CS111="Bonded"),"N/A",IF(CT131&lt;1,"REJECT","EQ")))</f>
        <v>N/A</v>
      </c>
      <c r="DB131" s="188" t="str">
        <f>IF(DC63=0,"",IF(NOT(DC111="Bonded"),"","Skin shear strength &gt;= Test Load:"))</f>
        <v/>
      </c>
      <c r="DC131" s="26" t="str">
        <f>IF(DC129="","",DC129*DC130*DC109*IF($A$25="mm",1/(10^6),1))</f>
        <v/>
      </c>
      <c r="DD131" s="177" t="str">
        <f>IF(OR(DC129="",DC130=""),"",DC131/$U$23)</f>
        <v/>
      </c>
      <c r="DE131" s="11" t="str">
        <f>IF(DC63=0,"N/A",IF(NOT(DC111="Bonded"),"N/A",IF(DD131&lt;1,"REJECT","EQ")))</f>
        <v>N/A</v>
      </c>
      <c r="DL131" s="188" t="str">
        <f>IF(DM63=0,"",IF(NOT(DM111="Bonded"),"","Skin shear strength &gt;= Test Load:"))</f>
        <v/>
      </c>
      <c r="DM131" s="26" t="str">
        <f>IF(DM129="","",DM129*DM130*DM109*IF($A$25="mm",1/(10^6),1))</f>
        <v/>
      </c>
      <c r="DN131" s="177" t="str">
        <f>IF(OR(DM129="",DM130=""),"",DM131/$U$23)</f>
        <v/>
      </c>
      <c r="DO131" s="11" t="str">
        <f>IF(DM63=0,"N/A",IF(NOT(DM111="Bonded"),"N/A",IF(DN131&lt;1,"REJECT","EQ")))</f>
        <v>N/A</v>
      </c>
    </row>
    <row r="132" spans="1:119" ht="15" customHeight="1" thickBot="1" x14ac:dyDescent="0.25">
      <c r="A132" s="12"/>
      <c r="B132" s="15"/>
      <c r="C132" s="15"/>
      <c r="D132" s="15"/>
      <c r="E132" s="15"/>
      <c r="F132" s="193" t="str">
        <f>_xlfn.CONCAT("Container ",IF(G122="Shear","tearout","pullout")," thickness or thread depth at fastener:")</f>
        <v>Container pullout thickness or thread depth at fastener:</v>
      </c>
      <c r="G132" s="16"/>
      <c r="H132" s="25" t="str">
        <f>IF($A$25="mm","mm","in")</f>
        <v>in</v>
      </c>
      <c r="I132" s="11" t="str">
        <f>IF(G132="","BLANK","EQ")</f>
        <v>BLANK</v>
      </c>
      <c r="K132" s="12" t="s">
        <v>765</v>
      </c>
      <c r="M132" s="35"/>
      <c r="N132" s="35"/>
      <c r="O132" s="32" t="s">
        <v>795</v>
      </c>
      <c r="P132" s="298"/>
      <c r="Q132" s="300"/>
      <c r="S132" s="11" t="str">
        <f>IF(P132="","BLANK","EQ")</f>
        <v>BLANK</v>
      </c>
      <c r="U132" s="43"/>
      <c r="V132" s="10"/>
      <c r="W132" s="10"/>
      <c r="X132" s="10"/>
      <c r="Y132" s="10"/>
      <c r="Z132" s="10"/>
      <c r="AA132" s="10"/>
      <c r="AB132" s="10"/>
      <c r="AC132" s="10"/>
      <c r="AP132" s="15"/>
      <c r="AQ132" s="15"/>
      <c r="AR132" s="15"/>
      <c r="AS132" s="15"/>
      <c r="AT132" s="11"/>
      <c r="AU132" s="11"/>
      <c r="AW132" s="11"/>
      <c r="BI132" s="11"/>
      <c r="BJ132" s="11"/>
      <c r="BL132" s="15"/>
      <c r="BM132" s="194"/>
      <c r="BO132" s="15"/>
      <c r="BP132" s="181"/>
      <c r="BS132" s="124"/>
      <c r="BT132" s="15"/>
      <c r="BU132" s="15"/>
      <c r="BV132" s="15"/>
      <c r="BW132" s="15"/>
      <c r="BX132" s="26"/>
      <c r="BY132" s="26"/>
      <c r="CA132" s="128"/>
    </row>
    <row r="133" spans="1:119" ht="15" customHeight="1" thickBot="1" x14ac:dyDescent="0.25">
      <c r="A133" s="12"/>
      <c r="B133" s="15"/>
      <c r="C133" s="15"/>
      <c r="D133" s="15"/>
      <c r="E133" s="15"/>
      <c r="F133" s="193" t="str">
        <f>IF(G122="Shear","--Tearout--Min fastener spacing, edge, or thinner material dist:","--Pullout--Fastener perimeter or thread circumference:")</f>
        <v>--Pullout--Fastener perimeter or thread circumference:</v>
      </c>
      <c r="G133" s="16"/>
      <c r="H133" s="25" t="str">
        <f>IF($A$25="mm","mm","in")</f>
        <v>in</v>
      </c>
      <c r="I133" s="11" t="str">
        <f>IF(G133="","BLANK","EQ")</f>
        <v>BLANK</v>
      </c>
      <c r="K133" s="12"/>
      <c r="L133" s="32"/>
      <c r="M133" s="32"/>
      <c r="N133" s="32"/>
      <c r="O133" s="32"/>
      <c r="P133" s="15" t="s">
        <v>774</v>
      </c>
      <c r="Q133" s="172"/>
      <c r="R133" s="25" t="str">
        <f>IF($A$25="mm","mm","in")</f>
        <v>in</v>
      </c>
      <c r="S133" s="11" t="str">
        <f>IF(P132="Composite","N/A",IF(Q133="","BLANK",
IF(P132="Isotropic","EQ",
IF(AND(P132="Steel",OR(AND($A$25="mm",Q133&gt;=0.9),AND($A$25="Inch",Q133&gt;=0.035))),"EQ",
IF(AND(P132="Aluminum",OR(AND($A$25="mm",Q133&gt;=2.3),AND($A$25="Inch",Q133&gt;=0.09))),"EQ","REJECT")))))</f>
        <v>BLANK</v>
      </c>
      <c r="U133" s="294" t="s">
        <v>796</v>
      </c>
      <c r="V133" s="294"/>
      <c r="W133" s="294"/>
      <c r="X133" s="294"/>
      <c r="Y133" s="294"/>
      <c r="Z133" s="294"/>
      <c r="AA133" s="294"/>
      <c r="AB133" s="294"/>
      <c r="AC133" s="294"/>
      <c r="AO133" s="12"/>
      <c r="AP133" s="15"/>
      <c r="AQ133" s="15"/>
      <c r="AR133" s="15"/>
      <c r="AS133" s="15"/>
      <c r="AT133" s="11"/>
      <c r="AU133" s="11"/>
      <c r="AW133" s="11"/>
      <c r="BI133" s="11"/>
      <c r="BJ133" s="11"/>
      <c r="BL133" s="32"/>
      <c r="BM133" s="187"/>
      <c r="BN133" s="187"/>
      <c r="BO133" s="12"/>
      <c r="BP133" s="12"/>
      <c r="BS133" s="47"/>
      <c r="BT133" s="47"/>
      <c r="BU133" s="124"/>
      <c r="BV133" s="124"/>
      <c r="BW133" s="124"/>
      <c r="BX133" s="181"/>
      <c r="BY133" s="126"/>
      <c r="BZ133" s="127"/>
      <c r="CA133" s="128"/>
    </row>
    <row r="134" spans="1:119" ht="15" customHeight="1" thickBot="1" x14ac:dyDescent="0.25">
      <c r="B134" s="15" t="s">
        <v>797</v>
      </c>
      <c r="C134" s="314"/>
      <c r="D134" s="341"/>
      <c r="E134" s="315"/>
      <c r="F134" s="193" t="s">
        <v>659</v>
      </c>
      <c r="G134" s="82"/>
      <c r="H134" s="25" t="str">
        <f>IF($A$25="mm","Pa","psi")</f>
        <v>psi</v>
      </c>
      <c r="I134" s="11" t="str">
        <f>IF(OR(C134="",G134=""),"BLANK","EQ")</f>
        <v>BLANK</v>
      </c>
      <c r="L134" s="15"/>
      <c r="M134" s="15"/>
      <c r="N134" s="15"/>
      <c r="O134" s="15"/>
      <c r="P134" s="15" t="s">
        <v>681</v>
      </c>
      <c r="Q134" s="342"/>
      <c r="R134" s="343"/>
      <c r="S134" s="11" t="str">
        <f>IF(NOT(OR(P132="Isotropic",P132="Composite")),"N/A",IF(Q134="","BLANK","EQ"))</f>
        <v>N/A</v>
      </c>
      <c r="U134" s="294"/>
      <c r="V134" s="294"/>
      <c r="W134" s="294"/>
      <c r="X134" s="294"/>
      <c r="Y134" s="294"/>
      <c r="Z134" s="294"/>
      <c r="AA134" s="294"/>
      <c r="AB134" s="294"/>
      <c r="AC134" s="294"/>
      <c r="AO134" s="12"/>
      <c r="AP134" s="15"/>
      <c r="AQ134" s="15"/>
      <c r="AR134" s="15"/>
      <c r="AS134" s="15"/>
      <c r="AT134" s="11"/>
      <c r="AU134" s="11"/>
      <c r="AW134" s="11"/>
      <c r="BI134" s="12"/>
      <c r="BJ134" s="15"/>
      <c r="BK134" s="15"/>
      <c r="BL134" s="15"/>
      <c r="BM134" s="15"/>
      <c r="BN134" s="11"/>
      <c r="BO134" s="11"/>
      <c r="BQ134" s="11"/>
      <c r="BS134" s="37"/>
      <c r="BT134" s="124"/>
      <c r="BU134" s="124"/>
      <c r="BV134" s="124"/>
      <c r="BW134" s="124"/>
      <c r="BX134" s="181"/>
      <c r="BY134" s="126"/>
      <c r="BZ134" s="127"/>
      <c r="CA134" s="128"/>
      <c r="CB134" s="11"/>
    </row>
    <row r="135" spans="1:119" ht="15" customHeight="1" x14ac:dyDescent="0.2">
      <c r="F135" s="193" t="str">
        <f>_xlfn.CONCAT("Container ",
IF(G122="Shear","tearout: Shear*Thickness*2*Tearout","pullout: Shear*Thickness*Pullout"),
IF(B120="Lid attachment equivlent to weld","/Spacing:","*Number:"))</f>
        <v>Container pullout: Shear*Thickness*Pullout*Number:</v>
      </c>
      <c r="G135" s="181">
        <f>G132*G133*G134*IF(G$122="Shear",2,1)*IF(B$120="Lid attachment equivlent to weld",1/G$123,G$123)*IF($A$25="mm",1/10^6,1)</f>
        <v>0</v>
      </c>
      <c r="H135" s="127" t="e">
        <f>G135/IF(B120="Lid attachment equivlent to weld",$Q$161,G$126)</f>
        <v>#DIV/0!</v>
      </c>
      <c r="I135" s="128" t="e">
        <f>IF(H135&gt;=1,"EQ",IF(H135&gt;=0.95,"CHECK","REJECT"))</f>
        <v>#DIV/0!</v>
      </c>
      <c r="L135" s="15"/>
      <c r="M135" s="15"/>
      <c r="N135" s="15"/>
      <c r="O135" s="15"/>
      <c r="P135" s="15" t="s">
        <v>684</v>
      </c>
      <c r="Q135" s="128">
        <f>IF(NOT(P132="Composite"),Q133,Q136+Q138+Q137)</f>
        <v>0</v>
      </c>
      <c r="R135" s="25" t="str">
        <f>IF($A$25="mm","mm","in")</f>
        <v>in</v>
      </c>
      <c r="S135" s="128" t="str">
        <f>IF(NOT(OR(P132="Isotropic",P132="Composite")),"N/A","EQ")</f>
        <v>N/A</v>
      </c>
      <c r="U135" s="10"/>
      <c r="V135" s="10"/>
      <c r="W135" s="10"/>
      <c r="X135" s="10"/>
      <c r="Y135" s="10"/>
      <c r="Z135" s="10"/>
      <c r="AA135" s="10"/>
      <c r="AB135" s="10"/>
      <c r="AC135" s="10"/>
      <c r="AO135" s="12"/>
      <c r="AP135" s="15"/>
      <c r="AQ135" s="15"/>
      <c r="AR135" s="15"/>
      <c r="AS135" s="15"/>
      <c r="AT135" s="11"/>
      <c r="AU135" s="11"/>
      <c r="AW135" s="11"/>
      <c r="BI135" s="15"/>
      <c r="BJ135" s="15"/>
      <c r="BK135" s="15"/>
      <c r="BL135" s="15"/>
      <c r="BM135" s="15"/>
      <c r="BN135" s="26"/>
      <c r="BO135" s="26"/>
      <c r="BQ135" s="11"/>
      <c r="BS135" s="11"/>
      <c r="BT135" s="11"/>
      <c r="BU135" s="11"/>
      <c r="BV135" s="11"/>
      <c r="BW135" s="11"/>
      <c r="BX135" s="11"/>
      <c r="BY135" s="11"/>
      <c r="BZ135" s="11"/>
      <c r="CA135" s="11"/>
      <c r="CB135" s="11"/>
    </row>
    <row r="136" spans="1:119" ht="15" customHeight="1" x14ac:dyDescent="0.2">
      <c r="K136" s="37" t="s">
        <v>688</v>
      </c>
      <c r="L136" s="124"/>
      <c r="M136" s="124" t="s">
        <v>689</v>
      </c>
      <c r="N136" s="174" t="str" cm="1">
        <f t="array" aca="1" ref="N136" ca="1">IF(ISREF(INDIRECT("'"&amp;Q134&amp;"'!$AE$82")),
IF(INDIRECT("'"&amp;Q134&amp;"'!$AE$82")=0,(1+Q136)/(1+INDIRECT("'"&amp;Q134&amp;"'!$AE$82")),
IF(Q136/IF($A$25="mm",INDIRECT("'"&amp;Q134&amp;"'!$AE$82"),INDIRECT("'"&amp;Q134&amp;"'!$AE$83"))&lt;0.5,
(Q136+IF($A$25="mm",0.127,0.005))/IF($A$25="mm",INDIRECT("'"&amp;Q134&amp;"'!$AE$82"),INDIRECT("'"&amp;Q134&amp;"'!$AE$83")),
Q136/IF($A$25="mm",INDIRECT("'"&amp;Q134&amp;"'!$AE$82"),INDIRECT("'"&amp;Q134&amp;"'!$AE$83")))),"Typo")</f>
        <v>Typo</v>
      </c>
      <c r="O136" s="124"/>
      <c r="P136" s="124" t="s">
        <v>690</v>
      </c>
      <c r="Q136" s="175"/>
      <c r="R136" s="25" t="str">
        <f>IF($A$25="mm","mm","in")</f>
        <v>in</v>
      </c>
      <c r="S136" s="11" t="str">
        <f>IF(NOT(P132="Composite"),"N/A",IF(Q136="","BLANK",IF(OR(N136&lt;0.5,N136&gt;1),"REJECT","EQ")))</f>
        <v>N/A</v>
      </c>
      <c r="U136" s="10"/>
      <c r="V136" s="10"/>
      <c r="W136" s="10"/>
      <c r="X136" s="10"/>
      <c r="Y136" s="10"/>
      <c r="Z136" s="10"/>
      <c r="AA136" s="10"/>
      <c r="AB136" s="10"/>
      <c r="AC136" s="10"/>
      <c r="AO136" s="15"/>
      <c r="AP136" s="15"/>
      <c r="AQ136" s="15"/>
      <c r="AR136" s="15"/>
      <c r="AS136" s="15"/>
      <c r="AT136" s="26"/>
      <c r="AU136" s="26"/>
      <c r="AW136" s="11"/>
      <c r="BI136" s="124"/>
      <c r="BJ136" s="15"/>
      <c r="BK136" s="15"/>
      <c r="BL136" s="15"/>
      <c r="BM136" s="15"/>
      <c r="BN136" s="26"/>
      <c r="BO136" s="26"/>
      <c r="BQ136" s="11"/>
      <c r="BS136" s="11"/>
      <c r="BT136" s="11"/>
      <c r="BU136" s="11"/>
      <c r="BV136" s="11"/>
      <c r="BW136" s="11"/>
      <c r="BX136" s="11"/>
      <c r="BY136" s="143"/>
      <c r="BZ136" s="143"/>
      <c r="CA136" s="11"/>
      <c r="CB136" s="11"/>
    </row>
    <row r="137" spans="1:119" ht="15" customHeight="1" x14ac:dyDescent="0.2">
      <c r="K137" s="15"/>
      <c r="L137" s="15"/>
      <c r="M137" s="15" t="s">
        <v>694</v>
      </c>
      <c r="N137" s="16"/>
      <c r="O137" s="15"/>
      <c r="P137" s="15" t="s">
        <v>695</v>
      </c>
      <c r="Q137" s="11" t="str" cm="1">
        <f t="array" aca="1" ref="Q137" ca="1">IF(ISREF(INDIRECT("'"&amp;Q134&amp;"'!$AE$84")),IF($A$25="mm",INDIRECT("'"&amp;Q134&amp;"'!$AE$84"),INDIRECT("'"&amp;Q134&amp;"'!$AE$85"))*IF(N137="",1,N137),"Layup")</f>
        <v>Layup</v>
      </c>
      <c r="R137" s="25" t="str">
        <f>IF($A$25="mm","mm","in")</f>
        <v>in</v>
      </c>
      <c r="S137" s="11" t="str">
        <f>IF(NOT(P132="Composite"),"N/A",IF(MOD(N137,1)=0,"EQ","REJECT"))</f>
        <v>N/A</v>
      </c>
      <c r="U137" s="10"/>
      <c r="V137" s="10"/>
      <c r="W137" s="10"/>
      <c r="X137" s="10"/>
      <c r="Y137" s="10"/>
      <c r="Z137" s="10"/>
      <c r="AA137" s="10"/>
      <c r="AB137" s="10"/>
      <c r="AC137" s="10"/>
      <c r="AO137" s="124"/>
      <c r="AP137" s="15"/>
      <c r="AQ137" s="15"/>
      <c r="AR137" s="15"/>
      <c r="AS137" s="15"/>
      <c r="AT137" s="26"/>
      <c r="AU137" s="26"/>
      <c r="AW137" s="11"/>
      <c r="BI137" s="12"/>
      <c r="BJ137" s="15"/>
      <c r="BK137" s="15"/>
      <c r="BL137" s="15"/>
      <c r="BM137" s="15"/>
      <c r="BN137" s="26"/>
      <c r="BO137" s="26"/>
      <c r="BQ137" s="11"/>
      <c r="BS137" s="11"/>
      <c r="BT137" s="11"/>
      <c r="BU137" s="11"/>
      <c r="BV137" s="11"/>
      <c r="BW137" s="11"/>
      <c r="BX137" s="11"/>
      <c r="BY137" s="11"/>
      <c r="BZ137" s="11"/>
      <c r="CA137" s="11"/>
      <c r="CB137" s="11"/>
    </row>
    <row r="138" spans="1:119" ht="15" customHeight="1" x14ac:dyDescent="0.2">
      <c r="K138" s="15"/>
      <c r="L138" s="15"/>
      <c r="M138" s="15" t="s">
        <v>694</v>
      </c>
      <c r="N138" s="16"/>
      <c r="O138" s="15"/>
      <c r="P138" s="15" t="s">
        <v>697</v>
      </c>
      <c r="Q138" s="11" t="str" cm="1">
        <f t="array" aca="1" ref="Q138" ca="1">IF(ISREF(INDIRECT("'"&amp;Q134&amp;"'!$AE$86")),IF($A$25="mm",INDIRECT("'"&amp;Q134&amp;"'!$AE$86"),INDIRECT("'"&amp;Q134&amp;"'!$AE$87"))*IF(N138="",1,N138),"Typo")</f>
        <v>Typo</v>
      </c>
      <c r="R138" s="25" t="str">
        <f>IF($A$25="mm","mm","in")</f>
        <v>in</v>
      </c>
      <c r="S138" s="11" t="str">
        <f>IF(NOT(P132="Composite"),"N/A",IF(MOD(N138,1)=0,"EQ","REJECT"))</f>
        <v>N/A</v>
      </c>
      <c r="U138" s="10"/>
      <c r="V138" s="10"/>
      <c r="W138" s="10"/>
      <c r="X138" s="10"/>
      <c r="Y138" s="10"/>
      <c r="Z138" s="10"/>
      <c r="AA138" s="10"/>
      <c r="AB138" s="10"/>
      <c r="AC138" s="10"/>
      <c r="AO138" s="12"/>
      <c r="AP138" s="15"/>
      <c r="AQ138" s="15"/>
      <c r="AR138" s="15"/>
      <c r="AS138" s="15"/>
      <c r="AT138" s="26"/>
      <c r="AU138" s="26"/>
      <c r="AW138" s="11"/>
      <c r="BI138" s="15"/>
      <c r="BJ138" s="15"/>
      <c r="BK138" s="15"/>
      <c r="BL138" s="15"/>
      <c r="BM138" s="15"/>
      <c r="BN138" s="26"/>
      <c r="BO138" s="26"/>
      <c r="BP138" s="84"/>
      <c r="BQ138" s="11"/>
      <c r="BS138" s="11"/>
      <c r="BT138" s="11"/>
      <c r="BU138" s="11"/>
      <c r="BV138" s="11"/>
      <c r="BW138" s="11"/>
      <c r="BX138" s="11"/>
      <c r="BY138" s="11"/>
      <c r="BZ138" s="11"/>
      <c r="CA138" s="11"/>
      <c r="CB138" s="11"/>
    </row>
    <row r="139" spans="1:119" ht="15" customHeight="1" x14ac:dyDescent="0.2">
      <c r="K139" s="337" t="s">
        <v>699</v>
      </c>
      <c r="L139" s="337"/>
      <c r="M139" s="337"/>
      <c r="N139" s="338" t="s">
        <v>699</v>
      </c>
      <c r="O139" s="337"/>
      <c r="P139" s="339"/>
      <c r="Q139" s="338" t="s">
        <v>699</v>
      </c>
      <c r="R139" s="337"/>
      <c r="S139" s="339"/>
      <c r="U139" s="10"/>
      <c r="V139" s="10"/>
      <c r="W139" s="10"/>
      <c r="X139" s="10"/>
      <c r="Y139" s="10"/>
      <c r="Z139" s="10"/>
      <c r="AA139" s="10"/>
      <c r="AB139" s="10"/>
      <c r="AC139" s="10"/>
      <c r="AO139" s="124"/>
      <c r="AP139" s="15"/>
      <c r="AQ139" s="15"/>
      <c r="AR139" s="15"/>
      <c r="AS139" s="15"/>
      <c r="AT139" s="26"/>
      <c r="AU139" s="26"/>
      <c r="AW139" s="11"/>
      <c r="BI139" s="124"/>
      <c r="BJ139" s="15"/>
      <c r="BK139" s="15"/>
      <c r="BL139" s="15"/>
      <c r="BM139" s="15"/>
      <c r="BN139" s="26"/>
      <c r="BO139" s="26"/>
      <c r="BP139" s="84"/>
      <c r="BQ139" s="11"/>
      <c r="BS139" s="11"/>
      <c r="BT139" s="11"/>
      <c r="BU139" s="11"/>
      <c r="BV139" s="11"/>
      <c r="BW139" s="11"/>
      <c r="BX139" s="11"/>
      <c r="BY139" s="11"/>
      <c r="BZ139" s="11"/>
      <c r="CA139" s="11"/>
      <c r="CB139" s="11"/>
    </row>
    <row r="140" spans="1:119" ht="15" customHeight="1" x14ac:dyDescent="0.2">
      <c r="K140" s="11" t="s">
        <v>701</v>
      </c>
      <c r="L140" s="11">
        <f>IF($A$25="mm",Q131/1000,Q131)</f>
        <v>0</v>
      </c>
      <c r="M140" s="25" t="str">
        <f>IF($A$25="mm","m","in")</f>
        <v>in</v>
      </c>
      <c r="N140" s="180" t="s">
        <v>702</v>
      </c>
      <c r="O140" s="181" t="e">
        <f ca="1">L140*L141</f>
        <v>#VALUE!</v>
      </c>
      <c r="P140" s="50" t="str">
        <f>IF($A$25="mm","m^2","in^2")</f>
        <v>in^2</v>
      </c>
      <c r="Q140" s="180" t="s">
        <v>703</v>
      </c>
      <c r="R140" s="181" t="e">
        <f ca="1">(L140*L141^3)/12</f>
        <v>#VALUE!</v>
      </c>
      <c r="S140" s="50" t="str">
        <f>IF($A$25="mm","m^4","in^4")</f>
        <v>in^4</v>
      </c>
      <c r="U140" s="10"/>
      <c r="V140" s="10"/>
      <c r="W140" s="10"/>
      <c r="X140" s="10"/>
      <c r="Y140" s="10"/>
      <c r="Z140" s="10"/>
      <c r="AA140" s="10"/>
      <c r="AB140" s="10"/>
      <c r="AC140" s="10"/>
      <c r="AO140" s="47"/>
      <c r="AP140" s="47"/>
      <c r="AQ140" s="124"/>
      <c r="AR140" s="124"/>
      <c r="AS140" s="124"/>
      <c r="AT140" s="126"/>
      <c r="AU140" s="126"/>
      <c r="AV140" s="127"/>
      <c r="AW140" s="128"/>
      <c r="BI140" s="47"/>
      <c r="BJ140" s="47"/>
      <c r="BK140" s="124"/>
      <c r="BL140" s="124"/>
      <c r="BM140" s="124"/>
      <c r="BN140" s="181"/>
      <c r="BO140" s="126"/>
      <c r="BP140" s="127"/>
      <c r="BQ140" s="128"/>
      <c r="BS140" s="11"/>
      <c r="BT140" s="11"/>
      <c r="BU140" s="11"/>
      <c r="BV140" s="11"/>
      <c r="BW140" s="11"/>
      <c r="BX140" s="11"/>
      <c r="BY140" s="11"/>
      <c r="BZ140" s="11"/>
      <c r="CA140" s="11"/>
      <c r="CB140" s="11"/>
    </row>
    <row r="141" spans="1:119" ht="15" customHeight="1" x14ac:dyDescent="0.2">
      <c r="K141" s="22" t="s">
        <v>706</v>
      </c>
      <c r="L141" s="11" t="str">
        <f ca="1">IF($A$25="mm",Q137/1000,Q137)</f>
        <v>Layup</v>
      </c>
      <c r="M141" s="25" t="str">
        <f>IF($A$25="mm","m","in")</f>
        <v>in</v>
      </c>
      <c r="N141" s="180" t="s">
        <v>707</v>
      </c>
      <c r="O141" s="181" t="e">
        <f ca="1">L143*L144</f>
        <v>#VALUE!</v>
      </c>
      <c r="P141" s="50" t="str">
        <f>IF($A$25="mm","m^2","in^2")</f>
        <v>in^2</v>
      </c>
      <c r="Q141" s="180" t="s">
        <v>708</v>
      </c>
      <c r="R141" s="181" t="e">
        <f ca="1">(L143*L144^3)/12</f>
        <v>#VALUE!</v>
      </c>
      <c r="S141" s="50" t="str">
        <f>IF($A$25="mm","m^4","in^4")</f>
        <v>in^4</v>
      </c>
      <c r="U141" s="10"/>
      <c r="V141" s="10"/>
      <c r="W141" s="10"/>
      <c r="X141" s="10"/>
      <c r="Y141" s="10"/>
      <c r="Z141" s="10"/>
      <c r="AA141" s="10"/>
      <c r="AB141" s="10"/>
      <c r="AC141" s="10"/>
      <c r="AO141" s="37"/>
      <c r="AP141" s="124"/>
      <c r="AQ141" s="124"/>
      <c r="AR141" s="124"/>
      <c r="AS141" s="124"/>
      <c r="AT141" s="126"/>
      <c r="AU141" s="126"/>
      <c r="AV141" s="127"/>
      <c r="AW141" s="128"/>
      <c r="BI141" s="12"/>
      <c r="BJ141" s="15"/>
      <c r="BK141" s="15"/>
      <c r="BL141" s="15"/>
      <c r="BM141" s="15"/>
      <c r="BN141" s="15"/>
      <c r="BO141" s="11"/>
      <c r="BQ141" s="11"/>
      <c r="BS141" s="11"/>
      <c r="BT141" s="11"/>
      <c r="BU141" s="11"/>
      <c r="BV141" s="11"/>
      <c r="BW141" s="11"/>
      <c r="BX141" s="11"/>
      <c r="BY141" s="11"/>
      <c r="BZ141" s="11"/>
      <c r="CA141" s="11"/>
      <c r="CB141" s="11"/>
    </row>
    <row r="142" spans="1:119" ht="15" customHeight="1" x14ac:dyDescent="0.2">
      <c r="K142" s="22" t="s">
        <v>711</v>
      </c>
      <c r="L142" s="11">
        <f>IF($A$25="mm",Q135/1000,Q135)</f>
        <v>0</v>
      </c>
      <c r="M142" s="25" t="str">
        <f>IF($A$25="mm","m","in")</f>
        <v>in</v>
      </c>
      <c r="N142" s="180" t="s">
        <v>712</v>
      </c>
      <c r="O142" s="182" t="e">
        <f ca="1">L141/2</f>
        <v>#VALUE!</v>
      </c>
      <c r="P142" s="50" t="str">
        <f>IF($A$25="mm","m","in")</f>
        <v>in</v>
      </c>
      <c r="Q142" s="180" t="s">
        <v>713</v>
      </c>
      <c r="R142" s="181" t="e">
        <f ca="1">IF(O144="","",R140+(O140*(O144-O142)^2))</f>
        <v>#VALUE!</v>
      </c>
      <c r="S142" s="50" t="str">
        <f>IF($A$25="mm","m^4","in^4")</f>
        <v>in^4</v>
      </c>
      <c r="U142" s="42"/>
      <c r="V142" s="42"/>
      <c r="W142" s="42"/>
      <c r="X142" s="42"/>
      <c r="Y142" s="42"/>
      <c r="Z142" s="42"/>
      <c r="AA142" s="42"/>
      <c r="AB142" s="42"/>
      <c r="AC142" s="42"/>
      <c r="AO142" s="37"/>
      <c r="AP142" s="124"/>
      <c r="AQ142" s="124"/>
      <c r="AR142" s="124"/>
      <c r="AS142" s="124"/>
      <c r="AT142" s="126"/>
      <c r="AU142" s="126"/>
      <c r="AV142" s="127"/>
      <c r="AW142" s="128"/>
      <c r="BI142" s="37"/>
      <c r="BJ142" s="37"/>
      <c r="BK142" s="37"/>
      <c r="BL142" s="37"/>
      <c r="BM142" s="37"/>
      <c r="BN142" s="37"/>
      <c r="BO142" s="37"/>
      <c r="BP142" s="37"/>
      <c r="BQ142" s="37"/>
      <c r="BS142" s="11"/>
      <c r="BT142" s="11"/>
      <c r="BU142" s="11"/>
      <c r="BV142" s="11"/>
      <c r="BW142" s="11"/>
      <c r="BX142" s="26"/>
      <c r="BY142" s="26"/>
      <c r="BZ142" s="11"/>
      <c r="CA142" s="11"/>
      <c r="CB142" s="11"/>
    </row>
    <row r="143" spans="1:119" ht="15" customHeight="1" x14ac:dyDescent="0.2">
      <c r="K143" s="11" t="s">
        <v>717</v>
      </c>
      <c r="L143" s="11">
        <f>IF($A$25="mm",Q131/1000,Q131)</f>
        <v>0</v>
      </c>
      <c r="M143" s="25" t="str">
        <f>IF($A$25="mm","m","in")</f>
        <v>in</v>
      </c>
      <c r="N143" s="180" t="s">
        <v>718</v>
      </c>
      <c r="O143" s="182" t="e">
        <f ca="1">(L142-0.5*L144)</f>
        <v>#VALUE!</v>
      </c>
      <c r="P143" s="50" t="str">
        <f>IF($A$25="mm","m","in")</f>
        <v>in</v>
      </c>
      <c r="Q143" s="180" t="s">
        <v>719</v>
      </c>
      <c r="R143" s="181" t="e">
        <f ca="1">IF(O144="","",R141+(O141*(O144-O143)^2))</f>
        <v>#VALUE!</v>
      </c>
      <c r="S143" s="50" t="str">
        <f>IF($A$25="mm","m^4","in^4")</f>
        <v>in^4</v>
      </c>
      <c r="U143" s="42"/>
      <c r="V143" s="42"/>
      <c r="W143" s="42"/>
      <c r="X143" s="42"/>
      <c r="Y143" s="42"/>
      <c r="Z143" s="42"/>
      <c r="AA143" s="42"/>
      <c r="AB143" s="42"/>
      <c r="AC143" s="42"/>
      <c r="AO143" s="12"/>
      <c r="AP143" s="15"/>
      <c r="AQ143" s="15"/>
      <c r="AR143" s="15"/>
      <c r="AS143" s="15"/>
      <c r="AT143" s="126"/>
      <c r="AU143" s="126"/>
      <c r="AV143" s="127"/>
      <c r="AW143" s="128"/>
      <c r="BI143" s="11"/>
      <c r="BJ143" s="11"/>
      <c r="BK143" s="11"/>
      <c r="BL143" s="11"/>
      <c r="BM143" s="11"/>
      <c r="BN143" s="11"/>
      <c r="BO143" s="11"/>
      <c r="BP143" s="11"/>
      <c r="BQ143" s="11"/>
      <c r="BS143" s="128"/>
      <c r="BT143" s="11"/>
      <c r="BU143" s="11"/>
      <c r="BV143" s="11"/>
      <c r="BW143" s="11"/>
      <c r="BX143" s="26"/>
      <c r="BY143" s="26"/>
      <c r="BZ143" s="11"/>
      <c r="CA143" s="11"/>
      <c r="CB143" s="11"/>
    </row>
    <row r="144" spans="1:119" ht="15" customHeight="1" x14ac:dyDescent="0.2">
      <c r="K144" s="11" t="s">
        <v>723</v>
      </c>
      <c r="L144" s="11" t="str">
        <f ca="1">IF($A$25="mm",Q138/1000,Q138)</f>
        <v>Typo</v>
      </c>
      <c r="M144" s="25" t="str">
        <f>IF($A$25="mm","m","in")</f>
        <v>in</v>
      </c>
      <c r="N144" s="180" t="s">
        <v>724</v>
      </c>
      <c r="O144" s="182">
        <f ca="1">IF(OR(Q131="",Q137="",Q138=""),0,(O140*O142+O141*O143)/(O140+O141))</f>
        <v>0</v>
      </c>
      <c r="P144" s="50" t="str">
        <f>IF($A$25="mm","m","in")</f>
        <v>in</v>
      </c>
      <c r="Q144" s="180" t="s">
        <v>725</v>
      </c>
      <c r="R144" s="181" t="e">
        <f ca="1">IF(O144="",0,R142+R143)</f>
        <v>#VALUE!</v>
      </c>
      <c r="S144" s="50" t="str">
        <f>IF($A$25="mm","m^4","in^4")</f>
        <v>in^4</v>
      </c>
      <c r="U144" s="42"/>
      <c r="V144" s="42"/>
      <c r="W144" s="42"/>
      <c r="X144" s="42"/>
      <c r="Y144" s="42"/>
      <c r="Z144" s="42"/>
      <c r="AA144" s="42"/>
      <c r="AB144" s="42"/>
      <c r="AC144" s="42"/>
      <c r="AO144" s="12"/>
      <c r="AP144" s="15"/>
      <c r="AQ144" s="15"/>
      <c r="AR144" s="15"/>
      <c r="AS144" s="15"/>
      <c r="AT144" s="126"/>
      <c r="AU144" s="126"/>
      <c r="AV144" s="127"/>
      <c r="AW144" s="128"/>
      <c r="BI144" s="15"/>
      <c r="BJ144" s="15"/>
      <c r="BK144" s="15"/>
      <c r="BL144" s="15"/>
      <c r="BM144" s="15"/>
      <c r="BN144" s="15"/>
      <c r="BO144" s="11"/>
      <c r="BQ144" s="11"/>
      <c r="BS144" s="11"/>
      <c r="BT144" s="11"/>
      <c r="BU144" s="11"/>
      <c r="BV144" s="11"/>
      <c r="BW144" s="11"/>
      <c r="BX144" s="26"/>
      <c r="BY144" s="26"/>
      <c r="BZ144" s="11"/>
      <c r="CA144" s="11"/>
      <c r="CB144" s="11"/>
    </row>
    <row r="145" spans="1:80" ht="15" customHeight="1" x14ac:dyDescent="0.2">
      <c r="K145" s="11"/>
      <c r="L145" s="11"/>
      <c r="N145" s="32"/>
      <c r="O145" s="340" t="s">
        <v>726</v>
      </c>
      <c r="P145" s="340"/>
      <c r="Q145" s="296">
        <f>P132</f>
        <v>0</v>
      </c>
      <c r="R145" s="296"/>
      <c r="U145" s="42"/>
      <c r="V145" s="42"/>
      <c r="W145" s="42"/>
      <c r="X145" s="42"/>
      <c r="Y145" s="42"/>
      <c r="Z145" s="42"/>
      <c r="AA145" s="42"/>
      <c r="AB145" s="42"/>
      <c r="AC145" s="42"/>
      <c r="BI145" s="12"/>
      <c r="BJ145" s="32"/>
      <c r="BK145" s="32"/>
      <c r="BL145" s="32"/>
      <c r="BM145" s="32"/>
      <c r="BN145" s="11"/>
      <c r="BO145" s="11"/>
      <c r="BQ145" s="11"/>
      <c r="BS145" s="128"/>
      <c r="BT145" s="11"/>
      <c r="BU145" s="11"/>
      <c r="BV145" s="11"/>
      <c r="BW145" s="11"/>
      <c r="BX145" s="26"/>
      <c r="BY145" s="26"/>
      <c r="BZ145" s="11"/>
      <c r="CA145" s="11"/>
      <c r="CB145" s="11"/>
    </row>
    <row r="146" spans="1:80" ht="15" customHeight="1" x14ac:dyDescent="0.2">
      <c r="K146" s="12"/>
      <c r="L146" s="307" t="s">
        <v>729</v>
      </c>
      <c r="M146" s="307"/>
      <c r="N146" s="307"/>
      <c r="O146" s="307"/>
      <c r="P146" s="11">
        <f>IF($A$25="mm",0.9/1000,0.035)</f>
        <v>3.5000000000000003E-2</v>
      </c>
      <c r="Q146" s="11">
        <f>IF(P132="Composite",Q137+Q138,Q135)*IF($A$25="mm",1/1000,1)</f>
        <v>0</v>
      </c>
      <c r="R146" s="25" t="str">
        <f>IF($A$25="mm","m","in")</f>
        <v>in</v>
      </c>
      <c r="S146" s="11" t="str">
        <f>IF(NOT(OR(P132="Isotropic",P132="Composite")),"N/A","EQ")</f>
        <v>N/A</v>
      </c>
      <c r="U146" s="42"/>
      <c r="V146" s="42"/>
      <c r="W146" s="42"/>
      <c r="X146" s="42"/>
      <c r="Y146" s="42"/>
      <c r="Z146" s="42"/>
      <c r="AA146" s="42"/>
      <c r="AB146" s="42"/>
      <c r="AC146" s="42"/>
      <c r="AP146" s="32"/>
      <c r="AQ146" s="32"/>
      <c r="AR146" s="32"/>
      <c r="AS146" s="32"/>
      <c r="AT146" s="32"/>
      <c r="AU146" s="32"/>
      <c r="AV146" s="12"/>
      <c r="AW146" s="12"/>
      <c r="BI146" s="12"/>
      <c r="BJ146" s="32"/>
      <c r="BK146" s="32"/>
      <c r="BL146" s="32"/>
      <c r="BM146" s="32"/>
      <c r="BN146" s="15"/>
      <c r="BO146" s="11"/>
      <c r="BQ146" s="11"/>
      <c r="BS146" s="128"/>
      <c r="BT146" s="128"/>
      <c r="BU146" s="128"/>
      <c r="BV146" s="128"/>
      <c r="BW146" s="128"/>
      <c r="BX146" s="181"/>
      <c r="BY146" s="181"/>
      <c r="BZ146" s="127"/>
      <c r="CA146" s="128"/>
      <c r="CB146" s="11"/>
    </row>
    <row r="147" spans="1:80" ht="15" customHeight="1" x14ac:dyDescent="0.2">
      <c r="K147" s="15"/>
      <c r="L147" s="307" t="s">
        <v>731</v>
      </c>
      <c r="M147" s="307"/>
      <c r="N147" s="307"/>
      <c r="O147" s="307"/>
      <c r="P147" s="26">
        <f>Q131*P146/IF($A$25="mm",1000,1)</f>
        <v>0</v>
      </c>
      <c r="Q147" s="26">
        <f>Q131*IF(P132="Composite",O140+O141,Q146/IF($A$25="mm",1000,1))</f>
        <v>0</v>
      </c>
      <c r="R147" s="25" t="str">
        <f>IF($A$25="mm","m^2","in^2")</f>
        <v>in^2</v>
      </c>
      <c r="S147" s="11" t="str">
        <f>IF(NOT(OR(P132="Isotropic",P132="Composite")),"N/A","EQ")</f>
        <v>N/A</v>
      </c>
      <c r="U147" s="336" t="s">
        <v>620</v>
      </c>
      <c r="V147" s="336"/>
      <c r="W147" s="336"/>
      <c r="X147" s="336"/>
      <c r="Y147" s="336"/>
      <c r="Z147" s="336"/>
      <c r="AA147" s="336"/>
      <c r="AB147" s="336"/>
      <c r="AC147" s="336"/>
      <c r="AO147" s="11"/>
      <c r="AP147" s="11"/>
      <c r="AQ147" s="11"/>
      <c r="AR147" s="11"/>
      <c r="AS147" s="11"/>
      <c r="AT147" s="11"/>
      <c r="AU147" s="11"/>
      <c r="AV147" s="11"/>
      <c r="AW147" s="11"/>
      <c r="BI147" s="15"/>
      <c r="BJ147" s="15"/>
      <c r="BK147" s="15"/>
      <c r="BL147" s="15"/>
      <c r="BM147" s="15"/>
      <c r="BN147" s="15"/>
      <c r="BO147" s="143"/>
      <c r="BP147" s="143"/>
      <c r="BQ147" s="11"/>
      <c r="BS147" s="128"/>
      <c r="BT147" s="128"/>
      <c r="BU147" s="128"/>
      <c r="BV147" s="128"/>
      <c r="BW147" s="128"/>
      <c r="BX147" s="181"/>
      <c r="BY147" s="181"/>
      <c r="BZ147" s="127"/>
      <c r="CA147" s="128"/>
      <c r="CB147" s="11"/>
    </row>
    <row r="148" spans="1:80" ht="15" customHeight="1" x14ac:dyDescent="0.2">
      <c r="K148" s="124"/>
      <c r="L148" s="307" t="s">
        <v>734</v>
      </c>
      <c r="M148" s="307"/>
      <c r="N148" s="307"/>
      <c r="O148" s="307"/>
      <c r="P148" s="26">
        <f>IF($A$25="mm",1/1000,1)*Q131*P146^3/12</f>
        <v>0</v>
      </c>
      <c r="Q148" s="26">
        <f>IF(P132="Composite",R144,IF($A$25="mm",1/1000,1)*Q131*Q146^3/12)</f>
        <v>0</v>
      </c>
      <c r="R148" s="25" t="str">
        <f>IF($A$25="mm","m^4","in^4")</f>
        <v>in^4</v>
      </c>
      <c r="S148" s="11" t="str">
        <f>IF(NOT(OR(P132="Isotropic",P132="Composite")),"N/A","EQ")</f>
        <v>N/A</v>
      </c>
      <c r="T148" s="84"/>
      <c r="U148" s="44"/>
      <c r="V148" s="44"/>
      <c r="W148" s="44"/>
      <c r="X148" s="44"/>
      <c r="Y148" s="44"/>
      <c r="Z148" s="44"/>
      <c r="AA148" s="44"/>
      <c r="AB148" s="44"/>
      <c r="AC148" s="44"/>
      <c r="AO148" s="12"/>
      <c r="AP148" s="32"/>
      <c r="AQ148" s="32"/>
      <c r="AR148" s="32"/>
      <c r="AS148" s="32"/>
      <c r="AT148" s="11"/>
      <c r="AU148" s="11"/>
      <c r="AW148" s="11"/>
      <c r="BI148" s="15"/>
      <c r="BJ148" s="15"/>
      <c r="BK148" s="15"/>
      <c r="BL148" s="15"/>
      <c r="BM148" s="15"/>
      <c r="BN148" s="15"/>
      <c r="BO148" s="128"/>
      <c r="BQ148" s="128"/>
      <c r="BS148" s="128"/>
      <c r="BT148" s="128"/>
      <c r="BU148" s="128"/>
      <c r="BV148" s="128"/>
      <c r="BW148" s="128"/>
      <c r="BX148" s="181"/>
      <c r="BY148" s="181"/>
      <c r="BZ148" s="127"/>
      <c r="CA148" s="128"/>
      <c r="CB148" s="11"/>
    </row>
    <row r="149" spans="1:80" ht="15" customHeight="1" x14ac:dyDescent="0.2">
      <c r="K149" s="12" t="s">
        <v>218</v>
      </c>
      <c r="L149" s="307" t="s">
        <v>651</v>
      </c>
      <c r="M149" s="307"/>
      <c r="N149" s="307"/>
      <c r="O149" s="307"/>
      <c r="P149" s="26">
        <f>$G$4</f>
        <v>29000000</v>
      </c>
      <c r="Q149" s="26" t="e">
        <f>INDEX($G$3:$G$19,MATCH(Q134,$E$3:$E$19,0))</f>
        <v>#N/A</v>
      </c>
      <c r="R149" s="25" t="str">
        <f>IF($A$25="mm","Pa","psi")</f>
        <v>psi</v>
      </c>
      <c r="S149" s="11" t="str">
        <f>IF(NOT(OR(P132="Isotropic",P132="Composite")),"N/A",IF(Q149=0,"BLANK","EQ"))</f>
        <v>N/A</v>
      </c>
      <c r="T149" s="84"/>
      <c r="U149" s="44"/>
      <c r="V149" s="44"/>
      <c r="W149" s="44"/>
      <c r="X149" s="44"/>
      <c r="Y149" s="44"/>
      <c r="Z149" s="44"/>
      <c r="AA149" s="44"/>
      <c r="AB149" s="44"/>
      <c r="AC149" s="44"/>
      <c r="AO149" s="12"/>
      <c r="AP149" s="15"/>
      <c r="AQ149" s="15"/>
      <c r="AR149" s="15"/>
      <c r="AS149" s="15"/>
      <c r="AT149" s="12"/>
      <c r="AU149" s="12"/>
      <c r="AV149" s="12"/>
      <c r="AW149" s="11"/>
      <c r="BI149" s="124"/>
      <c r="BJ149" s="124"/>
      <c r="BK149" s="124"/>
      <c r="BL149" s="124"/>
      <c r="BM149" s="124"/>
      <c r="BN149" s="124"/>
      <c r="BO149" s="128"/>
      <c r="BQ149" s="11"/>
      <c r="BS149" s="11"/>
      <c r="BT149" s="11"/>
      <c r="BU149" s="11"/>
      <c r="BV149" s="11"/>
      <c r="BW149" s="11"/>
      <c r="BX149" s="181"/>
      <c r="BY149" s="181"/>
      <c r="BZ149" s="127"/>
      <c r="CA149" s="128"/>
      <c r="CB149" s="11"/>
    </row>
    <row r="150" spans="1:80" x14ac:dyDescent="0.2">
      <c r="A150" s="35" t="s">
        <v>140</v>
      </c>
      <c r="K150" s="307" t="s">
        <v>656</v>
      </c>
      <c r="L150" s="307"/>
      <c r="M150" s="307"/>
      <c r="N150" s="307"/>
      <c r="O150" s="307"/>
      <c r="P150" s="26">
        <f>$I$4</f>
        <v>43500</v>
      </c>
      <c r="Q150" s="26" t="e">
        <f>INDEX($I$3:$I$19,MATCH(Q134,$E$3:$E$19,0))</f>
        <v>#N/A</v>
      </c>
      <c r="R150" s="84" t="e">
        <f>IF(OR(Q150=0,Q150=""),0,Q150/P150)</f>
        <v>#N/A</v>
      </c>
      <c r="S150" s="11" t="str">
        <f>IF(NOT(OR(P132="Isotropic",P132="Composite")),"N/A",IF(OR(Q150="",Q150=0),"BLANK",IF(Q150&gt;=1,"EQ",IF(Q150&gt;=0.95,"CHECK","REJECT"))))</f>
        <v>N/A</v>
      </c>
      <c r="AO150" s="11"/>
      <c r="AP150" s="15"/>
      <c r="AQ150" s="15"/>
      <c r="AR150" s="15"/>
      <c r="AS150" s="15"/>
      <c r="AT150" s="11"/>
      <c r="AU150" s="143"/>
      <c r="AV150" s="143"/>
      <c r="AW150" s="11"/>
      <c r="BI150" s="15"/>
      <c r="BJ150" s="15"/>
      <c r="BK150" s="15"/>
      <c r="BL150" s="15"/>
      <c r="BM150" s="15"/>
      <c r="BN150" s="15"/>
      <c r="BO150" s="11"/>
      <c r="BQ150" s="11"/>
      <c r="BS150" s="11"/>
      <c r="BT150" s="11"/>
      <c r="BU150" s="11"/>
      <c r="BV150" s="11"/>
      <c r="BW150" s="11"/>
      <c r="BX150" s="181"/>
      <c r="BY150" s="181"/>
      <c r="BZ150" s="127"/>
      <c r="CA150" s="128"/>
      <c r="CB150" s="11"/>
    </row>
    <row r="151" spans="1:80" x14ac:dyDescent="0.2">
      <c r="K151" s="124"/>
      <c r="L151" s="307" t="s">
        <v>659</v>
      </c>
      <c r="M151" s="307"/>
      <c r="N151" s="307"/>
      <c r="O151" s="307"/>
      <c r="P151" s="26">
        <f>$K$4</f>
        <v>25099.499999999996</v>
      </c>
      <c r="Q151" s="26" t="e">
        <f>INDEX($K$3:$K$19,MATCH(Q134,$E$3:$E$19,0))</f>
        <v>#N/A</v>
      </c>
      <c r="R151" s="84" t="e">
        <f>IF(OR(Q151=0,Q151=""),0,Q151/P151)</f>
        <v>#N/A</v>
      </c>
      <c r="S151" s="11" t="str">
        <f>IF(NOT(OR(P132="Isotropic",P132="Composite")),"N/A",IF(OR(Q151="",Q151=0),"BLANK",IF(Q151&gt;=1,"EQ",IF(Q151&gt;=0.95,"CHECK","REJECT"))))</f>
        <v>N/A</v>
      </c>
      <c r="AO151" s="12"/>
      <c r="AP151" s="15"/>
      <c r="AQ151" s="15"/>
      <c r="AR151" s="15"/>
      <c r="AS151" s="15"/>
      <c r="AT151" s="11"/>
      <c r="AU151" s="11"/>
      <c r="AW151" s="11"/>
      <c r="BI151" s="15"/>
      <c r="BJ151" s="15"/>
      <c r="BK151" s="15"/>
      <c r="BL151" s="15"/>
      <c r="BM151" s="15"/>
      <c r="BN151" s="15"/>
      <c r="BO151" s="11"/>
      <c r="BQ151" s="11"/>
      <c r="BS151" s="11"/>
      <c r="BT151" s="11"/>
      <c r="BU151" s="11"/>
      <c r="BV151" s="11"/>
      <c r="BW151" s="11"/>
      <c r="BX151" s="11"/>
      <c r="BY151" s="11"/>
      <c r="BZ151" s="11"/>
      <c r="CA151" s="11"/>
      <c r="CB151" s="11"/>
    </row>
    <row r="152" spans="1:80" x14ac:dyDescent="0.2">
      <c r="K152" s="334" t="s">
        <v>742</v>
      </c>
      <c r="L152" s="334"/>
      <c r="M152" s="335" t="s">
        <v>743</v>
      </c>
      <c r="N152" s="335"/>
      <c r="O152" s="335"/>
      <c r="P152" s="181">
        <f>P149*P148</f>
        <v>0</v>
      </c>
      <c r="Q152" s="181" t="e">
        <f>IF(Q149=0,0,Q149*Q148)</f>
        <v>#N/A</v>
      </c>
      <c r="R152" s="189" t="e">
        <f>IF(OR(P152=0,Q152=""),0,Q152/P152)</f>
        <v>#N/A</v>
      </c>
      <c r="S152" s="128" t="str">
        <f>IF(NOT(OR(P132="Isotropic",P132="Composite")),"N/A",IF(R152="","EQ",IF(R152&gt;=1,"EQ",IF(R152&gt;=0.95,"CHECK","REJECT"))))</f>
        <v>N/A</v>
      </c>
      <c r="AP152" s="15"/>
      <c r="AQ152" s="15"/>
      <c r="AR152" s="15"/>
      <c r="AS152" s="15"/>
      <c r="AT152" s="11"/>
      <c r="AU152" s="11"/>
      <c r="AW152" s="11"/>
      <c r="BI152" s="37"/>
      <c r="BJ152" s="37"/>
      <c r="BK152" s="37"/>
      <c r="BL152" s="37"/>
      <c r="BM152" s="37"/>
      <c r="BN152" s="37"/>
      <c r="BO152" s="37"/>
      <c r="BP152" s="37"/>
      <c r="BQ152" s="37"/>
      <c r="BS152" s="11"/>
      <c r="BT152" s="11"/>
      <c r="BU152" s="11"/>
      <c r="BV152" s="11"/>
      <c r="BW152" s="11"/>
      <c r="BX152" s="11"/>
      <c r="BY152" s="11"/>
      <c r="BZ152" s="11"/>
      <c r="CA152" s="11"/>
      <c r="CB152" s="11"/>
    </row>
    <row r="153" spans="1:80" x14ac:dyDescent="0.2">
      <c r="K153" s="37" t="s">
        <v>746</v>
      </c>
      <c r="L153" s="335" t="s">
        <v>747</v>
      </c>
      <c r="M153" s="335"/>
      <c r="N153" s="335"/>
      <c r="O153" s="335"/>
      <c r="P153" s="181">
        <f>P150*P147</f>
        <v>0</v>
      </c>
      <c r="Q153" s="181" t="e">
        <f>IF(OR(P129="Tube",Q149=0),0,Q150*Q147)</f>
        <v>#N/A</v>
      </c>
      <c r="R153" s="189" t="e">
        <f>IF(OR(P153=0,Q153=""),0,Q153/P153)</f>
        <v>#N/A</v>
      </c>
      <c r="S153" s="128" t="str">
        <f>IF(NOT(OR(P132="Isotropic",P132="Composite")),"N/A",IF(OR(Q147=0,Q150=0),"BLANK",IF(R153&gt;=1,"EQ",IF(R153&gt;=0.95,"CHECK","REJECT"))))</f>
        <v>N/A</v>
      </c>
      <c r="AO153" s="12"/>
      <c r="AP153" s="15"/>
      <c r="AQ153" s="15"/>
      <c r="AR153" s="15"/>
      <c r="AS153" s="15"/>
      <c r="AT153" s="11"/>
      <c r="AU153" s="11"/>
      <c r="AW153" s="11"/>
      <c r="BI153" s="11"/>
      <c r="BJ153" s="11"/>
      <c r="BL153" s="15"/>
      <c r="BM153" s="181"/>
      <c r="BO153" s="15"/>
      <c r="BP153" s="181"/>
      <c r="BS153" s="11"/>
      <c r="BT153" s="11"/>
      <c r="BU153" s="11"/>
      <c r="BV153" s="11"/>
      <c r="BW153" s="11"/>
      <c r="BX153" s="11"/>
      <c r="BY153" s="11"/>
      <c r="BZ153" s="11"/>
      <c r="CA153" s="11"/>
      <c r="CB153" s="11"/>
    </row>
    <row r="154" spans="1:80" x14ac:dyDescent="0.2">
      <c r="K154" s="37" t="s">
        <v>748</v>
      </c>
      <c r="L154" s="335" t="s">
        <v>749</v>
      </c>
      <c r="M154" s="335"/>
      <c r="N154" s="335"/>
      <c r="O154" s="335"/>
      <c r="P154" s="181">
        <f>4*P150*P148/(P146/2)</f>
        <v>0</v>
      </c>
      <c r="Q154" s="181" t="e">
        <f>IF(Q149=0,0,4*Q150*Q148/(IF(P132="Composite",MAX(ABS(O144-O142),ABS(O144-O143)),Q146/2)))</f>
        <v>#N/A</v>
      </c>
      <c r="R154" s="189" t="e">
        <f>IF(OR(P154=0,Q154=""),0,Q154/P154)</f>
        <v>#N/A</v>
      </c>
      <c r="S154" s="128" t="str">
        <f>IF(NOT(OR(P132="Isotropic",P132="Composite")),"N/A",IF(OR(Q148=0,Q150=0),"BLANK",IF(R154&gt;=1,"EQ",IF(R154&gt;=0.95,"CHECK","REJECT"))))</f>
        <v>N/A</v>
      </c>
      <c r="AO154" s="12"/>
      <c r="AP154" s="15"/>
      <c r="AQ154" s="15"/>
      <c r="AR154" s="15"/>
      <c r="AS154" s="15"/>
      <c r="AT154" s="11"/>
      <c r="AU154" s="11"/>
      <c r="AW154" s="11"/>
      <c r="BI154" s="22"/>
      <c r="BJ154" s="11"/>
      <c r="BL154" s="15"/>
      <c r="BM154" s="181"/>
      <c r="BO154" s="15"/>
      <c r="BP154" s="181"/>
      <c r="BS154" s="11"/>
      <c r="BT154" s="11"/>
      <c r="BU154" s="11"/>
      <c r="BV154" s="11"/>
      <c r="BW154" s="11"/>
      <c r="BX154" s="11"/>
      <c r="BY154" s="11"/>
      <c r="BZ154" s="11"/>
      <c r="CA154" s="11"/>
      <c r="CB154" s="11"/>
    </row>
    <row r="155" spans="1:80" x14ac:dyDescent="0.2">
      <c r="K155" s="12" t="s">
        <v>753</v>
      </c>
      <c r="L155" s="307" t="s">
        <v>754</v>
      </c>
      <c r="M155" s="307"/>
      <c r="N155" s="307"/>
      <c r="O155" s="307"/>
      <c r="P155" s="181">
        <f>IF(P148=0,0,P154/(48*P149*P148))</f>
        <v>0</v>
      </c>
      <c r="Q155" s="181" t="e">
        <f>IF(OR(Q154="",Q149=0),0,P154/(48*Q149*Q148))</f>
        <v>#N/A</v>
      </c>
      <c r="R155" s="189" t="e">
        <f>IF(OR(P155=0,Q155=""),0,Q155/P155)</f>
        <v>#N/A</v>
      </c>
      <c r="S155" s="128" t="str">
        <f>IF(NOT(OR(P132="Isotropic",P132="Composite")),"N/A",IF(OR(Q154=0,Q149=0,Q148=0),"BLANK",IF(R155&lt;=1,"EQ",IF(R155&lt;=1.05,"CHECK","REJECT"))))</f>
        <v>N/A</v>
      </c>
      <c r="AO155" s="12"/>
      <c r="AP155" s="15"/>
      <c r="AQ155" s="15"/>
      <c r="AR155" s="15"/>
      <c r="AS155" s="15"/>
      <c r="AT155" s="11"/>
      <c r="AU155" s="11"/>
      <c r="AW155" s="11"/>
      <c r="BI155" s="22"/>
      <c r="BJ155" s="11"/>
      <c r="BL155" s="15"/>
      <c r="BM155" s="128"/>
      <c r="BO155" s="15"/>
      <c r="BP155" s="181"/>
      <c r="BS155" s="143"/>
      <c r="BT155" s="143"/>
      <c r="BU155" s="143"/>
      <c r="BV155" s="143"/>
      <c r="BW155" s="143"/>
      <c r="BX155" s="143"/>
      <c r="BY155" s="143"/>
      <c r="BZ155" s="143"/>
      <c r="CA155" s="143"/>
      <c r="CB155" s="11"/>
    </row>
    <row r="156" spans="1:80" x14ac:dyDescent="0.2">
      <c r="K156" s="12" t="s">
        <v>756</v>
      </c>
      <c r="L156" s="307" t="s">
        <v>757</v>
      </c>
      <c r="M156" s="307"/>
      <c r="N156" s="307"/>
      <c r="O156" s="307"/>
      <c r="P156" s="181">
        <f>IF(P148=0,0,0.5*P154^2/(48*P149*P148))</f>
        <v>0</v>
      </c>
      <c r="Q156" s="181" t="e">
        <f>IF(OR(Q154="",Q149=0),0,0.5*Q154^2/(48*(Q149*Q148)))</f>
        <v>#N/A</v>
      </c>
      <c r="R156" s="189" t="e">
        <f>IF(OR(P156=0,Q156=""),0,Q156/P156)</f>
        <v>#N/A</v>
      </c>
      <c r="S156" s="128" t="str">
        <f>IF(NOT(OR(P132="Isotropic",P132="Composite")),"N/A",IF(OR(Q154=0,Q149=0,Q148=0),"BLANK",IF(R156&gt;=1,"EQ",IF(R156&gt;=0.95,"CHECK","REJECT"))))</f>
        <v>N/A</v>
      </c>
      <c r="AO156" s="15"/>
      <c r="AP156" s="15"/>
      <c r="AQ156" s="15"/>
      <c r="AR156" s="15"/>
      <c r="AS156" s="15"/>
      <c r="AT156" s="26"/>
      <c r="AU156" s="26"/>
      <c r="AW156" s="11"/>
      <c r="BI156" s="11"/>
      <c r="BJ156" s="11"/>
      <c r="BL156" s="15"/>
      <c r="BM156" s="182"/>
      <c r="BO156" s="15"/>
      <c r="BP156" s="181"/>
      <c r="BS156" s="143"/>
      <c r="BT156" s="143"/>
      <c r="BU156" s="143"/>
      <c r="BV156" s="143"/>
      <c r="BW156" s="143"/>
      <c r="BX156" s="143"/>
      <c r="BY156" s="143"/>
      <c r="BZ156" s="143"/>
      <c r="CA156" s="143"/>
      <c r="CB156" s="11"/>
    </row>
    <row r="157" spans="1:80" x14ac:dyDescent="0.2">
      <c r="K157" s="12" t="s">
        <v>761</v>
      </c>
      <c r="L157" s="15"/>
      <c r="M157" s="15"/>
      <c r="N157" s="15"/>
      <c r="O157" s="15" t="s">
        <v>762</v>
      </c>
      <c r="P157" s="181">
        <f>P146*P151</f>
        <v>878.48249999999996</v>
      </c>
      <c r="Q157" s="181" t="e">
        <f>Q151*IF(P132="Composite",IF(Q136&gt;0,Q137,Q146))</f>
        <v>#N/A</v>
      </c>
      <c r="R157" s="189" t="e">
        <f>Q157/P157</f>
        <v>#N/A</v>
      </c>
      <c r="S157" s="128" t="str">
        <f>IF(NOT(OR(P132="Isotropic",P132="Composite")),"N/A",IF(OR(Q151=0,Q147=0),"BLANK",IF(R157&gt;=1,"EQ",IF(R157&gt;=0.95,"CHECK","REJECT"))))</f>
        <v>N/A</v>
      </c>
      <c r="AO157" s="124"/>
      <c r="AP157" s="15"/>
      <c r="AQ157" s="15"/>
      <c r="AR157" s="15"/>
      <c r="AS157" s="15"/>
      <c r="AT157" s="26"/>
      <c r="AU157" s="26"/>
      <c r="AW157" s="11"/>
      <c r="BI157" s="11"/>
      <c r="BJ157" s="11"/>
      <c r="BL157" s="15"/>
      <c r="BM157" s="194"/>
      <c r="BO157" s="15"/>
      <c r="BP157" s="181"/>
      <c r="BS157" s="143"/>
      <c r="BT157" s="143"/>
      <c r="BU157" s="143"/>
      <c r="BV157" s="143"/>
      <c r="BW157" s="143"/>
      <c r="BX157" s="143"/>
      <c r="BY157" s="143"/>
      <c r="BZ157" s="143"/>
      <c r="CA157" s="143"/>
      <c r="CB157" s="11"/>
    </row>
    <row r="158" spans="1:80" x14ac:dyDescent="0.2">
      <c r="L158" s="12"/>
      <c r="M158" s="12"/>
      <c r="N158" s="12"/>
      <c r="O158" s="12"/>
      <c r="P158" s="12"/>
      <c r="Q158" s="12"/>
      <c r="R158" s="12"/>
      <c r="S158" s="12"/>
      <c r="AO158" s="12"/>
      <c r="AP158" s="15"/>
      <c r="AQ158" s="15"/>
      <c r="AR158" s="15"/>
      <c r="AS158" s="15"/>
      <c r="AT158" s="26"/>
      <c r="AU158" s="26"/>
      <c r="AW158" s="11"/>
      <c r="BI158" s="11"/>
      <c r="BJ158" s="11"/>
      <c r="BL158" s="32"/>
      <c r="BM158" s="187"/>
      <c r="BN158" s="187"/>
      <c r="BO158" s="12"/>
      <c r="BP158" s="12"/>
      <c r="BS158" s="11"/>
      <c r="BT158" s="11"/>
      <c r="BU158" s="11"/>
      <c r="BV158" s="11"/>
      <c r="BW158" s="11"/>
      <c r="BX158" s="11"/>
      <c r="BY158" s="11"/>
      <c r="BZ158" s="11"/>
      <c r="CA158" s="11"/>
      <c r="CB158" s="11"/>
    </row>
    <row r="159" spans="1:80" ht="16" thickBot="1" x14ac:dyDescent="0.25">
      <c r="K159" s="295" t="str" cm="1">
        <f t="array" ref="K159">IF(COUNTIF(S160:S170,"BLANK"),"BLANK",IF(OR(SUMPRODUCT(--ISERROR(S160:S170))&gt;0,COUNTIF(S160:S170,"REJECT")),"REJECT",IF(COUNTIF(S160:S170,"CHECK"),"CHECK","EQ")))</f>
        <v>BLANK</v>
      </c>
      <c r="L159" s="295"/>
      <c r="M159" s="295"/>
      <c r="N159" s="295"/>
      <c r="O159" s="295"/>
      <c r="P159" s="295"/>
      <c r="Q159" s="295"/>
      <c r="R159" s="295"/>
      <c r="S159" s="295"/>
      <c r="AO159" s="124"/>
      <c r="AP159" s="15"/>
      <c r="AQ159" s="15"/>
      <c r="AR159" s="15"/>
      <c r="AS159" s="15"/>
      <c r="AT159" s="26"/>
      <c r="AU159" s="26"/>
      <c r="AW159" s="11"/>
      <c r="BI159" s="12"/>
      <c r="BJ159" s="15"/>
      <c r="BK159" s="15"/>
      <c r="BL159" s="15"/>
      <c r="BM159" s="15"/>
      <c r="BN159" s="11"/>
      <c r="BO159" s="11"/>
      <c r="BQ159" s="11"/>
      <c r="BS159" s="11"/>
      <c r="BT159" s="11"/>
      <c r="BU159" s="11"/>
      <c r="BV159" s="11"/>
      <c r="BW159" s="11"/>
      <c r="BX159" s="11"/>
      <c r="BY159" s="11"/>
      <c r="BZ159" s="11"/>
      <c r="CA159" s="11"/>
      <c r="CB159" s="11"/>
    </row>
    <row r="160" spans="1:80" ht="16" thickBot="1" x14ac:dyDescent="0.25">
      <c r="K160" s="12" t="s">
        <v>798</v>
      </c>
      <c r="L160" s="15"/>
      <c r="M160" s="15"/>
      <c r="N160" s="15"/>
      <c r="O160" s="15"/>
      <c r="P160" s="188" t="s">
        <v>799</v>
      </c>
      <c r="Q160" s="298"/>
      <c r="R160" s="300"/>
      <c r="S160" s="11" t="str">
        <f>IF(Q160="","BLANK","EQ")</f>
        <v>BLANK</v>
      </c>
      <c r="AO160" s="47"/>
      <c r="AP160" s="47"/>
      <c r="AQ160" s="124"/>
      <c r="AR160" s="124"/>
      <c r="AS160" s="124"/>
      <c r="AT160" s="126"/>
      <c r="AU160" s="126"/>
      <c r="AV160" s="127"/>
      <c r="AW160" s="128"/>
      <c r="BI160" s="15"/>
      <c r="BJ160" s="15"/>
      <c r="BK160" s="15"/>
      <c r="BL160" s="15"/>
      <c r="BM160" s="15"/>
      <c r="BN160" s="26"/>
      <c r="BO160" s="26"/>
      <c r="BQ160" s="11"/>
      <c r="BS160" s="11"/>
      <c r="BT160" s="11"/>
      <c r="BU160" s="11"/>
      <c r="BV160" s="11"/>
      <c r="BW160" s="11"/>
      <c r="BX160" s="11"/>
      <c r="BY160" s="11"/>
      <c r="BZ160" s="11"/>
      <c r="CA160" s="11"/>
      <c r="CB160" s="11"/>
    </row>
    <row r="161" spans="11:80" ht="15.75" customHeight="1" x14ac:dyDescent="0.2">
      <c r="K161" s="12"/>
      <c r="L161" s="47"/>
      <c r="M161" s="124"/>
      <c r="N161" s="124"/>
      <c r="O161" s="124"/>
      <c r="P161" s="188" t="str">
        <f>"Average unit strength of 50% weld, "&amp;IF($A$25="mm","0.9mm wall:","0.035in wall:")</f>
        <v>Average unit strength of 50% weld, 0.035in wall:</v>
      </c>
      <c r="Q161" s="128">
        <f>IF($A$25="mm",0.9*300*10^6*(1/10^6),0.035*43.5*10^3)*0.5</f>
        <v>761.25000000000011</v>
      </c>
      <c r="R161" s="25" t="str">
        <f>IF($A$25="mm","N/mm","lbs/in")</f>
        <v>lbs/in</v>
      </c>
      <c r="S161" s="128" t="s">
        <v>56</v>
      </c>
      <c r="AO161" s="37"/>
      <c r="AP161" s="124"/>
      <c r="AQ161" s="124"/>
      <c r="AR161" s="124"/>
      <c r="AS161" s="124"/>
      <c r="AT161" s="126"/>
      <c r="AU161" s="126"/>
      <c r="AV161" s="127"/>
      <c r="AW161" s="128"/>
      <c r="BI161" s="124"/>
      <c r="BJ161" s="15"/>
      <c r="BK161" s="15"/>
      <c r="BL161" s="15"/>
      <c r="BM161" s="15"/>
      <c r="BN161" s="26"/>
      <c r="BO161" s="26"/>
      <c r="BQ161" s="11"/>
      <c r="BS161" s="11"/>
      <c r="BT161" s="11"/>
      <c r="BU161" s="11"/>
      <c r="BV161" s="11"/>
      <c r="BW161" s="11"/>
      <c r="BX161" s="11"/>
      <c r="BY161" s="11"/>
      <c r="BZ161" s="11"/>
      <c r="CA161" s="11"/>
      <c r="CB161" s="11"/>
    </row>
    <row r="162" spans="11:80" x14ac:dyDescent="0.2">
      <c r="K162" s="12" t="str">
        <f>IF(OR(Q160="Bonded",Q160=""),"",
IF(Q160="Welded","10.2.3.a","F.10.2.3.b"))</f>
        <v/>
      </c>
      <c r="M162" s="15"/>
      <c r="N162" s="15"/>
      <c r="O162" s="15"/>
      <c r="P162" s="15" t="str">
        <f>IF(OR(Q160="Bonded",Q160="",Q160="Continuous Layup"),"",
IF(Q160="Welded","At least half the perimeter must be welded:","Fastener shear capability:"))</f>
        <v/>
      </c>
      <c r="Q162" s="16"/>
      <c r="R162" s="25" t="str">
        <f>IF(Q160="Welded","%",IF($A$25="mm","N","lbs"))</f>
        <v>lbs</v>
      </c>
      <c r="S162" s="11" t="str">
        <f>IF(OR(Q160="Bonded",Q160="",Q160="Continuous Layup"),"N/A",
IF(Q162="","BLANK",IF(AND(Q160="Welded",Q162&lt;50),"REJECT","EQ")))</f>
        <v>N/A</v>
      </c>
      <c r="AO162" s="37"/>
      <c r="AP162" s="124"/>
      <c r="AQ162" s="124"/>
      <c r="AR162" s="124"/>
      <c r="AS162" s="124"/>
      <c r="AT162" s="126"/>
      <c r="AU162" s="126"/>
      <c r="AV162" s="127"/>
      <c r="AW162" s="128"/>
      <c r="BI162" s="12"/>
      <c r="BJ162" s="15"/>
      <c r="BK162" s="15"/>
      <c r="BL162" s="15"/>
      <c r="BM162" s="15"/>
      <c r="BN162" s="26"/>
      <c r="BO162" s="26"/>
      <c r="BQ162" s="11"/>
      <c r="BS162" s="11"/>
      <c r="BT162" s="11"/>
      <c r="BU162" s="11"/>
      <c r="BV162" s="11"/>
      <c r="BW162" s="11"/>
      <c r="BX162" s="11"/>
      <c r="BY162" s="11"/>
      <c r="BZ162" s="11"/>
      <c r="CA162" s="11"/>
      <c r="CB162" s="11"/>
    </row>
    <row r="163" spans="11:80" x14ac:dyDescent="0.2">
      <c r="K163" s="35"/>
      <c r="M163" s="15"/>
      <c r="N163" s="15"/>
      <c r="O163" s="15"/>
      <c r="P163" s="15" t="str">
        <f>IF(OR(Q160="Bonded",Q160="",Q160="Continuous Layup"),"",
IF(Q160="Welded","Shortest weld &gt;= 25mm (1in):","Maximum fastener spacing:"))</f>
        <v/>
      </c>
      <c r="Q163" s="16"/>
      <c r="R163" s="25" t="str">
        <f>IF($A$25="mm","mm","in")</f>
        <v>in</v>
      </c>
      <c r="S163" s="11" t="str">
        <f>IF(OR(Q160="Bonded",Q160="",Q160="Continuous Layup"),"N/A",IF(Q163="","BLANK",
IF(AND(Q160="Welded",OR(AND($A$25="mm",Q163&lt;25),AND($A$25="Inch",Q163&lt;1))),"REJECT","EQ")))</f>
        <v>N/A</v>
      </c>
      <c r="AO163" s="12"/>
      <c r="AP163" s="15"/>
      <c r="AQ163" s="15"/>
      <c r="AR163" s="15"/>
      <c r="AS163" s="15"/>
      <c r="AT163" s="126"/>
      <c r="AU163" s="126"/>
      <c r="AV163" s="127"/>
      <c r="AW163" s="128"/>
      <c r="BI163" s="15"/>
      <c r="BJ163" s="15"/>
      <c r="BK163" s="15"/>
      <c r="BL163" s="15"/>
      <c r="BM163" s="15"/>
      <c r="BN163" s="26"/>
      <c r="BO163" s="26"/>
      <c r="BP163" s="84"/>
      <c r="BQ163" s="11"/>
      <c r="BS163" s="11"/>
      <c r="BT163" s="11"/>
      <c r="BU163" s="11"/>
      <c r="BV163" s="11"/>
      <c r="BW163" s="11"/>
      <c r="BX163" s="11"/>
      <c r="BY163" s="11"/>
      <c r="BZ163" s="11"/>
      <c r="CA163" s="11"/>
      <c r="CB163" s="11"/>
    </row>
    <row r="164" spans="11:80" x14ac:dyDescent="0.2">
      <c r="L164" s="124"/>
      <c r="M164" s="124"/>
      <c r="N164" s="124"/>
      <c r="O164" s="124"/>
      <c r="P164" s="188" t="str">
        <f>IF(Q160="Bonded","Shear strength of adhesive (Use 'Fastened' for rivets):","")</f>
        <v/>
      </c>
      <c r="Q164" s="175"/>
      <c r="R164" s="25" t="str">
        <f>IF($A$25="mm","N/mm^2","psi")</f>
        <v>psi</v>
      </c>
      <c r="S164" s="128" t="str">
        <f>IF(NOT(Q160="Bonded"),"N/A",IF(Q164="","BLANK","EQ"))</f>
        <v>N/A</v>
      </c>
      <c r="AO164" s="12"/>
      <c r="AP164" s="15"/>
      <c r="AQ164" s="15"/>
      <c r="AR164" s="15"/>
      <c r="AS164" s="15"/>
      <c r="AT164" s="126"/>
      <c r="AU164" s="126"/>
      <c r="AV164" s="127"/>
      <c r="AW164" s="128"/>
      <c r="BI164" s="124"/>
      <c r="BJ164" s="15"/>
      <c r="BK164" s="15"/>
      <c r="BL164" s="15"/>
      <c r="BM164" s="15"/>
      <c r="BN164" s="26"/>
      <c r="BO164" s="26"/>
      <c r="BP164" s="84"/>
      <c r="BQ164" s="11"/>
      <c r="BS164" s="11"/>
      <c r="BT164" s="11"/>
      <c r="BU164" s="11"/>
      <c r="BV164" s="11"/>
      <c r="BW164" s="11"/>
      <c r="BX164" s="11"/>
      <c r="BY164" s="11"/>
      <c r="BZ164" s="11"/>
      <c r="CA164" s="11"/>
      <c r="CB164" s="11"/>
    </row>
    <row r="165" spans="11:80" x14ac:dyDescent="0.2">
      <c r="K165" s="124"/>
      <c r="L165" s="124"/>
      <c r="M165" s="124"/>
      <c r="N165" s="124"/>
      <c r="O165" s="124"/>
      <c r="P165" s="193" t="str">
        <f>IF(Q160="Bonded","Minimum bond overlap:","")</f>
        <v/>
      </c>
      <c r="Q165" s="175"/>
      <c r="R165" s="25" t="str">
        <f>IF($A$25="mm","mm","in")</f>
        <v>in</v>
      </c>
      <c r="S165" s="128" t="str">
        <f>IF(NOT(Q160="Bonded"),"N/A",IF(Q165="","BLANK","EQ"))</f>
        <v>N/A</v>
      </c>
      <c r="BI165" s="47"/>
      <c r="BJ165" s="47"/>
      <c r="BK165" s="124"/>
      <c r="BL165" s="124"/>
      <c r="BM165" s="124"/>
      <c r="BN165" s="181"/>
      <c r="BO165" s="126"/>
      <c r="BP165" s="127"/>
      <c r="BQ165" s="128"/>
      <c r="BS165" s="11"/>
      <c r="BT165" s="11"/>
      <c r="BU165" s="11"/>
      <c r="BV165" s="11"/>
      <c r="BW165" s="11"/>
      <c r="BX165" s="11"/>
      <c r="BY165" s="11"/>
      <c r="BZ165" s="11"/>
      <c r="CA165" s="11"/>
      <c r="CB165" s="11"/>
    </row>
    <row r="166" spans="11:80" x14ac:dyDescent="0.2">
      <c r="K166" s="12" t="str">
        <f>IF(Q160="Bonded","F.5.5.3","F.10.2.3.b")</f>
        <v>F.10.2.3.b</v>
      </c>
      <c r="L166" s="15"/>
      <c r="M166" s="15"/>
      <c r="N166" s="15"/>
      <c r="O166" s="15"/>
      <c r="P166" s="15" t="str">
        <f>IF(Q160="Bonded","0.5*adhesive x overlap &gt;= Unit baseline:",IF(Q160="Fastened","Fastener shear / spacing &gt;= Unit baseline:",""))</f>
        <v/>
      </c>
      <c r="Q166" s="128" t="str">
        <f>IF(Q160="Bonded",IF(Q165="","",0.5*Q164*Q165),IF(Q160="Fastened",IF(Q163="","",Q162/Q163),""))</f>
        <v/>
      </c>
      <c r="R166" s="84" t="str">
        <f>IF(Q166="","",Q166/Q$161)</f>
        <v/>
      </c>
      <c r="S166" s="128" t="str">
        <f>IF(OR(Q$160="Welded",Q$160="Continuous Layup"),"N/A",IF(Q166&lt;Q$161,"REJECT","EQ"))</f>
        <v>EQ</v>
      </c>
      <c r="BS166" s="11"/>
      <c r="BT166" s="11"/>
      <c r="BU166" s="11"/>
      <c r="BV166" s="11"/>
      <c r="BW166" s="11"/>
      <c r="BX166" s="11"/>
      <c r="BY166" s="11"/>
      <c r="BZ166" s="11"/>
      <c r="CA166" s="11"/>
      <c r="CB166" s="11"/>
    </row>
    <row r="167" spans="11:80" x14ac:dyDescent="0.2">
      <c r="P167" s="116" t="str">
        <f>IF(Q160="Fastened","--Tearout--Min fastener spacing or edge dist:","")</f>
        <v/>
      </c>
      <c r="Q167" s="175"/>
      <c r="R167" s="25" t="str">
        <f>IF($A$25="mm","mm","in")</f>
        <v>in</v>
      </c>
      <c r="S167" s="11" t="str">
        <f>IF(NOT(Q$160="Fastened"),"N/A",
IF(Q167="","BLANK","EQ"))</f>
        <v>N/A</v>
      </c>
      <c r="BI167" s="37"/>
      <c r="BJ167" s="37"/>
      <c r="BK167" s="37"/>
      <c r="BL167" s="37"/>
      <c r="BM167" s="37"/>
      <c r="BN167" s="37"/>
      <c r="BO167" s="37"/>
      <c r="BP167" s="37"/>
      <c r="BQ167" s="37"/>
      <c r="BS167" s="11"/>
      <c r="BT167" s="11"/>
      <c r="BU167" s="11"/>
      <c r="BV167" s="11"/>
      <c r="BW167" s="11"/>
      <c r="BX167" s="11"/>
      <c r="BY167" s="11"/>
      <c r="BZ167" s="11"/>
      <c r="CA167" s="11"/>
      <c r="CB167" s="11"/>
    </row>
    <row r="168" spans="11:80" x14ac:dyDescent="0.2">
      <c r="K168" s="11"/>
      <c r="L168" s="11"/>
      <c r="M168" s="11"/>
      <c r="N168" s="11"/>
      <c r="O168" s="11"/>
      <c r="P168" s="116" t="str">
        <f>IF(Q160="Fastened","--Pullout--Fastener perimeter:","")</f>
        <v/>
      </c>
      <c r="Q168" s="175"/>
      <c r="R168" s="25" t="str">
        <f>IF($A$25="mm","mm","in")</f>
        <v>in</v>
      </c>
      <c r="S168" s="11" t="str">
        <f>IF(NOT(Q$160="Fastened"),"N/A",
IF(Q168="","BLANK","EQ"))</f>
        <v>N/A</v>
      </c>
      <c r="BI168" s="11"/>
      <c r="BJ168" s="11"/>
      <c r="BK168" s="11"/>
      <c r="BL168" s="11"/>
      <c r="BM168" s="11"/>
      <c r="BN168" s="11"/>
      <c r="BO168" s="11"/>
      <c r="BP168" s="11"/>
      <c r="BQ168" s="11"/>
      <c r="BS168" s="11"/>
      <c r="BT168" s="11"/>
      <c r="BU168" s="11"/>
      <c r="BV168" s="11"/>
      <c r="BW168" s="11"/>
      <c r="BX168" s="11"/>
      <c r="BY168" s="11"/>
      <c r="BZ168" s="11"/>
      <c r="CA168" s="11"/>
      <c r="CB168" s="11"/>
    </row>
    <row r="169" spans="11:80" x14ac:dyDescent="0.2">
      <c r="K169" s="12"/>
      <c r="L169" s="15"/>
      <c r="M169" s="15"/>
      <c r="N169" s="15"/>
      <c r="O169" s="15"/>
      <c r="P169" s="15" t="str">
        <f>IF(Q160="Fastened","Tearout shear: Wall shear*2*tearout*thickness/spacing:","")</f>
        <v/>
      </c>
      <c r="Q169" s="26" t="e">
        <f>Q120*2*Q167*IF($A$25="mm",1/10^3,1)*Q115/Q163</f>
        <v>#N/A</v>
      </c>
      <c r="R169" s="84" t="e">
        <f>IF(Q169="","",Q169/Q$161)</f>
        <v>#N/A</v>
      </c>
      <c r="S169" s="128" t="str">
        <f>IF(NOT(Q$160="Fastened"),"N/A",IF(Q169&lt;Q$161,"REJECT","EQ"))</f>
        <v>N/A</v>
      </c>
      <c r="BI169" s="15"/>
      <c r="BJ169" s="15"/>
      <c r="BK169" s="15"/>
      <c r="BL169" s="15"/>
      <c r="BM169" s="15"/>
      <c r="BN169" s="15"/>
      <c r="BO169" s="11"/>
      <c r="BQ169" s="11"/>
      <c r="BS169" s="11"/>
      <c r="BT169" s="11"/>
      <c r="BU169" s="11"/>
      <c r="BV169" s="11"/>
      <c r="BW169" s="11"/>
      <c r="BX169" s="11"/>
      <c r="BY169" s="11"/>
      <c r="BZ169" s="11"/>
      <c r="CA169" s="11"/>
      <c r="CB169" s="11"/>
    </row>
    <row r="170" spans="11:80" x14ac:dyDescent="0.2">
      <c r="K170" s="12"/>
      <c r="L170" s="15"/>
      <c r="M170" s="15"/>
      <c r="N170" s="15"/>
      <c r="O170" s="15"/>
      <c r="P170" s="15" t="str">
        <f>IF(Q160="Fastened","Pullout shear: Wall shear*pullout*thickness/spacing:","")</f>
        <v/>
      </c>
      <c r="Q170" s="26" t="e">
        <f>Q120*Q168*IF($A$25="mm",1/10^3,1)*Q115/Q163</f>
        <v>#N/A</v>
      </c>
      <c r="R170" s="84" t="e">
        <f>IF(Q170="","",Q170/Q$161)</f>
        <v>#N/A</v>
      </c>
      <c r="S170" s="128" t="str">
        <f>IF(NOT(Q$160="Fastened"),"N/A",IF(Q170&lt;Q$161,"REJECT","EQ"))</f>
        <v>N/A</v>
      </c>
      <c r="BI170" s="15"/>
      <c r="BJ170" s="15"/>
      <c r="BK170" s="15"/>
      <c r="BL170" s="15"/>
      <c r="BM170" s="15"/>
      <c r="BN170" s="15"/>
      <c r="BO170" s="11"/>
      <c r="BQ170" s="11"/>
      <c r="BS170" s="11"/>
      <c r="BT170" s="11"/>
      <c r="BU170" s="11"/>
      <c r="BV170" s="11"/>
      <c r="BW170" s="11"/>
      <c r="BX170" s="11"/>
      <c r="BY170" s="11"/>
      <c r="BZ170" s="11"/>
      <c r="CA170" s="11"/>
      <c r="CB170" s="11"/>
    </row>
    <row r="171" spans="11:80" x14ac:dyDescent="0.2">
      <c r="O171" s="12" t="s">
        <v>800</v>
      </c>
      <c r="BI171" s="12"/>
      <c r="BJ171" s="32"/>
      <c r="BK171" s="32"/>
      <c r="BL171" s="32"/>
      <c r="BM171" s="32"/>
      <c r="BN171" s="11"/>
      <c r="BO171" s="11"/>
      <c r="BQ171" s="11"/>
      <c r="BS171" s="11"/>
      <c r="BT171" s="11"/>
      <c r="BU171" s="11"/>
      <c r="BV171" s="11"/>
      <c r="BW171" s="11"/>
      <c r="BX171" s="11"/>
      <c r="BY171" s="11"/>
      <c r="BZ171" s="11"/>
      <c r="CA171" s="11"/>
      <c r="CB171" s="11"/>
    </row>
    <row r="172" spans="11:80" x14ac:dyDescent="0.2">
      <c r="K172" s="35"/>
      <c r="M172" s="11"/>
      <c r="N172" s="11"/>
      <c r="P172" s="11"/>
      <c r="Q172" s="11"/>
      <c r="R172" s="11"/>
      <c r="S172" s="11"/>
      <c r="BI172" s="12"/>
      <c r="BJ172" s="32"/>
      <c r="BK172" s="32"/>
      <c r="BL172" s="32"/>
      <c r="BM172" s="32"/>
      <c r="BN172" s="15"/>
      <c r="BO172" s="11"/>
      <c r="BQ172" s="11"/>
      <c r="BS172" s="11"/>
      <c r="BT172" s="11"/>
      <c r="BU172" s="11"/>
      <c r="BV172" s="11"/>
      <c r="BW172" s="11"/>
      <c r="BX172" s="11"/>
      <c r="BY172" s="11"/>
      <c r="BZ172" s="11"/>
      <c r="CA172" s="11"/>
      <c r="CB172" s="11"/>
    </row>
    <row r="173" spans="11:80" x14ac:dyDescent="0.2">
      <c r="K173" s="35"/>
      <c r="T173" s="84"/>
      <c r="BI173" s="15"/>
      <c r="BJ173" s="15"/>
      <c r="BK173" s="15"/>
      <c r="BL173" s="15"/>
      <c r="BM173" s="15"/>
      <c r="BN173" s="15"/>
      <c r="BO173" s="143"/>
      <c r="BP173" s="143"/>
      <c r="BQ173" s="11"/>
      <c r="BS173" s="11"/>
      <c r="BT173" s="11"/>
      <c r="BU173" s="11"/>
      <c r="BV173" s="11"/>
      <c r="BW173" s="11"/>
      <c r="BX173" s="11"/>
      <c r="BY173" s="11"/>
      <c r="BZ173" s="11"/>
      <c r="CA173" s="11"/>
      <c r="CB173" s="11"/>
    </row>
    <row r="174" spans="11:80" x14ac:dyDescent="0.2">
      <c r="K174" s="12"/>
      <c r="L174" s="12"/>
      <c r="M174" s="12"/>
      <c r="N174" s="12"/>
      <c r="O174" s="12"/>
      <c r="P174" s="12"/>
      <c r="Q174" s="12"/>
      <c r="R174" s="12"/>
      <c r="S174" s="11"/>
      <c r="T174" s="84"/>
      <c r="BI174" s="15"/>
      <c r="BJ174" s="15"/>
      <c r="BK174" s="15"/>
      <c r="BL174" s="15"/>
      <c r="BM174" s="15"/>
      <c r="BN174" s="15"/>
      <c r="BO174" s="128"/>
      <c r="BQ174" s="128"/>
      <c r="BS174" s="11"/>
      <c r="BT174" s="11"/>
      <c r="BU174" s="11"/>
      <c r="BV174" s="11"/>
      <c r="BW174" s="11"/>
      <c r="BX174" s="11"/>
      <c r="BY174" s="11"/>
      <c r="BZ174" s="11"/>
      <c r="CA174" s="11"/>
      <c r="CB174" s="11"/>
    </row>
    <row r="175" spans="11:80" x14ac:dyDescent="0.2">
      <c r="BI175" s="124"/>
      <c r="BJ175" s="124"/>
      <c r="BK175" s="124"/>
      <c r="BL175" s="124"/>
      <c r="BM175" s="124"/>
      <c r="BN175" s="124"/>
      <c r="BO175" s="128"/>
      <c r="BQ175" s="11"/>
      <c r="BS175" s="11"/>
      <c r="BT175" s="11"/>
      <c r="BU175" s="11"/>
      <c r="BV175" s="11"/>
      <c r="BW175" s="11"/>
      <c r="BX175" s="11"/>
      <c r="BY175" s="11"/>
      <c r="BZ175" s="11"/>
      <c r="CA175" s="11"/>
      <c r="CB175" s="11"/>
    </row>
    <row r="176" spans="11:80" x14ac:dyDescent="0.2">
      <c r="BI176" s="15"/>
      <c r="BJ176" s="15"/>
      <c r="BK176" s="15"/>
      <c r="BL176" s="15"/>
      <c r="BM176" s="15"/>
      <c r="BN176" s="15"/>
      <c r="BO176" s="11"/>
      <c r="BQ176" s="11"/>
      <c r="BS176" s="11"/>
      <c r="BT176" s="11"/>
      <c r="BU176" s="11"/>
      <c r="BV176" s="11"/>
      <c r="BW176" s="11"/>
      <c r="BX176" s="11"/>
      <c r="BY176" s="11"/>
      <c r="BZ176" s="11"/>
      <c r="CA176" s="11"/>
      <c r="CB176" s="11"/>
    </row>
    <row r="177" spans="61:80" x14ac:dyDescent="0.2">
      <c r="BI177" s="15"/>
      <c r="BJ177" s="15"/>
      <c r="BK177" s="15"/>
      <c r="BL177" s="15"/>
      <c r="BM177" s="15"/>
      <c r="BN177" s="15"/>
      <c r="BO177" s="11"/>
      <c r="BQ177" s="11"/>
      <c r="BS177" s="11"/>
      <c r="BT177" s="11"/>
      <c r="BU177" s="11"/>
      <c r="BV177" s="11"/>
      <c r="BW177" s="11"/>
      <c r="BX177" s="11"/>
      <c r="BY177" s="11"/>
      <c r="BZ177" s="11"/>
      <c r="CA177" s="11"/>
      <c r="CB177" s="11"/>
    </row>
    <row r="178" spans="61:80" x14ac:dyDescent="0.2">
      <c r="BI178" s="37"/>
      <c r="BJ178" s="37"/>
      <c r="BK178" s="37"/>
      <c r="BL178" s="37"/>
      <c r="BM178" s="37"/>
      <c r="BN178" s="37"/>
      <c r="BO178" s="37"/>
      <c r="BP178" s="37"/>
      <c r="BQ178" s="37"/>
      <c r="BS178" s="11"/>
      <c r="BT178" s="11"/>
      <c r="BU178" s="11"/>
      <c r="BV178" s="11"/>
      <c r="BW178" s="11"/>
      <c r="BX178" s="11"/>
      <c r="BY178" s="11"/>
      <c r="BZ178" s="11"/>
      <c r="CA178" s="11"/>
      <c r="CB178" s="11"/>
    </row>
    <row r="179" spans="61:80" x14ac:dyDescent="0.2">
      <c r="BI179" s="11"/>
      <c r="BJ179" s="11"/>
      <c r="BL179" s="15"/>
      <c r="BM179" s="181"/>
      <c r="BO179" s="15"/>
      <c r="BP179" s="181"/>
      <c r="BS179" s="11"/>
      <c r="BT179" s="11"/>
      <c r="BU179" s="11"/>
      <c r="BV179" s="11"/>
      <c r="BW179" s="11"/>
      <c r="BX179" s="11"/>
      <c r="BY179" s="11"/>
      <c r="BZ179" s="11"/>
      <c r="CA179" s="11"/>
      <c r="CB179" s="11"/>
    </row>
    <row r="180" spans="61:80" x14ac:dyDescent="0.2">
      <c r="BI180" s="22"/>
      <c r="BJ180" s="11"/>
      <c r="BL180" s="15"/>
      <c r="BM180" s="181"/>
      <c r="BO180" s="15"/>
      <c r="BP180" s="181"/>
      <c r="BS180" s="11"/>
      <c r="BT180" s="11"/>
      <c r="BU180" s="11"/>
      <c r="BV180" s="11"/>
      <c r="BW180" s="11"/>
      <c r="BX180" s="11"/>
      <c r="BY180" s="11"/>
      <c r="BZ180" s="11"/>
      <c r="CA180" s="11"/>
      <c r="CB180" s="11"/>
    </row>
    <row r="181" spans="61:80" x14ac:dyDescent="0.2">
      <c r="BI181" s="22"/>
      <c r="BJ181" s="11"/>
      <c r="BL181" s="15"/>
      <c r="BM181" s="128"/>
      <c r="BO181" s="15"/>
      <c r="BP181" s="181"/>
      <c r="BS181" s="11"/>
      <c r="BT181" s="11"/>
      <c r="BU181" s="11"/>
      <c r="BV181" s="11"/>
      <c r="BW181" s="11"/>
      <c r="BX181" s="11"/>
      <c r="BY181" s="11"/>
      <c r="BZ181" s="11"/>
      <c r="CA181" s="11"/>
      <c r="CB181" s="11"/>
    </row>
    <row r="182" spans="61:80" x14ac:dyDescent="0.2">
      <c r="BI182" s="11"/>
      <c r="BJ182" s="11"/>
      <c r="BL182" s="15"/>
      <c r="BM182" s="182"/>
      <c r="BO182" s="15"/>
      <c r="BP182" s="181"/>
      <c r="BS182" s="11"/>
      <c r="BT182" s="11"/>
      <c r="BU182" s="11"/>
      <c r="BV182" s="11"/>
      <c r="BW182" s="11"/>
      <c r="BX182" s="11"/>
      <c r="BY182" s="11"/>
      <c r="BZ182" s="11"/>
      <c r="CA182" s="11"/>
      <c r="CB182" s="11"/>
    </row>
    <row r="183" spans="61:80" x14ac:dyDescent="0.2">
      <c r="BI183" s="11"/>
      <c r="BJ183" s="11"/>
      <c r="BL183" s="15"/>
      <c r="BM183" s="194"/>
      <c r="BO183" s="15"/>
      <c r="BP183" s="181"/>
      <c r="BS183" s="11"/>
      <c r="BT183" s="11"/>
      <c r="BU183" s="11"/>
      <c r="BV183" s="11"/>
      <c r="BW183" s="11"/>
      <c r="BX183" s="11"/>
      <c r="BY183" s="11"/>
      <c r="BZ183" s="11"/>
      <c r="CA183" s="11"/>
      <c r="CB183" s="11"/>
    </row>
    <row r="184" spans="61:80" x14ac:dyDescent="0.2">
      <c r="BI184" s="11"/>
      <c r="BJ184" s="11"/>
      <c r="BL184" s="32"/>
      <c r="BM184" s="187"/>
      <c r="BN184" s="187"/>
      <c r="BO184" s="12"/>
      <c r="BP184" s="12"/>
      <c r="BS184" s="11"/>
      <c r="BT184" s="11"/>
      <c r="BU184" s="11"/>
      <c r="BV184" s="11"/>
      <c r="BW184" s="11"/>
      <c r="BX184" s="11"/>
      <c r="BY184" s="11"/>
      <c r="BZ184" s="11"/>
      <c r="CA184" s="11"/>
      <c r="CB184" s="11"/>
    </row>
    <row r="185" spans="61:80" x14ac:dyDescent="0.2">
      <c r="BI185" s="12"/>
      <c r="BJ185" s="15"/>
      <c r="BK185" s="15"/>
      <c r="BL185" s="15"/>
      <c r="BM185" s="15"/>
      <c r="BN185" s="11"/>
      <c r="BO185" s="11"/>
      <c r="BQ185" s="11"/>
      <c r="BS185" s="11"/>
      <c r="BT185" s="11"/>
      <c r="BU185" s="11"/>
      <c r="BV185" s="11"/>
      <c r="BW185" s="11"/>
      <c r="BX185" s="11"/>
      <c r="BY185" s="11"/>
      <c r="BZ185" s="11"/>
      <c r="CA185" s="11"/>
      <c r="CB185" s="11"/>
    </row>
    <row r="186" spans="61:80" x14ac:dyDescent="0.2">
      <c r="BI186" s="15"/>
      <c r="BJ186" s="15"/>
      <c r="BK186" s="15"/>
      <c r="BL186" s="15"/>
      <c r="BM186" s="15"/>
      <c r="BN186" s="26"/>
      <c r="BO186" s="26"/>
      <c r="BQ186" s="11"/>
      <c r="BS186" s="11"/>
      <c r="BT186" s="11"/>
      <c r="BU186" s="11"/>
      <c r="BV186" s="11"/>
      <c r="BW186" s="11"/>
      <c r="BX186" s="11"/>
      <c r="BY186" s="11"/>
      <c r="BZ186" s="11"/>
      <c r="CA186" s="11"/>
      <c r="CB186" s="11"/>
    </row>
    <row r="187" spans="61:80" x14ac:dyDescent="0.2">
      <c r="BI187" s="124"/>
      <c r="BJ187" s="15"/>
      <c r="BK187" s="15"/>
      <c r="BL187" s="15"/>
      <c r="BM187" s="15"/>
      <c r="BN187" s="26"/>
      <c r="BO187" s="26"/>
      <c r="BQ187" s="11"/>
      <c r="BS187" s="11"/>
      <c r="BT187" s="11"/>
      <c r="BU187" s="11"/>
      <c r="BV187" s="11"/>
      <c r="BW187" s="11"/>
      <c r="BX187" s="11"/>
      <c r="BY187" s="11"/>
      <c r="BZ187" s="11"/>
      <c r="CA187" s="11"/>
      <c r="CB187" s="11"/>
    </row>
    <row r="188" spans="61:80" x14ac:dyDescent="0.2">
      <c r="BI188" s="12"/>
      <c r="BJ188" s="15"/>
      <c r="BK188" s="15"/>
      <c r="BL188" s="15"/>
      <c r="BM188" s="15"/>
      <c r="BN188" s="26"/>
      <c r="BO188" s="26"/>
      <c r="BQ188" s="11"/>
      <c r="BS188" s="11"/>
      <c r="BT188" s="11"/>
      <c r="BU188" s="11"/>
      <c r="BV188" s="11"/>
      <c r="BW188" s="11"/>
      <c r="BX188" s="11"/>
      <c r="BY188" s="11"/>
      <c r="BZ188" s="11"/>
      <c r="CA188" s="11"/>
      <c r="CB188" s="11"/>
    </row>
    <row r="189" spans="61:80" x14ac:dyDescent="0.2">
      <c r="BI189" s="15"/>
      <c r="BJ189" s="15"/>
      <c r="BK189" s="15"/>
      <c r="BL189" s="15"/>
      <c r="BM189" s="15"/>
      <c r="BN189" s="26"/>
      <c r="BO189" s="26"/>
      <c r="BP189" s="84"/>
      <c r="BQ189" s="11"/>
      <c r="BS189" s="11"/>
      <c r="BT189" s="11"/>
      <c r="BU189" s="11"/>
      <c r="BV189" s="11"/>
      <c r="BW189" s="11"/>
      <c r="BX189" s="11"/>
      <c r="BY189" s="11"/>
      <c r="BZ189" s="11"/>
      <c r="CA189" s="11"/>
    </row>
    <row r="190" spans="61:80" x14ac:dyDescent="0.2">
      <c r="BI190" s="124"/>
      <c r="BJ190" s="15"/>
      <c r="BK190" s="15"/>
      <c r="BL190" s="15"/>
      <c r="BM190" s="15"/>
      <c r="BN190" s="26"/>
      <c r="BO190" s="26"/>
      <c r="BP190" s="84"/>
      <c r="BQ190" s="11"/>
    </row>
    <row r="191" spans="61:80" ht="15.75" customHeight="1" x14ac:dyDescent="0.2">
      <c r="BI191" s="47"/>
      <c r="BJ191" s="47"/>
      <c r="BK191" s="124"/>
      <c r="BL191" s="124"/>
      <c r="BM191" s="124"/>
      <c r="BN191" s="181"/>
      <c r="BO191" s="126"/>
      <c r="BP191" s="127"/>
      <c r="BQ191" s="128"/>
    </row>
    <row r="199" spans="20:20" x14ac:dyDescent="0.2">
      <c r="T199" s="84"/>
    </row>
    <row r="200" spans="20:20" x14ac:dyDescent="0.2">
      <c r="T200" s="84"/>
    </row>
  </sheetData>
  <sheetProtection algorithmName="SHA-512" hashValue="DCM4OUDsETyLNYDVN00oJ6ZrRkeInUiwr6c3B3TID3b8Xh6b7jNidLgOEH7hdw8I3FvygLvyxOybtPD3c8bUrg==" saltValue="7kwVIg6nCDb0RCj8QPdfGw==" spinCount="100000" sheet="1" insertHyperlinks="0"/>
  <mergeCells count="409">
    <mergeCell ref="E4:F4"/>
    <mergeCell ref="G4:H4"/>
    <mergeCell ref="I4:J4"/>
    <mergeCell ref="K4:L4"/>
    <mergeCell ref="AO4:BA5"/>
    <mergeCell ref="E5:F5"/>
    <mergeCell ref="G5:H5"/>
    <mergeCell ref="I5:J5"/>
    <mergeCell ref="K5:L5"/>
    <mergeCell ref="A9:C15"/>
    <mergeCell ref="E9:F9"/>
    <mergeCell ref="G9:H9"/>
    <mergeCell ref="I9:J9"/>
    <mergeCell ref="K9:L9"/>
    <mergeCell ref="E11:F11"/>
    <mergeCell ref="E6:F6"/>
    <mergeCell ref="G6:H6"/>
    <mergeCell ref="I6:J6"/>
    <mergeCell ref="K6:L6"/>
    <mergeCell ref="E7:F7"/>
    <mergeCell ref="G7:H7"/>
    <mergeCell ref="I7:J7"/>
    <mergeCell ref="K7:L7"/>
    <mergeCell ref="A1:D8"/>
    <mergeCell ref="E1:L1"/>
    <mergeCell ref="E2:F2"/>
    <mergeCell ref="G2:H2"/>
    <mergeCell ref="I2:J2"/>
    <mergeCell ref="K2:L2"/>
    <mergeCell ref="E3:F3"/>
    <mergeCell ref="G3:H3"/>
    <mergeCell ref="I3:J3"/>
    <mergeCell ref="K3:L3"/>
    <mergeCell ref="AO9:BA10"/>
    <mergeCell ref="BC9:BO10"/>
    <mergeCell ref="BQ9:CC10"/>
    <mergeCell ref="CE9:CQ10"/>
    <mergeCell ref="E10:F10"/>
    <mergeCell ref="G10:H10"/>
    <mergeCell ref="I10:J10"/>
    <mergeCell ref="K10:L10"/>
    <mergeCell ref="E8:F8"/>
    <mergeCell ref="G8:H8"/>
    <mergeCell ref="I8:J8"/>
    <mergeCell ref="K8:L8"/>
    <mergeCell ref="BQ13:CC14"/>
    <mergeCell ref="CE13:CQ14"/>
    <mergeCell ref="E14:F14"/>
    <mergeCell ref="G14:H14"/>
    <mergeCell ref="I14:J14"/>
    <mergeCell ref="K14:L14"/>
    <mergeCell ref="CE11:CQ12"/>
    <mergeCell ref="E12:F12"/>
    <mergeCell ref="G12:H12"/>
    <mergeCell ref="I12:J12"/>
    <mergeCell ref="K12:L12"/>
    <mergeCell ref="E13:F13"/>
    <mergeCell ref="G13:H13"/>
    <mergeCell ref="I13:J13"/>
    <mergeCell ref="K13:L13"/>
    <mergeCell ref="AO13:BA14"/>
    <mergeCell ref="G11:H11"/>
    <mergeCell ref="I11:J11"/>
    <mergeCell ref="K11:L11"/>
    <mergeCell ref="AO11:BA12"/>
    <mergeCell ref="BC11:BO12"/>
    <mergeCell ref="BQ11:CC12"/>
    <mergeCell ref="E15:F15"/>
    <mergeCell ref="G15:H15"/>
    <mergeCell ref="I15:J15"/>
    <mergeCell ref="K15:L15"/>
    <mergeCell ref="E16:F16"/>
    <mergeCell ref="G16:H16"/>
    <mergeCell ref="I16:J16"/>
    <mergeCell ref="K16:L16"/>
    <mergeCell ref="BC13:BO14"/>
    <mergeCell ref="G19:H19"/>
    <mergeCell ref="I19:J19"/>
    <mergeCell ref="K19:L19"/>
    <mergeCell ref="F21:N21"/>
    <mergeCell ref="R21:AA21"/>
    <mergeCell ref="U22:V22"/>
    <mergeCell ref="A17:C24"/>
    <mergeCell ref="E17:F17"/>
    <mergeCell ref="G17:H17"/>
    <mergeCell ref="I17:J17"/>
    <mergeCell ref="K17:L17"/>
    <mergeCell ref="E18:F18"/>
    <mergeCell ref="G18:H18"/>
    <mergeCell ref="I18:J18"/>
    <mergeCell ref="K18:L18"/>
    <mergeCell ref="E19:F19"/>
    <mergeCell ref="U24:V24"/>
    <mergeCell ref="A25:C26"/>
    <mergeCell ref="U25:V25"/>
    <mergeCell ref="U32:AC33"/>
    <mergeCell ref="BS33:BU33"/>
    <mergeCell ref="A39:I40"/>
    <mergeCell ref="K39:S40"/>
    <mergeCell ref="U39:AC40"/>
    <mergeCell ref="AE39:AM40"/>
    <mergeCell ref="AO39:AW40"/>
    <mergeCell ref="DG39:DO40"/>
    <mergeCell ref="AO41:AW42"/>
    <mergeCell ref="CM41:CU42"/>
    <mergeCell ref="L47:R48"/>
    <mergeCell ref="BJ47:BP48"/>
    <mergeCell ref="DH47:DN48"/>
    <mergeCell ref="AY39:BG40"/>
    <mergeCell ref="BI39:BQ40"/>
    <mergeCell ref="BS39:CA40"/>
    <mergeCell ref="CC39:CK40"/>
    <mergeCell ref="CM39:CU40"/>
    <mergeCell ref="CW39:DE40"/>
    <mergeCell ref="L49:R50"/>
    <mergeCell ref="BJ49:BP50"/>
    <mergeCell ref="DH49:DN50"/>
    <mergeCell ref="U53:AC53"/>
    <mergeCell ref="AE53:AM53"/>
    <mergeCell ref="AO53:AW53"/>
    <mergeCell ref="AY53:BG53"/>
    <mergeCell ref="BI53:BQ53"/>
    <mergeCell ref="BS53:CA53"/>
    <mergeCell ref="CC53:CK53"/>
    <mergeCell ref="CW55:DE55"/>
    <mergeCell ref="DG55:DO55"/>
    <mergeCell ref="A56:B57"/>
    <mergeCell ref="C56:I57"/>
    <mergeCell ref="K56:L57"/>
    <mergeCell ref="M56:S57"/>
    <mergeCell ref="U56:V57"/>
    <mergeCell ref="CM53:CU53"/>
    <mergeCell ref="CW53:DE53"/>
    <mergeCell ref="DG53:DO53"/>
    <mergeCell ref="A55:I55"/>
    <mergeCell ref="K55:S55"/>
    <mergeCell ref="U55:AC55"/>
    <mergeCell ref="AE55:AM55"/>
    <mergeCell ref="AO55:AW55"/>
    <mergeCell ref="AY55:BG55"/>
    <mergeCell ref="BI55:BQ55"/>
    <mergeCell ref="W56:AC57"/>
    <mergeCell ref="AE56:AF57"/>
    <mergeCell ref="AG56:AM57"/>
    <mergeCell ref="AO56:AP57"/>
    <mergeCell ref="AQ56:AW57"/>
    <mergeCell ref="AY56:AZ57"/>
    <mergeCell ref="BS55:CA55"/>
    <mergeCell ref="CC55:CK55"/>
    <mergeCell ref="CM55:CU55"/>
    <mergeCell ref="K60:S61"/>
    <mergeCell ref="U60:AC60"/>
    <mergeCell ref="AE60:AM60"/>
    <mergeCell ref="AO60:AW60"/>
    <mergeCell ref="AY60:BG60"/>
    <mergeCell ref="BI60:BQ60"/>
    <mergeCell ref="DI56:DO57"/>
    <mergeCell ref="U59:AC59"/>
    <mergeCell ref="AE59:AM59"/>
    <mergeCell ref="AO59:AW59"/>
    <mergeCell ref="AY59:BG59"/>
    <mergeCell ref="BI59:BQ59"/>
    <mergeCell ref="CE56:CK57"/>
    <mergeCell ref="CM56:CN57"/>
    <mergeCell ref="CO56:CU57"/>
    <mergeCell ref="CW56:CX57"/>
    <mergeCell ref="CY56:DE57"/>
    <mergeCell ref="DG56:DH57"/>
    <mergeCell ref="BA56:BG57"/>
    <mergeCell ref="BI56:BJ57"/>
    <mergeCell ref="BK56:BQ57"/>
    <mergeCell ref="BS56:BT57"/>
    <mergeCell ref="BU56:CA57"/>
    <mergeCell ref="CC56:CD57"/>
    <mergeCell ref="BS60:CA60"/>
    <mergeCell ref="CC60:CK60"/>
    <mergeCell ref="CM60:CU60"/>
    <mergeCell ref="CW60:DE60"/>
    <mergeCell ref="DG60:DO60"/>
    <mergeCell ref="BY61:BZ61"/>
    <mergeCell ref="CI61:CJ61"/>
    <mergeCell ref="CS61:CT61"/>
    <mergeCell ref="DC61:DD61"/>
    <mergeCell ref="DM61:DN61"/>
    <mergeCell ref="DM64:DN64"/>
    <mergeCell ref="G65:H65"/>
    <mergeCell ref="L65:R65"/>
    <mergeCell ref="BU65:BX65"/>
    <mergeCell ref="CE65:CH65"/>
    <mergeCell ref="CO65:CR65"/>
    <mergeCell ref="CY65:DB65"/>
    <mergeCell ref="DI65:DL65"/>
    <mergeCell ref="A64:I64"/>
    <mergeCell ref="K64:S64"/>
    <mergeCell ref="BY64:BZ64"/>
    <mergeCell ref="CI64:CJ64"/>
    <mergeCell ref="CS64:CT64"/>
    <mergeCell ref="DC64:DD64"/>
    <mergeCell ref="CD66:CH66"/>
    <mergeCell ref="CN66:CR66"/>
    <mergeCell ref="CX66:DB66"/>
    <mergeCell ref="DH66:DL66"/>
    <mergeCell ref="W67:Z67"/>
    <mergeCell ref="AG67:AJ67"/>
    <mergeCell ref="AQ67:AT67"/>
    <mergeCell ref="BA67:BD67"/>
    <mergeCell ref="BK67:BN67"/>
    <mergeCell ref="BU67:BX67"/>
    <mergeCell ref="AA66:AB66"/>
    <mergeCell ref="AK66:AL66"/>
    <mergeCell ref="AU66:AV66"/>
    <mergeCell ref="BE66:BF66"/>
    <mergeCell ref="BO66:BP66"/>
    <mergeCell ref="BT66:BX66"/>
    <mergeCell ref="AG69:AJ69"/>
    <mergeCell ref="AQ69:AT69"/>
    <mergeCell ref="BA69:BD69"/>
    <mergeCell ref="BK69:BN69"/>
    <mergeCell ref="CE67:CH67"/>
    <mergeCell ref="CO67:CR67"/>
    <mergeCell ref="CY67:DB67"/>
    <mergeCell ref="DI67:DL67"/>
    <mergeCell ref="V68:Z68"/>
    <mergeCell ref="AF68:AJ68"/>
    <mergeCell ref="AP68:AT68"/>
    <mergeCell ref="AZ68:BD68"/>
    <mergeCell ref="BJ68:BN68"/>
    <mergeCell ref="L71:O71"/>
    <mergeCell ref="P71:Q71"/>
    <mergeCell ref="Q73:R73"/>
    <mergeCell ref="A78:I78"/>
    <mergeCell ref="K78:M78"/>
    <mergeCell ref="N78:P78"/>
    <mergeCell ref="Q78:S78"/>
    <mergeCell ref="K69:S69"/>
    <mergeCell ref="W69:Z69"/>
    <mergeCell ref="BS80:CA80"/>
    <mergeCell ref="CC80:CK80"/>
    <mergeCell ref="CM80:CU80"/>
    <mergeCell ref="CW80:DE80"/>
    <mergeCell ref="DG80:DO80"/>
    <mergeCell ref="BY81:BZ81"/>
    <mergeCell ref="CI81:CJ81"/>
    <mergeCell ref="CS81:CT81"/>
    <mergeCell ref="DC81:DD81"/>
    <mergeCell ref="DM81:DN81"/>
    <mergeCell ref="BE84:BF84"/>
    <mergeCell ref="BO84:BP84"/>
    <mergeCell ref="L85:O85"/>
    <mergeCell ref="A86:I86"/>
    <mergeCell ref="L86:O86"/>
    <mergeCell ref="L87:O87"/>
    <mergeCell ref="U83:AC83"/>
    <mergeCell ref="AE83:AM83"/>
    <mergeCell ref="AO83:AW83"/>
    <mergeCell ref="AY83:BG83"/>
    <mergeCell ref="BI83:BQ83"/>
    <mergeCell ref="O84:P84"/>
    <mergeCell ref="Q84:R84"/>
    <mergeCell ref="AA84:AB84"/>
    <mergeCell ref="AK84:AL84"/>
    <mergeCell ref="AU84:AV84"/>
    <mergeCell ref="A93:I93"/>
    <mergeCell ref="L93:O93"/>
    <mergeCell ref="L94:O94"/>
    <mergeCell ref="U94:AC94"/>
    <mergeCell ref="AE94:AM94"/>
    <mergeCell ref="AO94:AW94"/>
    <mergeCell ref="L88:O88"/>
    <mergeCell ref="K89:O89"/>
    <mergeCell ref="L90:O90"/>
    <mergeCell ref="K91:L91"/>
    <mergeCell ref="M91:O91"/>
    <mergeCell ref="L92:O92"/>
    <mergeCell ref="DG94:DO94"/>
    <mergeCell ref="L95:O95"/>
    <mergeCell ref="Y95:Z95"/>
    <mergeCell ref="AA95:AB95"/>
    <mergeCell ref="AI95:AJ95"/>
    <mergeCell ref="AK95:AL95"/>
    <mergeCell ref="AS95:AT95"/>
    <mergeCell ref="AU95:AV95"/>
    <mergeCell ref="BC95:BD95"/>
    <mergeCell ref="BE95:BF95"/>
    <mergeCell ref="AY94:BG94"/>
    <mergeCell ref="BI94:BQ94"/>
    <mergeCell ref="BS94:CA94"/>
    <mergeCell ref="CC94:CK94"/>
    <mergeCell ref="CM94:CU94"/>
    <mergeCell ref="CW94:DE94"/>
    <mergeCell ref="DM95:DN95"/>
    <mergeCell ref="CS95:CT95"/>
    <mergeCell ref="DC95:DD95"/>
    <mergeCell ref="W96:Z96"/>
    <mergeCell ref="AG96:AJ96"/>
    <mergeCell ref="AQ96:AT96"/>
    <mergeCell ref="BA96:BD96"/>
    <mergeCell ref="BK96:BN96"/>
    <mergeCell ref="BM95:BN95"/>
    <mergeCell ref="BO95:BP95"/>
    <mergeCell ref="BY95:BZ95"/>
    <mergeCell ref="CI95:CJ95"/>
    <mergeCell ref="C98:E98"/>
    <mergeCell ref="W98:Z98"/>
    <mergeCell ref="AG98:AJ98"/>
    <mergeCell ref="AQ98:AT98"/>
    <mergeCell ref="BA98:BD98"/>
    <mergeCell ref="BK98:BN98"/>
    <mergeCell ref="L97:O97"/>
    <mergeCell ref="V97:Z97"/>
    <mergeCell ref="AF97:AJ97"/>
    <mergeCell ref="AP97:AT97"/>
    <mergeCell ref="AZ97:BD97"/>
    <mergeCell ref="BJ97:BN97"/>
    <mergeCell ref="L101:O101"/>
    <mergeCell ref="P101:Q101"/>
    <mergeCell ref="Q103:R103"/>
    <mergeCell ref="BS104:CA104"/>
    <mergeCell ref="CC104:CK104"/>
    <mergeCell ref="CM104:CU104"/>
    <mergeCell ref="K99:S99"/>
    <mergeCell ref="AA100:AB100"/>
    <mergeCell ref="AK100:AL100"/>
    <mergeCell ref="AU100:AV100"/>
    <mergeCell ref="BE100:BF100"/>
    <mergeCell ref="BO100:BP100"/>
    <mergeCell ref="C106:E106"/>
    <mergeCell ref="BY106:BZ106"/>
    <mergeCell ref="CI106:CJ106"/>
    <mergeCell ref="CS106:CT106"/>
    <mergeCell ref="DC106:DD106"/>
    <mergeCell ref="DM106:DN106"/>
    <mergeCell ref="CW104:DE104"/>
    <mergeCell ref="DG104:DO104"/>
    <mergeCell ref="BS105:CA105"/>
    <mergeCell ref="CC105:CK105"/>
    <mergeCell ref="CM105:CU105"/>
    <mergeCell ref="CW105:DE105"/>
    <mergeCell ref="DG105:DO105"/>
    <mergeCell ref="BU107:BX107"/>
    <mergeCell ref="CE107:CH107"/>
    <mergeCell ref="CO107:CR107"/>
    <mergeCell ref="CY107:DB107"/>
    <mergeCell ref="DI107:DL107"/>
    <mergeCell ref="K108:M108"/>
    <mergeCell ref="N108:P108"/>
    <mergeCell ref="Q108:S108"/>
    <mergeCell ref="BT108:BX108"/>
    <mergeCell ref="CD108:CH108"/>
    <mergeCell ref="BY111:BZ111"/>
    <mergeCell ref="CI111:CJ111"/>
    <mergeCell ref="CS111:CT111"/>
    <mergeCell ref="DC111:DD111"/>
    <mergeCell ref="DM111:DN111"/>
    <mergeCell ref="C114:E114"/>
    <mergeCell ref="O114:P114"/>
    <mergeCell ref="Q114:R114"/>
    <mergeCell ref="CN108:CR108"/>
    <mergeCell ref="CX108:DB108"/>
    <mergeCell ref="DH108:DL108"/>
    <mergeCell ref="BU109:BX109"/>
    <mergeCell ref="CE109:CH109"/>
    <mergeCell ref="CO109:CR109"/>
    <mergeCell ref="CY109:DB109"/>
    <mergeCell ref="DI109:DL109"/>
    <mergeCell ref="B120:H120"/>
    <mergeCell ref="L120:O120"/>
    <mergeCell ref="F121:G121"/>
    <mergeCell ref="K121:L121"/>
    <mergeCell ref="M121:O121"/>
    <mergeCell ref="L122:O122"/>
    <mergeCell ref="L115:O115"/>
    <mergeCell ref="L116:O116"/>
    <mergeCell ref="L117:O117"/>
    <mergeCell ref="L118:O118"/>
    <mergeCell ref="A119:I119"/>
    <mergeCell ref="K119:O119"/>
    <mergeCell ref="C130:E130"/>
    <mergeCell ref="O130:R130"/>
    <mergeCell ref="P132:Q132"/>
    <mergeCell ref="U133:AC134"/>
    <mergeCell ref="C134:E134"/>
    <mergeCell ref="Q134:R134"/>
    <mergeCell ref="L123:O123"/>
    <mergeCell ref="L124:O124"/>
    <mergeCell ref="C125:E125"/>
    <mergeCell ref="L125:O125"/>
    <mergeCell ref="U126:AC127"/>
    <mergeCell ref="K129:S129"/>
    <mergeCell ref="U147:AC147"/>
    <mergeCell ref="L148:O148"/>
    <mergeCell ref="L149:O149"/>
    <mergeCell ref="K150:O150"/>
    <mergeCell ref="L151:O151"/>
    <mergeCell ref="K139:M139"/>
    <mergeCell ref="N139:P139"/>
    <mergeCell ref="Q139:S139"/>
    <mergeCell ref="O145:P145"/>
    <mergeCell ref="Q145:R145"/>
    <mergeCell ref="L146:O146"/>
    <mergeCell ref="K159:S159"/>
    <mergeCell ref="Q160:R160"/>
    <mergeCell ref="K152:L152"/>
    <mergeCell ref="M152:O152"/>
    <mergeCell ref="L153:O153"/>
    <mergeCell ref="L154:O154"/>
    <mergeCell ref="L155:O155"/>
    <mergeCell ref="L156:O156"/>
    <mergeCell ref="L147:O147"/>
  </mergeCells>
  <conditionalFormatting sqref="A1:XFD1048576">
    <cfRule type="expression" dxfId="30" priority="5" stopIfTrue="1">
      <formula>CELL("protect",A1)=0</formula>
    </cfRule>
    <cfRule type="beginsWith" dxfId="29" priority="6" operator="beginsWith" text="BLANK">
      <formula>LEFT(A1,LEN("BLANK"))="BLANK"</formula>
    </cfRule>
    <cfRule type="beginsWith" dxfId="28" priority="7" operator="beginsWith" text="REJECT">
      <formula>LEFT(A1,LEN("REJECT"))="REJECT"</formula>
    </cfRule>
    <cfRule type="beginsWith" dxfId="27" priority="8" operator="beginsWith" text="CHECK">
      <formula>LEFT(A1,LEN("CHECK"))="CHECK"</formula>
    </cfRule>
    <cfRule type="beginsWith" dxfId="26" priority="9" operator="beginsWith" text="EQ">
      <formula>LEFT(A1,LEN("EQ"))="EQ"</formula>
    </cfRule>
  </conditionalFormatting>
  <dataValidations count="19">
    <dataValidation type="list" allowBlank="1" showInputMessage="1" showErrorMessage="1" sqref="F121" xr:uid="{DA3BD8D6-C404-4F35-9D9B-D517B9774969}">
      <formula1>"Vertical, Lateral, Longitudinal"</formula1>
    </dataValidation>
    <dataValidation type="list" allowBlank="1" showInputMessage="1" showErrorMessage="1" sqref="G122" xr:uid="{9690DBE6-289E-4B48-B2BF-6E76F1A47E73}">
      <formula1>"Tension, Shear"</formula1>
    </dataValidation>
    <dataValidation type="list" allowBlank="1" showInputMessage="1" showErrorMessage="1" sqref="B120:H120" xr:uid="{DC314B34-8F34-4002-B0EC-59C53165E3E1}">
      <formula1>"Segments mechanically attached to container, Lid attachment equivlent to weld"</formula1>
    </dataValidation>
    <dataValidation type="list" allowBlank="1" showInputMessage="1" showErrorMessage="1" sqref="L65:R65" xr:uid="{0CDD35D2-8EF3-43DF-8BE8-557DB600D5BD}">
      <formula1>"Image shows airflow to outside container for every segment, Image shows pressure relief valve is not pointed at the driver"</formula1>
    </dataValidation>
    <dataValidation type="list" allowBlank="1" showInputMessage="1" showErrorMessage="1" sqref="AA84:AB84 AK84:AL84 AU84:AV84 BE84:BF84 BO84:BP84 BY95:BZ95 CI95:CJ95 CS95:CT95 DC95:DD95 DM95:DN95" xr:uid="{7305087E-FF25-4528-9884-AD2B7D674696}">
      <formula1>"Single Layer, H-Shape, L-Shape, U-Shape, Rectangular Tube, Round Tube"</formula1>
    </dataValidation>
    <dataValidation type="list" allowBlank="1" showInputMessage="1" showErrorMessage="1" sqref="P132:Q132 P101:Q101 P71:Q71" xr:uid="{B93D98A1-FC3B-4996-AAD5-19424E7006AA}">
      <formula1>"Steel, Aluminum, Isotropic, Composite"</formula1>
    </dataValidation>
    <dataValidation type="list" allowBlank="1" showInputMessage="1" showErrorMessage="1" sqref="Y95:Z95 AI95:AJ95 AS95:AT95 BC95:BD95 BM95:BN95" xr:uid="{7B7B4A4A-4B18-4558-B84A-C865449A15F0}">
      <formula1>"Exterior Wall, Floor"</formula1>
    </dataValidation>
    <dataValidation type="list" allowBlank="1" showInputMessage="1" showErrorMessage="1" sqref="BY61:BZ61 CI61:CJ61 CS61:CT61 DC61:DD61 DM61:DN61" xr:uid="{A41876FA-80C9-4D41-B28B-652FEDA23600}">
      <formula1>"Centerline Inserts, Offset Mounts, Flush Monocoque"</formula1>
    </dataValidation>
    <dataValidation type="list" allowBlank="1" showInputMessage="1" showErrorMessage="1" sqref="O130:R130" xr:uid="{F26908CB-6EF3-42E9-843C-6B4CA67B3452}">
      <formula1>"No Vectors From Holes To Driver, Vector From Hole To Firewall-Seat"</formula1>
    </dataValidation>
    <dataValidation type="list" allowBlank="1" showInputMessage="1" showErrorMessage="1" sqref="AA100:AB100 AK100:AL100 AU100:AV100 BE100:BF100 BO100:BP100 BY111:BZ111 CI111:CJ111 CS111:CT111 DC111:DD111 DM111:DN111" xr:uid="{C842FB01-C7A6-486C-9E67-40CE4F664041}">
      <formula1>"Bolted, Welded, Bonded, Continuous"</formula1>
    </dataValidation>
    <dataValidation type="list" allowBlank="1" showInputMessage="1" showErrorMessage="1" sqref="BY82 CI82 CS82 DC82 DM82" xr:uid="{764BF6ED-6434-4FE9-8A4D-506B554BC27A}">
      <formula1>"Round, Square"</formula1>
    </dataValidation>
    <dataValidation type="list" allowBlank="1" showInputMessage="1" showErrorMessage="1" sqref="BY81:BZ81 CI81:CJ81 CS81:CT81 DC81:DD81 DM81:DN81" xr:uid="{03A10633-D3EC-45B4-B2F0-7A4CFA469118}">
      <formula1>"Tube, Composite"</formula1>
    </dataValidation>
    <dataValidation type="list" allowBlank="1" showInputMessage="1" showErrorMessage="1" sqref="Q73:R73 Q103:R103 Q134:R134 BY106:BZ106 AA66:AB66 AK66:AL66 AU66:AV66 BE66:BF66 BO66:BP66 BY64:BZ64 CI64:CJ64 CS64:CT64 DC64:DD64 DM64:DN64 DM106:DN106 DC106:DD106 CS106:CT106 CI106:CJ106" xr:uid="{1FD672CD-DF53-4CE7-987C-32543C6B41D2}">
      <formula1>$E$3:$E$19</formula1>
    </dataValidation>
    <dataValidation type="list" allowBlank="1" showInputMessage="1" showErrorMessage="1" sqref="G65:H65" xr:uid="{9258FB20-AC3F-4E76-839F-5C9009909616}">
      <formula1>"Cylindrical, Pouch, Prismatic"</formula1>
    </dataValidation>
    <dataValidation type="list" allowBlank="1" showInputMessage="1" showErrorMessage="1" sqref="AA74 AA104 DM115 BY115 AK74 AK104 AU74 AU104 BE74 BE104 BO74 BO104 CS115 CI115 DC115" xr:uid="{FCA7EC04-90D9-4ADB-90D2-BF8FBDB23FE2}">
      <formula1>"No, Yes"</formula1>
    </dataValidation>
    <dataValidation type="list" allowBlank="1" showInputMessage="1" showErrorMessage="1" sqref="U24:V25" xr:uid="{D3D809A0-2270-4E36-9E1E-A9E11C062F26}">
      <formula1>"Front/Rear, Top/Bottom, Left/Right, None"</formula1>
    </dataValidation>
    <dataValidation type="list" allowBlank="1" showInputMessage="1" showErrorMessage="1" sqref="U22:V22" xr:uid="{96AD606C-49CB-4F92-AD74-A53F92B7BF32}">
      <formula1>"Corner Attachment, Mass Based"</formula1>
    </dataValidation>
    <dataValidation type="list" allowBlank="1" showInputMessage="1" showErrorMessage="1" sqref="U62:U64 AY62:AY64 AE62:AE64 AO62:AO64 BI62:BI64" xr:uid="{0559E564-1A9E-4864-99D8-8C779B2CE4AB}">
      <formula1>"Between, Outside"</formula1>
    </dataValidation>
    <dataValidation type="list" allowBlank="1" showInputMessage="1" showErrorMessage="1" sqref="Q160:R160" xr:uid="{8CB68E2E-F931-4807-8079-7CCABDA049EC}">
      <formula1>"Fastened, Welded, Bonded, Continuous Layup"</formula1>
    </dataValidation>
  </dataValidations>
  <pageMargins left="0.7" right="0.7" top="0.75" bottom="0.75" header="0.3" footer="0.3"/>
  <pageSetup paperSize="24" scale="41" orientation="landscape"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CDD492-2149-458B-A7D9-FD649388BE21}">
  <sheetPr codeName="Sheet3">
    <pageSetUpPr fitToPage="1"/>
  </sheetPr>
  <dimension ref="A1:CE10000"/>
  <sheetViews>
    <sheetView topLeftCell="AF1" zoomScale="125" zoomScaleNormal="50" workbookViewId="0">
      <selection activeCell="AQ31" sqref="AQ31"/>
    </sheetView>
  </sheetViews>
  <sheetFormatPr baseColWidth="10" defaultColWidth="8.83203125" defaultRowHeight="15" x14ac:dyDescent="0.2"/>
  <cols>
    <col min="1" max="1" width="9.1640625" style="25"/>
    <col min="2" max="2" width="10" style="25" bestFit="1" customWidth="1"/>
    <col min="3" max="9" width="9.1640625" style="25"/>
    <col min="10" max="11" width="9.33203125" style="25" bestFit="1" customWidth="1"/>
    <col min="12" max="37" width="9.1640625" style="25"/>
    <col min="38" max="41" width="9.33203125" style="25" bestFit="1" customWidth="1"/>
    <col min="42" max="43" width="9.1640625" style="25"/>
    <col min="44" max="45" width="9.33203125" style="25" bestFit="1" customWidth="1"/>
    <col min="46" max="49" width="9.1640625" style="25"/>
    <col min="50" max="50" width="9.33203125" style="25" bestFit="1" customWidth="1"/>
    <col min="51" max="51" width="11.5" style="25" bestFit="1" customWidth="1"/>
    <col min="52" max="53" width="9.1640625" style="25"/>
    <col min="54" max="54" width="9.1640625" style="12"/>
    <col min="55" max="55" width="9.1640625" style="35"/>
    <col min="56" max="58" width="9.1640625" style="25"/>
    <col min="59" max="61" width="9.1640625" style="25" customWidth="1"/>
    <col min="62" max="73" width="9.1640625" style="25"/>
    <col min="74" max="74" width="9.1640625" style="223"/>
    <col min="75" max="75" width="9.1640625" style="224"/>
    <col min="76" max="76" width="9.1640625" style="270"/>
    <col min="77" max="77" width="9.1640625" style="225"/>
    <col min="78" max="78" width="9.1640625" style="25"/>
    <col min="79" max="79" width="9.1640625" style="223"/>
    <col min="80" max="80" width="9.1640625" style="225"/>
    <col min="81" max="81" width="9.1640625" style="25"/>
    <col min="82" max="83" width="9.1640625" style="224"/>
  </cols>
  <sheetData>
    <row r="1" spans="1:83" ht="17.25" customHeight="1" x14ac:dyDescent="0.2">
      <c r="A1" s="375" t="s">
        <v>801</v>
      </c>
      <c r="B1" s="375"/>
      <c r="C1" s="375"/>
      <c r="D1" s="38"/>
      <c r="E1" s="38"/>
      <c r="F1" s="38"/>
      <c r="G1" s="38"/>
      <c r="H1" s="38"/>
      <c r="I1" s="38"/>
      <c r="J1" s="38"/>
      <c r="K1" s="38"/>
      <c r="L1" s="38"/>
      <c r="M1" s="38"/>
      <c r="N1" s="38"/>
      <c r="O1" s="38"/>
      <c r="P1" s="38"/>
      <c r="Q1" s="38"/>
      <c r="R1" s="38"/>
      <c r="S1" s="38"/>
      <c r="T1" s="38"/>
      <c r="U1" s="38"/>
      <c r="V1" s="38"/>
      <c r="W1" s="38"/>
      <c r="X1" s="41"/>
      <c r="Y1" s="41"/>
      <c r="Z1" s="41"/>
      <c r="AA1" s="41"/>
      <c r="AB1" s="41"/>
      <c r="AC1" s="41"/>
      <c r="AD1" s="41"/>
      <c r="AE1" s="41"/>
      <c r="AF1" s="41"/>
      <c r="AG1" s="38"/>
      <c r="AH1" s="38"/>
      <c r="AI1" s="38"/>
      <c r="AJ1" s="38"/>
      <c r="AK1" s="38"/>
      <c r="AL1" s="38"/>
      <c r="AM1" s="38"/>
      <c r="AN1" s="38"/>
      <c r="AO1" s="38"/>
      <c r="AP1" s="38"/>
      <c r="AQ1" s="38"/>
      <c r="AR1" s="38"/>
      <c r="AS1" s="38"/>
      <c r="AT1" s="38"/>
      <c r="AU1" s="38"/>
      <c r="AV1" s="38"/>
      <c r="AW1" s="38"/>
      <c r="AX1" s="38"/>
      <c r="AY1" s="38"/>
      <c r="AZ1" s="38"/>
      <c r="BA1" s="38"/>
      <c r="BB1" s="39"/>
      <c r="BC1" s="40"/>
      <c r="BD1" s="41"/>
      <c r="BE1" s="41"/>
      <c r="BF1" s="41"/>
      <c r="BG1" s="41"/>
      <c r="BH1" s="41"/>
      <c r="BI1" s="41"/>
      <c r="BJ1" s="41"/>
      <c r="BK1" s="38"/>
      <c r="BL1" s="41"/>
      <c r="BM1" s="41"/>
      <c r="BN1" s="41"/>
      <c r="BO1" s="41"/>
      <c r="BP1" s="41"/>
      <c r="BQ1" s="41"/>
      <c r="BR1" s="41"/>
      <c r="BS1" s="41"/>
      <c r="BT1" s="41"/>
      <c r="BU1" s="38"/>
      <c r="BV1" s="195" t="s">
        <v>802</v>
      </c>
      <c r="BW1" s="196"/>
      <c r="BX1" s="197"/>
      <c r="BY1" s="198"/>
      <c r="BZ1" s="52"/>
      <c r="CA1" s="195" t="s">
        <v>803</v>
      </c>
      <c r="CB1" s="198"/>
      <c r="CC1" s="52"/>
      <c r="CD1" s="195" t="s">
        <v>803</v>
      </c>
      <c r="CE1" s="198"/>
    </row>
    <row r="2" spans="1:83" ht="15.75" customHeight="1" x14ac:dyDescent="0.2">
      <c r="A2" s="183" t="s">
        <v>772</v>
      </c>
      <c r="B2" s="183" t="s">
        <v>804</v>
      </c>
      <c r="C2" s="199"/>
      <c r="D2" s="200"/>
      <c r="E2" s="200"/>
      <c r="F2" s="200"/>
      <c r="G2" s="200"/>
      <c r="H2" s="200"/>
      <c r="I2" s="200"/>
      <c r="J2" s="200"/>
      <c r="K2" s="200"/>
      <c r="L2" s="200"/>
      <c r="M2" s="38"/>
      <c r="N2" s="10"/>
      <c r="O2" s="10"/>
      <c r="P2" s="10"/>
      <c r="Q2" s="10"/>
      <c r="R2" s="10"/>
      <c r="S2" s="10"/>
      <c r="T2" s="10"/>
      <c r="U2" s="10"/>
      <c r="V2" s="10"/>
      <c r="W2" s="38"/>
      <c r="X2" s="42"/>
      <c r="Y2" s="42"/>
      <c r="Z2" s="42"/>
      <c r="AA2" s="42"/>
      <c r="AB2" s="42"/>
      <c r="AC2" s="42"/>
      <c r="AD2" s="42"/>
      <c r="AE2" s="42"/>
      <c r="AF2" s="42"/>
      <c r="AG2" s="38"/>
      <c r="AH2" s="10"/>
      <c r="AI2" s="10"/>
      <c r="AJ2" s="10"/>
      <c r="AK2" s="10"/>
      <c r="AL2" s="10"/>
      <c r="AM2" s="10"/>
      <c r="AN2" s="10"/>
      <c r="AO2" s="10"/>
      <c r="AP2" s="10"/>
      <c r="AQ2" s="38"/>
      <c r="AR2" s="10"/>
      <c r="AS2" s="10"/>
      <c r="AT2" s="10"/>
      <c r="AU2" s="10"/>
      <c r="AV2" s="10"/>
      <c r="AW2" s="10"/>
      <c r="AX2" s="10"/>
      <c r="AY2" s="10"/>
      <c r="AZ2" s="10"/>
      <c r="BA2" s="38"/>
      <c r="BB2" s="201"/>
      <c r="BC2" s="63"/>
      <c r="BD2" s="42"/>
      <c r="BE2" s="42"/>
      <c r="BF2" s="42"/>
      <c r="BG2" s="42"/>
      <c r="BH2" s="42"/>
      <c r="BI2" s="42"/>
      <c r="BJ2" s="42"/>
      <c r="BK2" s="38"/>
      <c r="BL2" s="42"/>
      <c r="BM2" s="42"/>
      <c r="BN2" s="42"/>
      <c r="BO2" s="42"/>
      <c r="BP2" s="42"/>
      <c r="BQ2" s="42"/>
      <c r="BR2" s="42"/>
      <c r="BS2" s="42"/>
      <c r="BT2" s="42"/>
      <c r="BU2" s="38"/>
      <c r="BV2" s="202" t="s">
        <v>805</v>
      </c>
      <c r="BW2" s="203"/>
      <c r="BX2" s="204"/>
      <c r="BY2" s="205"/>
      <c r="BZ2" s="52"/>
      <c r="CA2" s="206" t="s">
        <v>806</v>
      </c>
      <c r="CB2" s="205"/>
      <c r="CC2" s="52"/>
      <c r="CD2" s="206" t="s">
        <v>806</v>
      </c>
      <c r="CE2" s="205"/>
    </row>
    <row r="3" spans="1:83" ht="15.75" customHeight="1" x14ac:dyDescent="0.2">
      <c r="A3" s="207">
        <f>IF($A$25="mm",200*10^9,29000*10^3)</f>
        <v>29000000</v>
      </c>
      <c r="B3" s="207">
        <f>IF($A$25="mm",69*10^9,10000*10^3)</f>
        <v>10000000</v>
      </c>
      <c r="C3" s="208"/>
      <c r="D3" s="200"/>
      <c r="E3" s="200"/>
      <c r="F3" s="200"/>
      <c r="G3" s="200"/>
      <c r="H3" s="200"/>
      <c r="I3" s="200"/>
      <c r="J3" s="200"/>
      <c r="K3" s="200"/>
      <c r="L3" s="200"/>
      <c r="M3" s="38"/>
      <c r="N3" s="10"/>
      <c r="O3" s="10"/>
      <c r="P3" s="10"/>
      <c r="Q3" s="10"/>
      <c r="R3" s="10"/>
      <c r="S3" s="10"/>
      <c r="T3" s="10"/>
      <c r="U3" s="10"/>
      <c r="V3" s="10"/>
      <c r="W3" s="38"/>
      <c r="X3" s="42"/>
      <c r="Y3" s="42"/>
      <c r="Z3" s="42"/>
      <c r="AA3" s="42"/>
      <c r="AB3" s="42"/>
      <c r="AC3" s="42"/>
      <c r="AD3" s="42"/>
      <c r="AE3" s="42"/>
      <c r="AF3" s="42"/>
      <c r="AG3" s="38"/>
      <c r="AH3" s="10"/>
      <c r="AI3" s="10"/>
      <c r="AJ3" s="10"/>
      <c r="AK3" s="10"/>
      <c r="AL3" s="10"/>
      <c r="AM3" s="10"/>
      <c r="AN3" s="10"/>
      <c r="AO3" s="10"/>
      <c r="AP3" s="10"/>
      <c r="AQ3" s="38"/>
      <c r="AR3" s="10"/>
      <c r="AS3" s="10"/>
      <c r="AT3" s="10"/>
      <c r="AU3" s="10"/>
      <c r="AV3" s="10"/>
      <c r="AW3" s="10"/>
      <c r="AX3" s="10"/>
      <c r="AY3" s="10"/>
      <c r="AZ3" s="10"/>
      <c r="BA3" s="38"/>
      <c r="BB3" s="201"/>
      <c r="BC3" s="63"/>
      <c r="BD3" s="42"/>
      <c r="BE3" s="42"/>
      <c r="BF3" s="42"/>
      <c r="BG3" s="42"/>
      <c r="BH3" s="42"/>
      <c r="BI3" s="42"/>
      <c r="BJ3" s="42"/>
      <c r="BK3" s="38"/>
      <c r="BL3" s="42"/>
      <c r="BM3" s="42"/>
      <c r="BN3" s="42"/>
      <c r="BO3" s="42"/>
      <c r="BP3" s="42"/>
      <c r="BQ3" s="42"/>
      <c r="BR3" s="42"/>
      <c r="BS3" s="42"/>
      <c r="BT3" s="42"/>
      <c r="BU3" s="38"/>
      <c r="BV3" s="202" t="s">
        <v>807</v>
      </c>
      <c r="BW3" s="203"/>
      <c r="BX3" s="204"/>
      <c r="BY3" s="205"/>
      <c r="BZ3" s="52"/>
      <c r="CA3" s="202" t="s">
        <v>808</v>
      </c>
      <c r="CB3" s="205"/>
      <c r="CC3" s="52"/>
      <c r="CD3" s="202" t="s">
        <v>808</v>
      </c>
      <c r="CE3" s="205"/>
    </row>
    <row r="4" spans="1:83" ht="15.75" customHeight="1" x14ac:dyDescent="0.2">
      <c r="A4" s="207">
        <f>IF($A$25="mm",305*10^6,44.2*10^3)</f>
        <v>44200</v>
      </c>
      <c r="B4" s="207">
        <f>IF($A$25="mm",240*10^6,34.8*10^3)</f>
        <v>34800</v>
      </c>
      <c r="C4" s="208"/>
      <c r="D4" s="200"/>
      <c r="E4" s="200"/>
      <c r="F4" s="200"/>
      <c r="G4" s="200"/>
      <c r="H4" s="200"/>
      <c r="I4" s="200"/>
      <c r="J4" s="200"/>
      <c r="K4" s="200"/>
      <c r="L4" s="200"/>
      <c r="M4" s="38"/>
      <c r="N4" s="10"/>
      <c r="O4" s="10"/>
      <c r="P4" s="10"/>
      <c r="Q4" s="10"/>
      <c r="R4" s="10"/>
      <c r="S4" s="10"/>
      <c r="T4" s="10"/>
      <c r="U4" s="10"/>
      <c r="V4" s="10"/>
      <c r="W4" s="38"/>
      <c r="X4" s="42"/>
      <c r="Y4" s="42"/>
      <c r="Z4" s="42"/>
      <c r="AA4" s="42"/>
      <c r="AB4" s="42"/>
      <c r="AC4" s="42"/>
      <c r="AD4" s="42"/>
      <c r="AE4" s="42"/>
      <c r="AF4" s="42"/>
      <c r="AG4" s="38"/>
      <c r="AH4" s="10"/>
      <c r="AI4" s="10"/>
      <c r="AJ4" s="10"/>
      <c r="AK4" s="10"/>
      <c r="AL4" s="10"/>
      <c r="AM4" s="10"/>
      <c r="AN4" s="10"/>
      <c r="AO4" s="10"/>
      <c r="AP4" s="10"/>
      <c r="AQ4" s="38"/>
      <c r="AR4" s="10"/>
      <c r="AS4" s="10"/>
      <c r="AT4" s="10"/>
      <c r="AU4" s="10"/>
      <c r="AV4" s="10"/>
      <c r="AW4" s="10"/>
      <c r="AX4" s="10"/>
      <c r="AY4" s="10"/>
      <c r="AZ4" s="10"/>
      <c r="BA4" s="38"/>
      <c r="BB4" s="201"/>
      <c r="BC4" s="63"/>
      <c r="BD4" s="42"/>
      <c r="BE4" s="42"/>
      <c r="BF4" s="42"/>
      <c r="BG4" s="42"/>
      <c r="BH4" s="42"/>
      <c r="BI4" s="42"/>
      <c r="BJ4" s="42"/>
      <c r="BK4" s="38"/>
      <c r="BL4" s="294" t="s">
        <v>809</v>
      </c>
      <c r="BM4" s="294"/>
      <c r="BN4" s="294"/>
      <c r="BO4" s="294"/>
      <c r="BP4" s="294"/>
      <c r="BQ4" s="294"/>
      <c r="BR4" s="294"/>
      <c r="BS4" s="294"/>
      <c r="BT4" s="294"/>
      <c r="BU4" s="38"/>
      <c r="BV4" s="202" t="s">
        <v>810</v>
      </c>
      <c r="BW4" s="203"/>
      <c r="BX4" s="204"/>
      <c r="BY4" s="205"/>
      <c r="BZ4" s="52"/>
      <c r="CA4" s="202" t="s">
        <v>811</v>
      </c>
      <c r="CB4" s="205"/>
      <c r="CC4" s="52"/>
      <c r="CD4" s="202" t="s">
        <v>811</v>
      </c>
      <c r="CE4" s="205"/>
    </row>
    <row r="5" spans="1:83" ht="15.75" customHeight="1" x14ac:dyDescent="0.2">
      <c r="A5" s="207">
        <f>IF($A$25="mm",365*10^6,52.9*10^3)</f>
        <v>52900</v>
      </c>
      <c r="B5" s="207">
        <f>IF($A$25="mm",290*10^6,42.1*10^3)</f>
        <v>42100</v>
      </c>
      <c r="C5" s="208"/>
      <c r="D5" s="42"/>
      <c r="E5" s="42"/>
      <c r="F5" s="42"/>
      <c r="G5" s="42"/>
      <c r="H5" s="42"/>
      <c r="I5" s="42"/>
      <c r="J5" s="42"/>
      <c r="K5" s="42"/>
      <c r="L5" s="42"/>
      <c r="M5" s="38"/>
      <c r="N5" s="10"/>
      <c r="O5" s="10"/>
      <c r="P5" s="10"/>
      <c r="Q5" s="10"/>
      <c r="R5" s="10"/>
      <c r="S5" s="10"/>
      <c r="T5" s="10"/>
      <c r="U5" s="10"/>
      <c r="V5" s="10"/>
      <c r="W5" s="38"/>
      <c r="X5" s="42"/>
      <c r="Y5" s="42"/>
      <c r="Z5" s="42"/>
      <c r="AA5" s="42"/>
      <c r="AB5" s="42"/>
      <c r="AC5" s="42"/>
      <c r="AD5" s="42"/>
      <c r="AE5" s="42"/>
      <c r="AF5" s="42"/>
      <c r="AG5" s="38"/>
      <c r="AH5" s="10"/>
      <c r="AI5" s="10"/>
      <c r="AJ5" s="10"/>
      <c r="AK5" s="10"/>
      <c r="AL5" s="10"/>
      <c r="AM5" s="10"/>
      <c r="AN5" s="10"/>
      <c r="AO5" s="10"/>
      <c r="AP5" s="10"/>
      <c r="AQ5" s="38"/>
      <c r="AR5" s="10"/>
      <c r="AS5" s="10"/>
      <c r="AT5" s="10"/>
      <c r="AU5" s="10"/>
      <c r="AV5" s="10"/>
      <c r="AW5" s="10"/>
      <c r="AX5" s="10"/>
      <c r="AY5" s="10"/>
      <c r="AZ5" s="10"/>
      <c r="BA5" s="38"/>
      <c r="BB5" s="201"/>
      <c r="BC5" s="63"/>
      <c r="BD5" s="42"/>
      <c r="BE5" s="42"/>
      <c r="BF5" s="42"/>
      <c r="BG5" s="42"/>
      <c r="BH5" s="42"/>
      <c r="BI5" s="42"/>
      <c r="BJ5" s="42"/>
      <c r="BK5" s="38"/>
      <c r="BL5" s="294"/>
      <c r="BM5" s="294"/>
      <c r="BN5" s="294"/>
      <c r="BO5" s="294"/>
      <c r="BP5" s="294"/>
      <c r="BQ5" s="294"/>
      <c r="BR5" s="294"/>
      <c r="BS5" s="294"/>
      <c r="BT5" s="294"/>
      <c r="BU5" s="38"/>
      <c r="BV5" s="206"/>
      <c r="BW5" s="203"/>
      <c r="BX5" s="204"/>
      <c r="BY5" s="205"/>
      <c r="BZ5" s="52"/>
      <c r="CA5" s="209"/>
      <c r="CB5" s="205"/>
      <c r="CC5" s="52"/>
      <c r="CD5" s="209"/>
      <c r="CE5" s="205"/>
    </row>
    <row r="6" spans="1:83" ht="15.75" customHeight="1" x14ac:dyDescent="0.2">
      <c r="A6" s="207">
        <f>IF($A$25="mm",180*10^6,26*10^3)</f>
        <v>26000</v>
      </c>
      <c r="B6" s="207">
        <f>IF($A$25="mm",115*10^6,16.7*10^3)</f>
        <v>16700</v>
      </c>
      <c r="C6" s="208"/>
      <c r="D6" s="42"/>
      <c r="E6" s="42"/>
      <c r="F6" s="42"/>
      <c r="G6" s="42"/>
      <c r="H6" s="42"/>
      <c r="I6" s="42"/>
      <c r="J6" s="42"/>
      <c r="K6" s="42"/>
      <c r="L6" s="42"/>
      <c r="M6" s="38"/>
      <c r="N6" s="10"/>
      <c r="O6" s="10"/>
      <c r="P6" s="10"/>
      <c r="Q6" s="10"/>
      <c r="R6" s="10"/>
      <c r="S6" s="10"/>
      <c r="T6" s="10"/>
      <c r="U6" s="10"/>
      <c r="V6" s="10"/>
      <c r="W6" s="38"/>
      <c r="X6" s="42"/>
      <c r="Y6" s="42"/>
      <c r="Z6" s="42"/>
      <c r="AA6" s="42"/>
      <c r="AB6" s="42"/>
      <c r="AC6" s="42"/>
      <c r="AD6" s="42"/>
      <c r="AE6" s="42"/>
      <c r="AF6" s="42"/>
      <c r="AG6" s="38"/>
      <c r="AH6" s="166"/>
      <c r="AI6" s="10"/>
      <c r="AJ6" s="10"/>
      <c r="AK6" s="10"/>
      <c r="AL6" s="10"/>
      <c r="AM6" s="10"/>
      <c r="AN6" s="10"/>
      <c r="AO6" s="10"/>
      <c r="AP6" s="10"/>
      <c r="AQ6" s="38"/>
      <c r="AR6" s="166"/>
      <c r="AS6" s="10"/>
      <c r="AT6" s="10"/>
      <c r="AU6" s="10"/>
      <c r="AV6" s="10"/>
      <c r="AW6" s="10"/>
      <c r="AX6" s="10"/>
      <c r="AY6" s="10"/>
      <c r="AZ6" s="10"/>
      <c r="BA6" s="38"/>
      <c r="BB6" s="201"/>
      <c r="BC6" s="63"/>
      <c r="BD6" s="42"/>
      <c r="BE6" s="42"/>
      <c r="BF6" s="42"/>
      <c r="BG6" s="42"/>
      <c r="BH6" s="42"/>
      <c r="BI6" s="42"/>
      <c r="BJ6" s="42"/>
      <c r="BK6" s="38"/>
      <c r="BL6" s="389" t="s">
        <v>812</v>
      </c>
      <c r="BM6" s="389"/>
      <c r="BN6" s="389"/>
      <c r="BO6" s="389"/>
      <c r="BP6" s="389"/>
      <c r="BQ6" s="389"/>
      <c r="BR6" s="389"/>
      <c r="BS6" s="389"/>
      <c r="BT6" s="389"/>
      <c r="BU6" s="38"/>
      <c r="BV6" s="206"/>
      <c r="BW6" s="203"/>
      <c r="BX6" s="204"/>
      <c r="BY6" s="205"/>
      <c r="BZ6" s="52"/>
      <c r="CA6" s="209"/>
      <c r="CB6" s="205"/>
      <c r="CC6" s="52"/>
      <c r="CD6" s="209"/>
      <c r="CE6" s="205"/>
    </row>
    <row r="7" spans="1:83" ht="15.75" customHeight="1" x14ac:dyDescent="0.2">
      <c r="A7" s="207">
        <f>IF($A$25="mm",300*10^6,43.5*10^3)</f>
        <v>43500</v>
      </c>
      <c r="B7" s="207">
        <f>IF($A$25="mm",175*10^6,25.4*10^3)</f>
        <v>25400</v>
      </c>
      <c r="C7" s="208"/>
      <c r="D7" s="42"/>
      <c r="E7" s="42"/>
      <c r="F7" s="42"/>
      <c r="G7" s="42"/>
      <c r="H7" s="42"/>
      <c r="I7" s="42"/>
      <c r="J7" s="42"/>
      <c r="K7" s="42"/>
      <c r="L7" s="42"/>
      <c r="M7" s="38"/>
      <c r="N7" s="10"/>
      <c r="O7" s="10"/>
      <c r="P7" s="10"/>
      <c r="Q7" s="10"/>
      <c r="R7" s="10"/>
      <c r="S7" s="10"/>
      <c r="T7" s="10"/>
      <c r="U7" s="10"/>
      <c r="V7" s="10"/>
      <c r="W7" s="38"/>
      <c r="X7" s="42"/>
      <c r="Y7" s="42"/>
      <c r="Z7" s="42"/>
      <c r="AA7" s="42"/>
      <c r="AB7" s="42"/>
      <c r="AC7" s="42"/>
      <c r="AD7" s="42"/>
      <c r="AE7" s="42"/>
      <c r="AF7" s="42"/>
      <c r="AG7" s="38"/>
      <c r="AH7" s="354"/>
      <c r="AI7" s="354"/>
      <c r="AJ7" s="354"/>
      <c r="AK7" s="43"/>
      <c r="AL7" s="10"/>
      <c r="AM7" s="10"/>
      <c r="AN7" s="10"/>
      <c r="AO7" s="10"/>
      <c r="AP7" s="10"/>
      <c r="AQ7" s="38"/>
      <c r="AR7" s="167"/>
      <c r="AS7" s="167"/>
      <c r="AT7" s="167"/>
      <c r="AU7" s="43"/>
      <c r="AV7" s="10"/>
      <c r="AW7" s="10"/>
      <c r="AX7" s="10"/>
      <c r="AY7" s="10"/>
      <c r="AZ7" s="10"/>
      <c r="BA7" s="38"/>
      <c r="BB7" s="201"/>
      <c r="BC7" s="63"/>
      <c r="BD7" s="42"/>
      <c r="BE7" s="42"/>
      <c r="BF7" s="42"/>
      <c r="BG7" s="42"/>
      <c r="BH7" s="42"/>
      <c r="BI7" s="42"/>
      <c r="BJ7" s="42"/>
      <c r="BK7" s="38"/>
      <c r="BL7" s="389"/>
      <c r="BM7" s="389"/>
      <c r="BN7" s="389"/>
      <c r="BO7" s="389"/>
      <c r="BP7" s="389"/>
      <c r="BQ7" s="389"/>
      <c r="BR7" s="389"/>
      <c r="BS7" s="389"/>
      <c r="BT7" s="389"/>
      <c r="BU7" s="38"/>
      <c r="BV7" s="202"/>
      <c r="BW7" s="203"/>
      <c r="BX7" s="204"/>
      <c r="BY7" s="205"/>
      <c r="BZ7" s="52"/>
      <c r="CA7" s="209"/>
      <c r="CB7" s="205"/>
      <c r="CC7" s="52"/>
      <c r="CD7" s="209"/>
      <c r="CE7" s="205"/>
    </row>
    <row r="8" spans="1:83" ht="15.75" customHeight="1" x14ac:dyDescent="0.2">
      <c r="A8" s="210" t="s">
        <v>813</v>
      </c>
      <c r="B8" s="211">
        <f t="shared" ref="B8:C11" si="0">B4/$A4</f>
        <v>0.78733031674208143</v>
      </c>
      <c r="C8" s="211">
        <f t="shared" si="0"/>
        <v>0</v>
      </c>
      <c r="D8" s="42"/>
      <c r="E8" s="42"/>
      <c r="F8" s="42"/>
      <c r="G8" s="42"/>
      <c r="H8" s="42"/>
      <c r="I8" s="42"/>
      <c r="J8" s="42"/>
      <c r="K8" s="42"/>
      <c r="L8" s="42"/>
      <c r="M8" s="38"/>
      <c r="N8" s="10"/>
      <c r="O8" s="10"/>
      <c r="P8" s="10"/>
      <c r="Q8" s="10"/>
      <c r="R8" s="10"/>
      <c r="S8" s="10"/>
      <c r="T8" s="10"/>
      <c r="U8" s="10"/>
      <c r="V8" s="10"/>
      <c r="W8" s="38"/>
      <c r="X8" s="42"/>
      <c r="Y8" s="42"/>
      <c r="Z8" s="42"/>
      <c r="AA8" s="42"/>
      <c r="AB8" s="42"/>
      <c r="AC8" s="42"/>
      <c r="AD8" s="42"/>
      <c r="AE8" s="42"/>
      <c r="AF8" s="42"/>
      <c r="AG8" s="38"/>
      <c r="AH8" s="10"/>
      <c r="AI8" s="10"/>
      <c r="AJ8" s="10"/>
      <c r="AK8" s="10"/>
      <c r="AL8" s="10"/>
      <c r="AM8" s="10"/>
      <c r="AN8" s="10"/>
      <c r="AO8" s="10"/>
      <c r="AP8" s="10"/>
      <c r="AQ8" s="38"/>
      <c r="AR8" s="10"/>
      <c r="AS8" s="10"/>
      <c r="AT8" s="10"/>
      <c r="AU8" s="10"/>
      <c r="AV8" s="10"/>
      <c r="AW8" s="10"/>
      <c r="AX8" s="10"/>
      <c r="AY8" s="10"/>
      <c r="AZ8" s="10"/>
      <c r="BA8" s="38"/>
      <c r="BB8" s="201"/>
      <c r="BC8" s="63"/>
      <c r="BD8" s="42"/>
      <c r="BE8" s="42"/>
      <c r="BF8" s="42"/>
      <c r="BG8" s="42"/>
      <c r="BH8" s="42"/>
      <c r="BI8" s="42"/>
      <c r="BJ8" s="42"/>
      <c r="BK8" s="38"/>
      <c r="BL8" s="389"/>
      <c r="BM8" s="389"/>
      <c r="BN8" s="389"/>
      <c r="BO8" s="389"/>
      <c r="BP8" s="389"/>
      <c r="BQ8" s="389"/>
      <c r="BR8" s="389"/>
      <c r="BS8" s="389"/>
      <c r="BT8" s="389"/>
      <c r="BU8" s="38"/>
      <c r="BV8" s="212" t="s">
        <v>814</v>
      </c>
      <c r="BW8" s="213" t="s">
        <v>814</v>
      </c>
      <c r="BX8" s="214" t="s">
        <v>815</v>
      </c>
      <c r="BY8" s="215" t="s">
        <v>814</v>
      </c>
      <c r="BZ8" s="52"/>
      <c r="CA8" s="212" t="s">
        <v>814</v>
      </c>
      <c r="CB8" s="215" t="s">
        <v>814</v>
      </c>
      <c r="CC8" s="52"/>
      <c r="CD8" s="212" t="s">
        <v>814</v>
      </c>
      <c r="CE8" s="215" t="s">
        <v>814</v>
      </c>
    </row>
    <row r="9" spans="1:83" ht="15.75" customHeight="1" x14ac:dyDescent="0.2">
      <c r="A9" s="216" t="s">
        <v>816</v>
      </c>
      <c r="B9" s="211">
        <f t="shared" si="0"/>
        <v>0.79584120982986772</v>
      </c>
      <c r="C9" s="211">
        <f t="shared" si="0"/>
        <v>0</v>
      </c>
      <c r="D9" s="294" t="s">
        <v>817</v>
      </c>
      <c r="E9" s="294"/>
      <c r="F9" s="294"/>
      <c r="G9" s="294"/>
      <c r="H9" s="294"/>
      <c r="I9" s="294"/>
      <c r="J9" s="294"/>
      <c r="K9" s="294"/>
      <c r="L9" s="294"/>
      <c r="M9" s="38"/>
      <c r="N9" s="10"/>
      <c r="O9" s="10"/>
      <c r="P9" s="10"/>
      <c r="Q9" s="10"/>
      <c r="R9" s="10"/>
      <c r="S9" s="10"/>
      <c r="T9" s="10"/>
      <c r="U9" s="10"/>
      <c r="V9" s="10"/>
      <c r="W9" s="38"/>
      <c r="X9" s="42"/>
      <c r="Y9" s="42"/>
      <c r="Z9" s="42"/>
      <c r="AA9" s="42"/>
      <c r="AB9" s="42"/>
      <c r="AC9" s="42"/>
      <c r="AD9" s="42"/>
      <c r="AE9" s="42"/>
      <c r="AF9" s="42"/>
      <c r="AG9" s="38"/>
      <c r="AH9" s="10"/>
      <c r="AI9" s="10"/>
      <c r="AJ9" s="10"/>
      <c r="AK9" s="10"/>
      <c r="AL9" s="10"/>
      <c r="AM9" s="10"/>
      <c r="AN9" s="10"/>
      <c r="AO9" s="10"/>
      <c r="AP9" s="10"/>
      <c r="AQ9" s="38"/>
      <c r="AR9" s="10"/>
      <c r="AS9" s="10"/>
      <c r="AT9" s="10"/>
      <c r="AU9" s="10"/>
      <c r="AV9" s="10"/>
      <c r="AW9" s="10"/>
      <c r="AX9" s="10"/>
      <c r="AY9" s="10"/>
      <c r="AZ9" s="10"/>
      <c r="BA9" s="38"/>
      <c r="BB9" s="201"/>
      <c r="BC9" s="63"/>
      <c r="BD9" s="42"/>
      <c r="BE9" s="42"/>
      <c r="BF9" s="42"/>
      <c r="BG9" s="42"/>
      <c r="BH9" s="42"/>
      <c r="BI9" s="42"/>
      <c r="BJ9" s="42"/>
      <c r="BK9" s="38"/>
      <c r="BL9" s="389"/>
      <c r="BM9" s="389"/>
      <c r="BN9" s="389"/>
      <c r="BO9" s="389"/>
      <c r="BP9" s="389"/>
      <c r="BQ9" s="389"/>
      <c r="BR9" s="389"/>
      <c r="BS9" s="389"/>
      <c r="BT9" s="389"/>
      <c r="BU9" s="38"/>
      <c r="BV9" s="212">
        <f>IF(BV12="",0,MAX(BV12:BV1048576))</f>
        <v>0</v>
      </c>
      <c r="BW9" s="213">
        <f>IF(BW12="",0,MAX(BW12:BW1048576))</f>
        <v>0</v>
      </c>
      <c r="BX9" s="214">
        <f>INDEX(BX12:BX1048576,MATCH(BV9,BV12:BV1048576,0))</f>
        <v>0</v>
      </c>
      <c r="BY9" s="215">
        <f>IF(BY12="",0,MAX(BY12:BY1048576))*IF($A$25="mm",1/1000,(25.4/1000)*(9.81/2.2046))</f>
        <v>0</v>
      </c>
      <c r="BZ9" s="52"/>
      <c r="CA9" s="212">
        <f>IF(CA12="","",MAX(CA12:CA1048576))</f>
        <v>0</v>
      </c>
      <c r="CB9" s="215">
        <f>IF(CB12="","",MAX(CB12:CB1048576))</f>
        <v>0</v>
      </c>
      <c r="CC9" s="52"/>
      <c r="CD9" s="212">
        <f>IF(CD12="","",MAX(CD12:CD1048576))</f>
        <v>0</v>
      </c>
      <c r="CE9" s="215">
        <f>IF(CE12="","",MAX(CE12:CE1048576))</f>
        <v>0</v>
      </c>
    </row>
    <row r="10" spans="1:83" ht="15.75" customHeight="1" x14ac:dyDescent="0.2">
      <c r="A10" s="210" t="s">
        <v>818</v>
      </c>
      <c r="B10" s="211">
        <f t="shared" si="0"/>
        <v>0.64230769230769236</v>
      </c>
      <c r="C10" s="211">
        <f t="shared" si="0"/>
        <v>0</v>
      </c>
      <c r="D10" s="294"/>
      <c r="E10" s="294"/>
      <c r="F10" s="294"/>
      <c r="G10" s="294"/>
      <c r="H10" s="294"/>
      <c r="I10" s="294"/>
      <c r="J10" s="294"/>
      <c r="K10" s="294"/>
      <c r="L10" s="294"/>
      <c r="M10" s="38"/>
      <c r="N10" s="294" t="s">
        <v>819</v>
      </c>
      <c r="O10" s="294"/>
      <c r="P10" s="294"/>
      <c r="Q10" s="294"/>
      <c r="R10" s="294"/>
      <c r="S10" s="294"/>
      <c r="T10" s="294"/>
      <c r="U10" s="294"/>
      <c r="V10" s="294"/>
      <c r="W10" s="38"/>
      <c r="X10" s="294" t="s">
        <v>820</v>
      </c>
      <c r="Y10" s="294"/>
      <c r="Z10" s="294"/>
      <c r="AA10" s="294"/>
      <c r="AB10" s="294"/>
      <c r="AC10" s="294"/>
      <c r="AD10" s="294"/>
      <c r="AE10" s="294"/>
      <c r="AF10" s="294"/>
      <c r="AG10" s="38"/>
      <c r="AH10" s="10"/>
      <c r="AI10" s="10"/>
      <c r="AJ10" s="10"/>
      <c r="AK10" s="10"/>
      <c r="AL10" s="10"/>
      <c r="AM10" s="10"/>
      <c r="AN10" s="10"/>
      <c r="AO10" s="10"/>
      <c r="AP10" s="10"/>
      <c r="AQ10" s="38"/>
      <c r="AR10" s="10"/>
      <c r="AS10" s="10"/>
      <c r="AT10" s="10"/>
      <c r="AU10" s="10"/>
      <c r="AV10" s="10"/>
      <c r="AW10" s="10"/>
      <c r="AX10" s="10"/>
      <c r="AY10" s="10"/>
      <c r="AZ10" s="10"/>
      <c r="BA10" s="38"/>
      <c r="BB10" s="201"/>
      <c r="BC10" s="63"/>
      <c r="BD10" s="42"/>
      <c r="BE10" s="42"/>
      <c r="BF10" s="42"/>
      <c r="BG10" s="42"/>
      <c r="BH10" s="42"/>
      <c r="BI10" s="42"/>
      <c r="BJ10" s="42"/>
      <c r="BK10" s="38"/>
      <c r="BL10" s="389"/>
      <c r="BM10" s="389"/>
      <c r="BN10" s="389"/>
      <c r="BO10" s="389"/>
      <c r="BP10" s="389"/>
      <c r="BQ10" s="389"/>
      <c r="BR10" s="389"/>
      <c r="BS10" s="389"/>
      <c r="BT10" s="389"/>
      <c r="BU10" s="38"/>
      <c r="BV10" s="212" t="s">
        <v>821</v>
      </c>
      <c r="BW10" s="213" t="s">
        <v>822</v>
      </c>
      <c r="BX10" s="204" t="s">
        <v>823</v>
      </c>
      <c r="BY10" s="215" t="s">
        <v>756</v>
      </c>
      <c r="BZ10" s="52"/>
      <c r="CA10" s="212" t="s">
        <v>821</v>
      </c>
      <c r="CB10" s="215" t="s">
        <v>822</v>
      </c>
      <c r="CC10" s="52"/>
      <c r="CD10" s="212" t="s">
        <v>821</v>
      </c>
      <c r="CE10" s="215" t="s">
        <v>822</v>
      </c>
    </row>
    <row r="11" spans="1:83" ht="15.75" customHeight="1" x14ac:dyDescent="0.2">
      <c r="A11" s="210" t="s">
        <v>824</v>
      </c>
      <c r="B11" s="211">
        <f t="shared" si="0"/>
        <v>0.58390804597701151</v>
      </c>
      <c r="C11" s="211">
        <f t="shared" si="0"/>
        <v>0</v>
      </c>
      <c r="D11" s="294" t="s">
        <v>825</v>
      </c>
      <c r="E11" s="294"/>
      <c r="F11" s="294"/>
      <c r="G11" s="294"/>
      <c r="H11" s="294"/>
      <c r="I11" s="294"/>
      <c r="J11" s="294"/>
      <c r="K11" s="294"/>
      <c r="L11" s="294"/>
      <c r="M11" s="38"/>
      <c r="N11" s="294"/>
      <c r="O11" s="294"/>
      <c r="P11" s="294"/>
      <c r="Q11" s="294"/>
      <c r="R11" s="294"/>
      <c r="S11" s="294"/>
      <c r="T11" s="294"/>
      <c r="U11" s="294"/>
      <c r="V11" s="294"/>
      <c r="W11" s="38"/>
      <c r="X11" s="294"/>
      <c r="Y11" s="294"/>
      <c r="Z11" s="294"/>
      <c r="AA11" s="294"/>
      <c r="AB11" s="294"/>
      <c r="AC11" s="294"/>
      <c r="AD11" s="294"/>
      <c r="AE11" s="294"/>
      <c r="AF11" s="294"/>
      <c r="AG11" s="38"/>
      <c r="AH11" s="10"/>
      <c r="AI11" s="10"/>
      <c r="AJ11" s="10"/>
      <c r="AK11" s="10"/>
      <c r="AL11" s="10"/>
      <c r="AM11" s="10"/>
      <c r="AN11" s="10"/>
      <c r="AO11" s="10"/>
      <c r="AP11" s="10"/>
      <c r="AQ11" s="38"/>
      <c r="AR11" s="10"/>
      <c r="AS11" s="10"/>
      <c r="AT11" s="10"/>
      <c r="AU11" s="10"/>
      <c r="AV11" s="10"/>
      <c r="AW11" s="10"/>
      <c r="AX11" s="10"/>
      <c r="AY11" s="10"/>
      <c r="AZ11" s="10"/>
      <c r="BA11" s="38"/>
      <c r="BB11" s="201"/>
      <c r="BC11" s="63"/>
      <c r="BD11" s="42"/>
      <c r="BE11" s="42"/>
      <c r="BF11" s="42"/>
      <c r="BG11" s="42"/>
      <c r="BH11" s="42"/>
      <c r="BI11" s="42"/>
      <c r="BJ11" s="42"/>
      <c r="BK11" s="38"/>
      <c r="BL11" s="389"/>
      <c r="BM11" s="389"/>
      <c r="BN11" s="389"/>
      <c r="BO11" s="389"/>
      <c r="BP11" s="389"/>
      <c r="BQ11" s="389"/>
      <c r="BR11" s="389"/>
      <c r="BS11" s="389"/>
      <c r="BT11" s="389"/>
      <c r="BU11" s="38"/>
      <c r="BV11" s="212" t="str">
        <f>IF($A$25="mm","mm","in")</f>
        <v>in</v>
      </c>
      <c r="BW11" s="213" t="str">
        <f>IF($A$25="mm","N","lb")</f>
        <v>lb</v>
      </c>
      <c r="BX11" s="214" t="str">
        <f>IF($A$25="mm","N","lb")</f>
        <v>lb</v>
      </c>
      <c r="BY11" s="215" t="s">
        <v>826</v>
      </c>
      <c r="BZ11" s="52"/>
      <c r="CA11" s="212" t="str">
        <f>IF($A$25="mm","mm","in")</f>
        <v>in</v>
      </c>
      <c r="CB11" s="215" t="str">
        <f>IF($A$25="mm","N","lb")</f>
        <v>lb</v>
      </c>
      <c r="CC11" s="52"/>
      <c r="CD11" s="212" t="str">
        <f>IF($A$25="mm","mm","in")</f>
        <v>in</v>
      </c>
      <c r="CE11" s="215" t="str">
        <f>IF($A$25="mm","N","lb")</f>
        <v>lb</v>
      </c>
    </row>
    <row r="12" spans="1:83" ht="15.75" customHeight="1" x14ac:dyDescent="0.2">
      <c r="A12" s="207"/>
      <c r="B12" s="210" t="s">
        <v>827</v>
      </c>
      <c r="C12" s="207"/>
      <c r="D12" s="294"/>
      <c r="E12" s="294"/>
      <c r="F12" s="294"/>
      <c r="G12" s="294"/>
      <c r="H12" s="294"/>
      <c r="I12" s="294"/>
      <c r="J12" s="294"/>
      <c r="K12" s="294"/>
      <c r="L12" s="294"/>
      <c r="M12" s="38"/>
      <c r="N12" s="389" t="s">
        <v>828</v>
      </c>
      <c r="O12" s="389"/>
      <c r="P12" s="389"/>
      <c r="Q12" s="389"/>
      <c r="R12" s="389"/>
      <c r="S12" s="389"/>
      <c r="T12" s="389"/>
      <c r="U12" s="389"/>
      <c r="V12" s="389"/>
      <c r="W12" s="38"/>
      <c r="X12" s="42"/>
      <c r="Y12" s="42"/>
      <c r="Z12" s="42"/>
      <c r="AA12" s="42"/>
      <c r="AB12" s="42"/>
      <c r="AC12" s="42"/>
      <c r="AD12" s="42"/>
      <c r="AE12" s="42"/>
      <c r="AF12" s="42"/>
      <c r="AG12" s="38"/>
      <c r="AH12" s="294" t="s">
        <v>829</v>
      </c>
      <c r="AI12" s="294"/>
      <c r="AJ12" s="294"/>
      <c r="AK12" s="294"/>
      <c r="AL12" s="294"/>
      <c r="AM12" s="294"/>
      <c r="AN12" s="294"/>
      <c r="AO12" s="294"/>
      <c r="AP12" s="294"/>
      <c r="AQ12" s="38"/>
      <c r="AR12" s="294" t="s">
        <v>829</v>
      </c>
      <c r="AS12" s="294"/>
      <c r="AT12" s="294"/>
      <c r="AU12" s="294"/>
      <c r="AV12" s="294"/>
      <c r="AW12" s="294"/>
      <c r="AX12" s="294"/>
      <c r="AY12" s="294"/>
      <c r="AZ12" s="294"/>
      <c r="BA12" s="38"/>
      <c r="BB12" s="201"/>
      <c r="BC12" s="63"/>
      <c r="BD12" s="42"/>
      <c r="BE12" s="42"/>
      <c r="BF12" s="42"/>
      <c r="BG12" s="42"/>
      <c r="BH12" s="42"/>
      <c r="BI12" s="42"/>
      <c r="BJ12" s="42"/>
      <c r="BK12" s="38"/>
      <c r="BL12" s="389"/>
      <c r="BM12" s="389"/>
      <c r="BN12" s="389"/>
      <c r="BO12" s="389"/>
      <c r="BP12" s="389"/>
      <c r="BQ12" s="389"/>
      <c r="BR12" s="389"/>
      <c r="BS12" s="389"/>
      <c r="BT12" s="389"/>
      <c r="BU12" s="38"/>
      <c r="BV12" s="212">
        <v>0</v>
      </c>
      <c r="BW12" s="213">
        <v>0</v>
      </c>
      <c r="BX12" s="214">
        <v>0</v>
      </c>
      <c r="BY12" s="215">
        <v>0</v>
      </c>
      <c r="BZ12" s="52"/>
      <c r="CA12" s="212">
        <v>0</v>
      </c>
      <c r="CB12" s="215">
        <v>0</v>
      </c>
      <c r="CC12" s="52"/>
      <c r="CD12" s="212">
        <v>0</v>
      </c>
      <c r="CE12" s="215">
        <v>0</v>
      </c>
    </row>
    <row r="13" spans="1:83" ht="15.75" customHeight="1" x14ac:dyDescent="0.2">
      <c r="A13" s="12" t="s">
        <v>830</v>
      </c>
      <c r="B13" s="12" t="str">
        <f>INDEX($A$8:$A$11,MATCH(MIN(B$8:B$11),B$8:B$11,0))</f>
        <v>Su-Weld</v>
      </c>
      <c r="C13" s="12" t="str">
        <f>INDEX($A$8:$A$11,MATCH(MIN(C$8:C$11),C$8:C$11,0))</f>
        <v>S_Yield</v>
      </c>
      <c r="D13" s="294"/>
      <c r="E13" s="294"/>
      <c r="F13" s="294"/>
      <c r="G13" s="294"/>
      <c r="H13" s="294"/>
      <c r="I13" s="294"/>
      <c r="J13" s="294"/>
      <c r="K13" s="294"/>
      <c r="L13" s="294"/>
      <c r="M13" s="38"/>
      <c r="N13" s="389"/>
      <c r="O13" s="389"/>
      <c r="P13" s="389"/>
      <c r="Q13" s="389"/>
      <c r="R13" s="389"/>
      <c r="S13" s="389"/>
      <c r="T13" s="389"/>
      <c r="U13" s="389"/>
      <c r="V13" s="389"/>
      <c r="W13" s="38"/>
      <c r="X13" s="294" t="s">
        <v>831</v>
      </c>
      <c r="Y13" s="294"/>
      <c r="Z13" s="294"/>
      <c r="AA13" s="294"/>
      <c r="AB13" s="294"/>
      <c r="AC13" s="294"/>
      <c r="AD13" s="294"/>
      <c r="AE13" s="294"/>
      <c r="AF13" s="294"/>
      <c r="AG13" s="38"/>
      <c r="AH13" s="294"/>
      <c r="AI13" s="294"/>
      <c r="AJ13" s="294"/>
      <c r="AK13" s="294"/>
      <c r="AL13" s="294"/>
      <c r="AM13" s="294"/>
      <c r="AN13" s="294"/>
      <c r="AO13" s="294"/>
      <c r="AP13" s="294"/>
      <c r="AQ13" s="38"/>
      <c r="AR13" s="294"/>
      <c r="AS13" s="294"/>
      <c r="AT13" s="294"/>
      <c r="AU13" s="294"/>
      <c r="AV13" s="294"/>
      <c r="AW13" s="294"/>
      <c r="AX13" s="294"/>
      <c r="AY13" s="294"/>
      <c r="AZ13" s="294"/>
      <c r="BA13" s="38"/>
      <c r="BB13" s="294" t="s">
        <v>832</v>
      </c>
      <c r="BC13" s="294"/>
      <c r="BD13" s="294"/>
      <c r="BE13" s="294"/>
      <c r="BF13" s="294"/>
      <c r="BG13" s="294"/>
      <c r="BH13" s="294"/>
      <c r="BI13" s="294"/>
      <c r="BJ13" s="294"/>
      <c r="BK13" s="38"/>
      <c r="BL13" s="389"/>
      <c r="BM13" s="389"/>
      <c r="BN13" s="389"/>
      <c r="BO13" s="389"/>
      <c r="BP13" s="389"/>
      <c r="BQ13" s="389"/>
      <c r="BR13" s="389"/>
      <c r="BS13" s="389"/>
      <c r="BT13" s="389"/>
      <c r="BU13" s="38"/>
      <c r="BV13" s="217"/>
      <c r="BW13" s="218"/>
      <c r="BX13" s="219" t="e">
        <f t="shared" ref="BX13:BX76" si="1">BY13/BV13</f>
        <v>#DIV/0!</v>
      </c>
      <c r="BY13" s="215">
        <f>BY12+BW13*(BV13-BV12)</f>
        <v>0</v>
      </c>
      <c r="BZ13" s="52"/>
      <c r="CA13" s="220"/>
      <c r="CB13" s="221"/>
      <c r="CC13" s="52"/>
      <c r="CD13" s="220"/>
      <c r="CE13" s="221"/>
    </row>
    <row r="14" spans="1:83" ht="15.75" customHeight="1" x14ac:dyDescent="0.2">
      <c r="A14" s="222">
        <f>A5</f>
        <v>52900</v>
      </c>
      <c r="B14" s="26">
        <f>INDEX($A$4:$A$7,MATCH(MIN(B$8:B$11),B$8:B$11,0))</f>
        <v>43500</v>
      </c>
      <c r="C14" s="26">
        <f>INDEX($A$4:$A$7,MATCH(MIN(C$8:C$11),C$8:C$11,0))</f>
        <v>44200</v>
      </c>
      <c r="D14" s="389" t="s">
        <v>833</v>
      </c>
      <c r="E14" s="294"/>
      <c r="F14" s="294"/>
      <c r="G14" s="294"/>
      <c r="H14" s="294"/>
      <c r="I14" s="294"/>
      <c r="J14" s="294"/>
      <c r="K14" s="294"/>
      <c r="L14" s="294"/>
      <c r="M14" s="38"/>
      <c r="N14" s="389"/>
      <c r="O14" s="389"/>
      <c r="P14" s="389"/>
      <c r="Q14" s="389"/>
      <c r="R14" s="389"/>
      <c r="S14" s="389"/>
      <c r="T14" s="389"/>
      <c r="U14" s="389"/>
      <c r="V14" s="389"/>
      <c r="W14" s="38"/>
      <c r="X14" s="294"/>
      <c r="Y14" s="294"/>
      <c r="Z14" s="294"/>
      <c r="AA14" s="294"/>
      <c r="AB14" s="294"/>
      <c r="AC14" s="294"/>
      <c r="AD14" s="294"/>
      <c r="AE14" s="294"/>
      <c r="AF14" s="294"/>
      <c r="AG14" s="38"/>
      <c r="AH14" s="10"/>
      <c r="AI14" s="10"/>
      <c r="AJ14" s="10"/>
      <c r="AK14" s="10"/>
      <c r="AL14" s="10"/>
      <c r="AM14" s="10"/>
      <c r="AN14" s="10"/>
      <c r="AO14" s="10"/>
      <c r="AP14" s="10"/>
      <c r="AQ14" s="38"/>
      <c r="AR14" s="389" t="s">
        <v>834</v>
      </c>
      <c r="AS14" s="389"/>
      <c r="AT14" s="389"/>
      <c r="AU14" s="389"/>
      <c r="AV14" s="389"/>
      <c r="AW14" s="389"/>
      <c r="AX14" s="389"/>
      <c r="AY14" s="389"/>
      <c r="AZ14" s="389"/>
      <c r="BA14" s="38"/>
      <c r="BB14" s="294"/>
      <c r="BC14" s="294"/>
      <c r="BD14" s="294"/>
      <c r="BE14" s="294"/>
      <c r="BF14" s="294"/>
      <c r="BG14" s="294"/>
      <c r="BH14" s="294"/>
      <c r="BI14" s="294"/>
      <c r="BJ14" s="294"/>
      <c r="BK14" s="38"/>
      <c r="BL14" s="389" t="s">
        <v>835</v>
      </c>
      <c r="BM14" s="389"/>
      <c r="BN14" s="389"/>
      <c r="BO14" s="389"/>
      <c r="BP14" s="389"/>
      <c r="BQ14" s="389"/>
      <c r="BR14" s="389"/>
      <c r="BS14" s="389"/>
      <c r="BT14" s="389"/>
      <c r="BU14" s="38"/>
      <c r="BV14" s="217"/>
      <c r="BW14" s="218"/>
      <c r="BX14" s="214" t="e">
        <f t="shared" si="1"/>
        <v>#DIV/0!</v>
      </c>
      <c r="BY14" s="215">
        <f t="shared" ref="BY14:BY77" si="2">BY13+BW14*(BV14-BV13)</f>
        <v>0</v>
      </c>
      <c r="BZ14" s="52"/>
      <c r="CA14" s="220"/>
      <c r="CB14" s="221"/>
      <c r="CC14" s="52"/>
      <c r="CD14" s="220"/>
      <c r="CE14" s="221"/>
    </row>
    <row r="15" spans="1:83" ht="15.75" customHeight="1" x14ac:dyDescent="0.2">
      <c r="A15" s="222">
        <f>A5</f>
        <v>52900</v>
      </c>
      <c r="B15" s="26">
        <f>INDEX(B$4:B$7,MATCH(MIN(B$8:B$11),B$8:B$11,0))</f>
        <v>25400</v>
      </c>
      <c r="C15" s="26">
        <f>INDEX(C$4:C$7,MATCH(MIN(C$8:C$11),C$8:C$11,0))</f>
        <v>0</v>
      </c>
      <c r="D15" s="294"/>
      <c r="E15" s="294"/>
      <c r="F15" s="294"/>
      <c r="G15" s="294"/>
      <c r="H15" s="294"/>
      <c r="I15" s="294"/>
      <c r="J15" s="294"/>
      <c r="K15" s="294"/>
      <c r="L15" s="294"/>
      <c r="M15" s="38"/>
      <c r="N15" s="389"/>
      <c r="O15" s="389"/>
      <c r="P15" s="389"/>
      <c r="Q15" s="389"/>
      <c r="R15" s="389"/>
      <c r="S15" s="389"/>
      <c r="T15" s="389"/>
      <c r="U15" s="389"/>
      <c r="V15" s="389"/>
      <c r="W15" s="38"/>
      <c r="X15" s="294" t="s">
        <v>836</v>
      </c>
      <c r="Y15" s="294"/>
      <c r="Z15" s="294"/>
      <c r="AA15" s="294"/>
      <c r="AB15" s="294"/>
      <c r="AC15" s="294"/>
      <c r="AD15" s="294"/>
      <c r="AE15" s="294"/>
      <c r="AF15" s="294"/>
      <c r="AG15" s="38"/>
      <c r="AH15" s="294" t="s">
        <v>837</v>
      </c>
      <c r="AI15" s="294"/>
      <c r="AJ15" s="294"/>
      <c r="AK15" s="294"/>
      <c r="AL15" s="294"/>
      <c r="AM15" s="294"/>
      <c r="AN15" s="294"/>
      <c r="AO15" s="294"/>
      <c r="AP15" s="294"/>
      <c r="AQ15" s="38"/>
      <c r="AR15" s="389"/>
      <c r="AS15" s="389"/>
      <c r="AT15" s="389"/>
      <c r="AU15" s="389"/>
      <c r="AV15" s="389"/>
      <c r="AW15" s="389"/>
      <c r="AX15" s="389"/>
      <c r="AY15" s="389"/>
      <c r="AZ15" s="389"/>
      <c r="BA15" s="38"/>
      <c r="BB15" s="294" t="s">
        <v>838</v>
      </c>
      <c r="BC15" s="294"/>
      <c r="BD15" s="294"/>
      <c r="BE15" s="294"/>
      <c r="BF15" s="294"/>
      <c r="BG15" s="294"/>
      <c r="BH15" s="294"/>
      <c r="BI15" s="294"/>
      <c r="BJ15" s="294"/>
      <c r="BK15" s="38"/>
      <c r="BL15" s="389"/>
      <c r="BM15" s="389"/>
      <c r="BN15" s="389"/>
      <c r="BO15" s="389"/>
      <c r="BP15" s="389"/>
      <c r="BQ15" s="389"/>
      <c r="BR15" s="389"/>
      <c r="BS15" s="389"/>
      <c r="BT15" s="389"/>
      <c r="BU15" s="38"/>
      <c r="BV15" s="217"/>
      <c r="BW15" s="218"/>
      <c r="BX15" s="214" t="e">
        <f t="shared" si="1"/>
        <v>#DIV/0!</v>
      </c>
      <c r="BY15" s="215">
        <f t="shared" si="2"/>
        <v>0</v>
      </c>
      <c r="BZ15" s="52"/>
      <c r="CA15" s="220"/>
      <c r="CB15" s="221"/>
      <c r="CC15" s="52"/>
      <c r="CD15" s="220"/>
      <c r="CE15" s="221"/>
    </row>
    <row r="16" spans="1:83" ht="15.75" customHeight="1" x14ac:dyDescent="0.2">
      <c r="A16" s="344"/>
      <c r="B16" s="344"/>
      <c r="C16" s="344"/>
      <c r="D16" s="294"/>
      <c r="E16" s="294"/>
      <c r="F16" s="294"/>
      <c r="G16" s="294"/>
      <c r="H16" s="294"/>
      <c r="I16" s="294"/>
      <c r="J16" s="294"/>
      <c r="K16" s="294"/>
      <c r="L16" s="294"/>
      <c r="M16" s="38"/>
      <c r="N16" s="389" t="s">
        <v>839</v>
      </c>
      <c r="O16" s="389"/>
      <c r="P16" s="389"/>
      <c r="Q16" s="389"/>
      <c r="R16" s="389"/>
      <c r="S16" s="389"/>
      <c r="T16" s="389"/>
      <c r="U16" s="389"/>
      <c r="V16" s="389"/>
      <c r="W16" s="38"/>
      <c r="X16" s="294"/>
      <c r="Y16" s="294"/>
      <c r="Z16" s="294"/>
      <c r="AA16" s="294"/>
      <c r="AB16" s="294"/>
      <c r="AC16" s="294"/>
      <c r="AD16" s="294"/>
      <c r="AE16" s="294"/>
      <c r="AF16" s="294"/>
      <c r="AG16" s="38"/>
      <c r="AH16" s="294"/>
      <c r="AI16" s="294"/>
      <c r="AJ16" s="294"/>
      <c r="AK16" s="294"/>
      <c r="AL16" s="294"/>
      <c r="AM16" s="294"/>
      <c r="AN16" s="294"/>
      <c r="AO16" s="294"/>
      <c r="AP16" s="294"/>
      <c r="AQ16" s="38"/>
      <c r="AR16" s="389"/>
      <c r="AS16" s="389"/>
      <c r="AT16" s="389"/>
      <c r="AU16" s="389"/>
      <c r="AV16" s="389"/>
      <c r="AW16" s="389"/>
      <c r="AX16" s="389"/>
      <c r="AY16" s="389"/>
      <c r="AZ16" s="389"/>
      <c r="BA16" s="38"/>
      <c r="BB16" s="294"/>
      <c r="BC16" s="294"/>
      <c r="BD16" s="294"/>
      <c r="BE16" s="294"/>
      <c r="BF16" s="294"/>
      <c r="BG16" s="294"/>
      <c r="BH16" s="294"/>
      <c r="BI16" s="294"/>
      <c r="BJ16" s="294"/>
      <c r="BK16" s="38"/>
      <c r="BL16" s="389"/>
      <c r="BM16" s="389"/>
      <c r="BN16" s="389"/>
      <c r="BO16" s="389"/>
      <c r="BP16" s="389"/>
      <c r="BQ16" s="389"/>
      <c r="BR16" s="389"/>
      <c r="BS16" s="389"/>
      <c r="BT16" s="389"/>
      <c r="BU16" s="38"/>
      <c r="BX16" s="214" t="e">
        <f t="shared" si="1"/>
        <v>#DIV/0!</v>
      </c>
      <c r="BY16" s="215">
        <f t="shared" si="2"/>
        <v>0</v>
      </c>
      <c r="BZ16" s="52"/>
      <c r="CA16" s="220"/>
      <c r="CB16" s="221"/>
      <c r="CC16" s="52"/>
      <c r="CD16" s="220"/>
      <c r="CE16" s="221"/>
    </row>
    <row r="17" spans="1:83" ht="15.75" customHeight="1" x14ac:dyDescent="0.2">
      <c r="A17" s="328" t="str">
        <f ca="1">IF(COUNTIF(D30:BZ31,"BLANK"),"BLANK",
IF(COUNTIF(D30:BZ31,"REJECT"),"REJECT",
IF(COUNTIF(D30:BZ31,"CHECK"),"CHECK","EQ")))</f>
        <v>EQ</v>
      </c>
      <c r="B17" s="328"/>
      <c r="C17" s="328"/>
      <c r="D17" s="294"/>
      <c r="E17" s="294"/>
      <c r="F17" s="294"/>
      <c r="G17" s="294"/>
      <c r="H17" s="294"/>
      <c r="I17" s="294"/>
      <c r="J17" s="294"/>
      <c r="K17" s="294"/>
      <c r="L17" s="294"/>
      <c r="M17" s="38"/>
      <c r="N17" s="389"/>
      <c r="O17" s="389"/>
      <c r="P17" s="389"/>
      <c r="Q17" s="389"/>
      <c r="R17" s="389"/>
      <c r="S17" s="389"/>
      <c r="T17" s="389"/>
      <c r="U17" s="389"/>
      <c r="V17" s="389"/>
      <c r="W17" s="38"/>
      <c r="X17" s="294" t="s">
        <v>840</v>
      </c>
      <c r="Y17" s="294"/>
      <c r="Z17" s="294"/>
      <c r="AA17" s="294"/>
      <c r="AB17" s="294"/>
      <c r="AC17" s="294"/>
      <c r="AD17" s="294"/>
      <c r="AE17" s="294"/>
      <c r="AF17" s="294"/>
      <c r="AG17" s="38"/>
      <c r="AH17" s="10"/>
      <c r="AI17" s="10"/>
      <c r="AJ17" s="10"/>
      <c r="AK17" s="10"/>
      <c r="AL17" s="10"/>
      <c r="AM17" s="10"/>
      <c r="AN17" s="10"/>
      <c r="AO17" s="10"/>
      <c r="AP17" s="10"/>
      <c r="AQ17" s="38"/>
      <c r="AR17" s="389"/>
      <c r="AS17" s="389"/>
      <c r="AT17" s="389"/>
      <c r="AU17" s="389"/>
      <c r="AV17" s="389"/>
      <c r="AW17" s="389"/>
      <c r="AX17" s="389"/>
      <c r="AY17" s="389"/>
      <c r="AZ17" s="389"/>
      <c r="BA17" s="38"/>
      <c r="BB17" s="294" t="s">
        <v>841</v>
      </c>
      <c r="BC17" s="294"/>
      <c r="BD17" s="294"/>
      <c r="BE17" s="294"/>
      <c r="BF17" s="294"/>
      <c r="BG17" s="294"/>
      <c r="BH17" s="294"/>
      <c r="BI17" s="294"/>
      <c r="BJ17" s="294"/>
      <c r="BK17" s="38"/>
      <c r="BL17" s="389"/>
      <c r="BM17" s="389"/>
      <c r="BN17" s="389"/>
      <c r="BO17" s="389"/>
      <c r="BP17" s="389"/>
      <c r="BQ17" s="389"/>
      <c r="BR17" s="389"/>
      <c r="BS17" s="389"/>
      <c r="BT17" s="389"/>
      <c r="BU17" s="38"/>
      <c r="BX17" s="214" t="e">
        <f t="shared" si="1"/>
        <v>#DIV/0!</v>
      </c>
      <c r="BY17" s="215">
        <f t="shared" si="2"/>
        <v>0</v>
      </c>
      <c r="BZ17" s="52"/>
      <c r="CC17" s="52"/>
      <c r="CD17" s="223"/>
      <c r="CE17" s="225"/>
    </row>
    <row r="18" spans="1:83" ht="15.75" customHeight="1" x14ac:dyDescent="0.2">
      <c r="A18" s="328"/>
      <c r="B18" s="328"/>
      <c r="C18" s="328"/>
      <c r="D18" s="294"/>
      <c r="E18" s="294"/>
      <c r="F18" s="294"/>
      <c r="G18" s="294"/>
      <c r="H18" s="294"/>
      <c r="I18" s="294"/>
      <c r="J18" s="294"/>
      <c r="K18" s="294"/>
      <c r="L18" s="294"/>
      <c r="M18" s="38"/>
      <c r="N18" s="389"/>
      <c r="O18" s="389"/>
      <c r="P18" s="389"/>
      <c r="Q18" s="389"/>
      <c r="R18" s="389"/>
      <c r="S18" s="389"/>
      <c r="T18" s="389"/>
      <c r="U18" s="389"/>
      <c r="V18" s="389"/>
      <c r="W18" s="38"/>
      <c r="X18" s="294"/>
      <c r="Y18" s="294"/>
      <c r="Z18" s="294"/>
      <c r="AA18" s="294"/>
      <c r="AB18" s="294"/>
      <c r="AC18" s="294"/>
      <c r="AD18" s="294"/>
      <c r="AE18" s="294"/>
      <c r="AF18" s="294"/>
      <c r="AG18" s="38"/>
      <c r="AH18" s="294" t="s">
        <v>842</v>
      </c>
      <c r="AI18" s="294"/>
      <c r="AJ18" s="294"/>
      <c r="AK18" s="294"/>
      <c r="AL18" s="294"/>
      <c r="AM18" s="294"/>
      <c r="AN18" s="294"/>
      <c r="AO18" s="294"/>
      <c r="AP18" s="294"/>
      <c r="AQ18" s="38"/>
      <c r="AR18" s="10"/>
      <c r="AS18" s="10"/>
      <c r="AT18" s="10"/>
      <c r="AU18" s="10"/>
      <c r="AV18" s="10"/>
      <c r="AW18" s="10"/>
      <c r="AX18" s="10"/>
      <c r="AY18" s="10"/>
      <c r="AZ18" s="10"/>
      <c r="BA18" s="38"/>
      <c r="BB18" s="294"/>
      <c r="BC18" s="294"/>
      <c r="BD18" s="294"/>
      <c r="BE18" s="294"/>
      <c r="BF18" s="294"/>
      <c r="BG18" s="294"/>
      <c r="BH18" s="294"/>
      <c r="BI18" s="294"/>
      <c r="BJ18" s="294"/>
      <c r="BK18" s="38"/>
      <c r="BL18" s="389"/>
      <c r="BM18" s="389"/>
      <c r="BN18" s="389"/>
      <c r="BO18" s="389"/>
      <c r="BP18" s="389"/>
      <c r="BQ18" s="389"/>
      <c r="BR18" s="389"/>
      <c r="BS18" s="389"/>
      <c r="BT18" s="389"/>
      <c r="BU18" s="38"/>
      <c r="BX18" s="214" t="e">
        <f t="shared" si="1"/>
        <v>#DIV/0!</v>
      </c>
      <c r="BY18" s="215">
        <f t="shared" si="2"/>
        <v>0</v>
      </c>
      <c r="BZ18" s="52"/>
      <c r="CC18" s="52"/>
      <c r="CD18" s="223"/>
      <c r="CE18" s="225"/>
    </row>
    <row r="19" spans="1:83" ht="15.75" customHeight="1" x14ac:dyDescent="0.2">
      <c r="A19" s="328"/>
      <c r="B19" s="328"/>
      <c r="C19" s="328"/>
      <c r="D19" s="389" t="s">
        <v>843</v>
      </c>
      <c r="E19" s="389"/>
      <c r="F19" s="389"/>
      <c r="G19" s="389"/>
      <c r="H19" s="389"/>
      <c r="I19" s="389"/>
      <c r="J19" s="389"/>
      <c r="K19" s="389"/>
      <c r="L19" s="389"/>
      <c r="M19" s="38"/>
      <c r="N19" s="389"/>
      <c r="O19" s="389"/>
      <c r="P19" s="389"/>
      <c r="Q19" s="389"/>
      <c r="R19" s="389"/>
      <c r="S19" s="389"/>
      <c r="T19" s="389"/>
      <c r="U19" s="389"/>
      <c r="V19" s="389"/>
      <c r="W19" s="38"/>
      <c r="X19" s="294" t="s">
        <v>844</v>
      </c>
      <c r="Y19" s="294"/>
      <c r="Z19" s="294"/>
      <c r="AA19" s="294"/>
      <c r="AB19" s="294"/>
      <c r="AC19" s="294"/>
      <c r="AD19" s="294"/>
      <c r="AE19" s="294"/>
      <c r="AF19" s="294"/>
      <c r="AG19" s="38"/>
      <c r="AH19" s="294"/>
      <c r="AI19" s="294"/>
      <c r="AJ19" s="294"/>
      <c r="AK19" s="294"/>
      <c r="AL19" s="294"/>
      <c r="AM19" s="294"/>
      <c r="AN19" s="294"/>
      <c r="AO19" s="294"/>
      <c r="AP19" s="294"/>
      <c r="AQ19" s="38"/>
      <c r="AR19" s="10"/>
      <c r="AS19" s="10"/>
      <c r="AT19" s="10"/>
      <c r="AU19" s="10"/>
      <c r="AV19" s="10"/>
      <c r="AW19" s="10"/>
      <c r="AX19" s="10"/>
      <c r="AY19" s="10"/>
      <c r="AZ19" s="10"/>
      <c r="BA19" s="38"/>
      <c r="BB19" s="294" t="s">
        <v>845</v>
      </c>
      <c r="BC19" s="294"/>
      <c r="BD19" s="294"/>
      <c r="BE19" s="294"/>
      <c r="BF19" s="294"/>
      <c r="BG19" s="294"/>
      <c r="BH19" s="294"/>
      <c r="BI19" s="294"/>
      <c r="BJ19" s="294"/>
      <c r="BK19" s="38"/>
      <c r="BL19" s="389"/>
      <c r="BM19" s="389"/>
      <c r="BN19" s="389"/>
      <c r="BO19" s="389"/>
      <c r="BP19" s="389"/>
      <c r="BQ19" s="389"/>
      <c r="BR19" s="389"/>
      <c r="BS19" s="389"/>
      <c r="BT19" s="389"/>
      <c r="BU19" s="38"/>
      <c r="BX19" s="214" t="e">
        <f t="shared" si="1"/>
        <v>#DIV/0!</v>
      </c>
      <c r="BY19" s="215">
        <f t="shared" si="2"/>
        <v>0</v>
      </c>
      <c r="BZ19" s="52"/>
      <c r="CC19" s="52"/>
      <c r="CD19" s="223"/>
      <c r="CE19" s="225"/>
    </row>
    <row r="20" spans="1:83" ht="15.75" customHeight="1" x14ac:dyDescent="0.2">
      <c r="A20" s="328"/>
      <c r="B20" s="328"/>
      <c r="C20" s="328"/>
      <c r="D20" s="389"/>
      <c r="E20" s="389"/>
      <c r="F20" s="389"/>
      <c r="G20" s="389"/>
      <c r="H20" s="389"/>
      <c r="I20" s="389"/>
      <c r="J20" s="389"/>
      <c r="K20" s="389"/>
      <c r="L20" s="389"/>
      <c r="M20" s="38"/>
      <c r="N20" s="200"/>
      <c r="O20" s="200"/>
      <c r="P20" s="200"/>
      <c r="Q20" s="200"/>
      <c r="R20" s="200"/>
      <c r="S20" s="200"/>
      <c r="T20" s="200"/>
      <c r="U20" s="200"/>
      <c r="V20" s="200"/>
      <c r="W20" s="38"/>
      <c r="X20" s="294"/>
      <c r="Y20" s="294"/>
      <c r="Z20" s="294"/>
      <c r="AA20" s="294"/>
      <c r="AB20" s="294"/>
      <c r="AC20" s="294"/>
      <c r="AD20" s="294"/>
      <c r="AE20" s="294"/>
      <c r="AF20" s="294"/>
      <c r="AG20" s="38"/>
      <c r="AH20" s="10"/>
      <c r="AI20" s="10"/>
      <c r="AJ20" s="10"/>
      <c r="AK20" s="10"/>
      <c r="AL20" s="10"/>
      <c r="AM20" s="10"/>
      <c r="AN20" s="10"/>
      <c r="AO20" s="10"/>
      <c r="AP20" s="10"/>
      <c r="AQ20" s="38"/>
      <c r="AR20" s="10"/>
      <c r="AS20" s="10"/>
      <c r="AT20" s="10"/>
      <c r="AU20" s="10"/>
      <c r="AV20" s="10"/>
      <c r="AW20" s="10"/>
      <c r="AX20" s="10"/>
      <c r="AY20" s="10"/>
      <c r="AZ20" s="10"/>
      <c r="BA20" s="38"/>
      <c r="BB20" s="294"/>
      <c r="BC20" s="294"/>
      <c r="BD20" s="294"/>
      <c r="BE20" s="294"/>
      <c r="BF20" s="294"/>
      <c r="BG20" s="294"/>
      <c r="BH20" s="294"/>
      <c r="BI20" s="294"/>
      <c r="BJ20" s="294"/>
      <c r="BK20" s="38"/>
      <c r="BL20" s="294" t="s">
        <v>846</v>
      </c>
      <c r="BM20" s="294"/>
      <c r="BN20" s="294"/>
      <c r="BO20" s="294"/>
      <c r="BP20" s="294"/>
      <c r="BQ20" s="294"/>
      <c r="BR20" s="294"/>
      <c r="BS20" s="294"/>
      <c r="BT20" s="294"/>
      <c r="BU20" s="38"/>
      <c r="BX20" s="214" t="e">
        <f t="shared" si="1"/>
        <v>#DIV/0!</v>
      </c>
      <c r="BY20" s="215">
        <f t="shared" si="2"/>
        <v>0</v>
      </c>
      <c r="BZ20" s="52"/>
      <c r="CC20" s="52"/>
      <c r="CD20" s="223"/>
      <c r="CE20" s="225"/>
    </row>
    <row r="21" spans="1:83" ht="15.75" customHeight="1" x14ac:dyDescent="0.2">
      <c r="A21" s="328"/>
      <c r="B21" s="328"/>
      <c r="C21" s="328"/>
      <c r="D21" s="389"/>
      <c r="E21" s="389"/>
      <c r="F21" s="389"/>
      <c r="G21" s="389"/>
      <c r="H21" s="389"/>
      <c r="I21" s="389"/>
      <c r="J21" s="389"/>
      <c r="K21" s="389"/>
      <c r="L21" s="389"/>
      <c r="M21" s="38"/>
      <c r="N21" s="42"/>
      <c r="O21" s="42"/>
      <c r="P21" s="42"/>
      <c r="Q21" s="42"/>
      <c r="R21" s="42"/>
      <c r="S21" s="42"/>
      <c r="T21" s="42"/>
      <c r="U21" s="42"/>
      <c r="V21" s="42"/>
      <c r="W21" s="38"/>
      <c r="X21" s="42"/>
      <c r="Y21" s="352"/>
      <c r="Z21" s="352"/>
      <c r="AA21" s="352"/>
      <c r="AB21" s="352"/>
      <c r="AC21" s="352"/>
      <c r="AD21" s="352"/>
      <c r="AE21" s="352"/>
      <c r="AF21" s="42"/>
      <c r="AG21" s="38"/>
      <c r="AH21" s="388" t="s">
        <v>847</v>
      </c>
      <c r="AI21" s="388"/>
      <c r="AJ21" s="388"/>
      <c r="AK21" s="388"/>
      <c r="AL21" s="388"/>
      <c r="AM21" s="388"/>
      <c r="AN21" s="388"/>
      <c r="AO21" s="388"/>
      <c r="AP21" s="388"/>
      <c r="AQ21" s="38"/>
      <c r="AR21" s="10"/>
      <c r="AS21" s="10"/>
      <c r="AT21" s="10"/>
      <c r="AU21" s="10"/>
      <c r="AV21" s="10"/>
      <c r="AW21" s="10"/>
      <c r="AX21" s="10"/>
      <c r="AY21" s="10"/>
      <c r="AZ21" s="10"/>
      <c r="BA21" s="38"/>
      <c r="BB21" s="201"/>
      <c r="BC21" s="63"/>
      <c r="BD21" s="42"/>
      <c r="BE21" s="42"/>
      <c r="BF21" s="42"/>
      <c r="BG21" s="42"/>
      <c r="BH21" s="42"/>
      <c r="BI21" s="42"/>
      <c r="BJ21" s="42"/>
      <c r="BK21" s="38"/>
      <c r="BL21" s="294"/>
      <c r="BM21" s="294"/>
      <c r="BN21" s="294"/>
      <c r="BO21" s="294"/>
      <c r="BP21" s="294"/>
      <c r="BQ21" s="294"/>
      <c r="BR21" s="294"/>
      <c r="BS21" s="294"/>
      <c r="BT21" s="294"/>
      <c r="BU21" s="38"/>
      <c r="BX21" s="214" t="e">
        <f t="shared" si="1"/>
        <v>#DIV/0!</v>
      </c>
      <c r="BY21" s="215">
        <f t="shared" si="2"/>
        <v>0</v>
      </c>
      <c r="BZ21" s="52"/>
      <c r="CC21" s="52"/>
      <c r="CD21" s="223"/>
      <c r="CE21" s="225"/>
    </row>
    <row r="22" spans="1:83" ht="15.75" customHeight="1" x14ac:dyDescent="0.2">
      <c r="A22" s="328"/>
      <c r="B22" s="328"/>
      <c r="C22" s="328"/>
      <c r="D22" s="389"/>
      <c r="E22" s="389"/>
      <c r="F22" s="389"/>
      <c r="G22" s="389"/>
      <c r="H22" s="389"/>
      <c r="I22" s="389"/>
      <c r="J22" s="389"/>
      <c r="K22" s="389"/>
      <c r="L22" s="389"/>
      <c r="M22" s="41"/>
      <c r="N22" s="42"/>
      <c r="O22" s="42"/>
      <c r="P22" s="42"/>
      <c r="Q22" s="42"/>
      <c r="R22" s="42"/>
      <c r="S22" s="42"/>
      <c r="T22" s="42"/>
      <c r="U22" s="42"/>
      <c r="V22" s="42"/>
      <c r="W22" s="41"/>
      <c r="X22" s="42"/>
      <c r="Y22" s="352"/>
      <c r="Z22" s="352"/>
      <c r="AA22" s="352"/>
      <c r="AB22" s="352"/>
      <c r="AC22" s="352"/>
      <c r="AD22" s="352"/>
      <c r="AE22" s="352"/>
      <c r="AF22" s="42"/>
      <c r="AG22" s="41"/>
      <c r="AH22" s="388"/>
      <c r="AI22" s="388"/>
      <c r="AJ22" s="388"/>
      <c r="AK22" s="388"/>
      <c r="AL22" s="388"/>
      <c r="AM22" s="388"/>
      <c r="AN22" s="388"/>
      <c r="AO22" s="388"/>
      <c r="AP22" s="388"/>
      <c r="AQ22" s="41"/>
      <c r="AR22" s="42"/>
      <c r="AS22" s="42"/>
      <c r="AT22" s="42"/>
      <c r="AU22" s="42"/>
      <c r="AV22" s="42"/>
      <c r="AW22" s="42"/>
      <c r="AX22" s="42"/>
      <c r="AY22" s="42"/>
      <c r="AZ22" s="42"/>
      <c r="BA22" s="41"/>
      <c r="BB22" s="201"/>
      <c r="BC22" s="63"/>
      <c r="BD22" s="42"/>
      <c r="BE22" s="42"/>
      <c r="BF22" s="42"/>
      <c r="BG22" s="42"/>
      <c r="BH22" s="42"/>
      <c r="BI22" s="42"/>
      <c r="BJ22" s="42"/>
      <c r="BK22" s="41"/>
      <c r="BL22" s="294"/>
      <c r="BM22" s="294"/>
      <c r="BN22" s="294"/>
      <c r="BO22" s="294"/>
      <c r="BP22" s="294"/>
      <c r="BQ22" s="294"/>
      <c r="BR22" s="294"/>
      <c r="BS22" s="294"/>
      <c r="BT22" s="294"/>
      <c r="BU22" s="41"/>
      <c r="BX22" s="214" t="e">
        <f t="shared" si="1"/>
        <v>#DIV/0!</v>
      </c>
      <c r="BY22" s="215">
        <f t="shared" si="2"/>
        <v>0</v>
      </c>
      <c r="BZ22" s="41"/>
      <c r="CC22" s="41"/>
      <c r="CD22" s="223"/>
      <c r="CE22" s="225"/>
    </row>
    <row r="23" spans="1:83" ht="15.75" customHeight="1" x14ac:dyDescent="0.2">
      <c r="A23" s="328"/>
      <c r="B23" s="328"/>
      <c r="C23" s="328"/>
      <c r="D23" s="42"/>
      <c r="E23" s="42"/>
      <c r="F23" s="42"/>
      <c r="G23" s="42"/>
      <c r="H23" s="42"/>
      <c r="I23" s="42"/>
      <c r="J23" s="42"/>
      <c r="K23" s="42"/>
      <c r="L23" s="42"/>
      <c r="M23" s="41"/>
      <c r="N23" s="42"/>
      <c r="O23" s="42"/>
      <c r="P23" s="42"/>
      <c r="Q23" s="42"/>
      <c r="R23" s="42"/>
      <c r="S23" s="42"/>
      <c r="T23" s="42"/>
      <c r="U23" s="42"/>
      <c r="V23" s="42"/>
      <c r="W23" s="41"/>
      <c r="X23" s="42"/>
      <c r="Y23" s="352"/>
      <c r="Z23" s="352"/>
      <c r="AA23" s="352"/>
      <c r="AB23" s="352"/>
      <c r="AC23" s="352"/>
      <c r="AD23" s="352"/>
      <c r="AE23" s="352"/>
      <c r="AF23" s="42"/>
      <c r="AG23" s="41"/>
      <c r="AH23" s="42"/>
      <c r="AI23" s="42"/>
      <c r="AJ23" s="42"/>
      <c r="AK23" s="42"/>
      <c r="AL23" s="42"/>
      <c r="AM23" s="42"/>
      <c r="AN23" s="42"/>
      <c r="AO23" s="42"/>
      <c r="AP23" s="42"/>
      <c r="AQ23" s="41"/>
      <c r="AR23" s="42"/>
      <c r="AS23" s="42"/>
      <c r="AT23" s="42"/>
      <c r="AU23" s="42"/>
      <c r="AV23" s="42"/>
      <c r="AW23" s="42"/>
      <c r="AX23" s="42"/>
      <c r="AY23" s="42"/>
      <c r="AZ23" s="42"/>
      <c r="BA23" s="41"/>
      <c r="BB23" s="201"/>
      <c r="BC23" s="63"/>
      <c r="BD23" s="42"/>
      <c r="BE23" s="42"/>
      <c r="BF23" s="42"/>
      <c r="BG23" s="42"/>
      <c r="BH23" s="42"/>
      <c r="BI23" s="42"/>
      <c r="BJ23" s="42"/>
      <c r="BK23" s="41"/>
      <c r="BL23" s="294"/>
      <c r="BM23" s="294"/>
      <c r="BN23" s="294"/>
      <c r="BO23" s="294"/>
      <c r="BP23" s="294"/>
      <c r="BQ23" s="294"/>
      <c r="BR23" s="294"/>
      <c r="BS23" s="294"/>
      <c r="BT23" s="294"/>
      <c r="BU23" s="41"/>
      <c r="BX23" s="214" t="e">
        <f t="shared" si="1"/>
        <v>#DIV/0!</v>
      </c>
      <c r="BY23" s="215">
        <f t="shared" si="2"/>
        <v>0</v>
      </c>
      <c r="BZ23" s="41"/>
      <c r="CC23" s="41"/>
      <c r="CD23" s="223"/>
      <c r="CE23" s="225"/>
    </row>
    <row r="24" spans="1:83" ht="15.75" customHeight="1" x14ac:dyDescent="0.2">
      <c r="A24" s="328"/>
      <c r="B24" s="328"/>
      <c r="C24" s="328"/>
      <c r="D24" s="200"/>
      <c r="E24" s="200"/>
      <c r="F24" s="200"/>
      <c r="G24" s="200"/>
      <c r="H24" s="200"/>
      <c r="I24" s="200"/>
      <c r="J24" s="200"/>
      <c r="K24" s="200"/>
      <c r="L24" s="200"/>
      <c r="M24" s="45"/>
      <c r="N24" s="42"/>
      <c r="O24" s="42"/>
      <c r="P24" s="42"/>
      <c r="Q24" s="42"/>
      <c r="R24" s="42"/>
      <c r="S24" s="42"/>
      <c r="T24" s="42"/>
      <c r="U24" s="42"/>
      <c r="V24" s="42"/>
      <c r="W24" s="45"/>
      <c r="X24" s="42"/>
      <c r="Y24" s="352"/>
      <c r="Z24" s="352"/>
      <c r="AA24" s="352"/>
      <c r="AB24" s="352"/>
      <c r="AC24" s="352"/>
      <c r="AD24" s="352"/>
      <c r="AE24" s="352"/>
      <c r="AF24" s="42"/>
      <c r="AG24" s="45"/>
      <c r="AH24" s="42"/>
      <c r="AI24" s="42"/>
      <c r="AJ24" s="42"/>
      <c r="AK24" s="42"/>
      <c r="AL24" s="42"/>
      <c r="AM24" s="42"/>
      <c r="AN24" s="42"/>
      <c r="AO24" s="42"/>
      <c r="AP24" s="42"/>
      <c r="AQ24" s="45"/>
      <c r="AR24" s="42"/>
      <c r="AS24" s="42"/>
      <c r="AT24" s="42"/>
      <c r="AU24" s="42"/>
      <c r="AV24" s="42"/>
      <c r="AW24" s="42"/>
      <c r="AX24" s="42"/>
      <c r="AY24" s="42"/>
      <c r="AZ24" s="42"/>
      <c r="BA24" s="45"/>
      <c r="BB24" s="201"/>
      <c r="BC24" s="63"/>
      <c r="BD24" s="42"/>
      <c r="BE24" s="42"/>
      <c r="BF24" s="42"/>
      <c r="BG24" s="42"/>
      <c r="BH24" s="42"/>
      <c r="BI24" s="42"/>
      <c r="BJ24" s="42"/>
      <c r="BK24" s="45"/>
      <c r="BL24" s="294"/>
      <c r="BM24" s="294"/>
      <c r="BN24" s="294"/>
      <c r="BO24" s="294"/>
      <c r="BP24" s="294"/>
      <c r="BQ24" s="294"/>
      <c r="BR24" s="294"/>
      <c r="BS24" s="294"/>
      <c r="BT24" s="294"/>
      <c r="BU24" s="45"/>
      <c r="BX24" s="214" t="e">
        <f t="shared" si="1"/>
        <v>#DIV/0!</v>
      </c>
      <c r="BY24" s="215">
        <f t="shared" si="2"/>
        <v>0</v>
      </c>
      <c r="BZ24" s="45"/>
      <c r="CC24" s="45"/>
      <c r="CD24" s="223"/>
      <c r="CE24" s="225"/>
    </row>
    <row r="25" spans="1:83" ht="15.75" customHeight="1" x14ac:dyDescent="0.2">
      <c r="A25" s="353" t="str">
        <f>'F.3.1-4 Tube Chassis'!$A$25</f>
        <v>Inch</v>
      </c>
      <c r="B25" s="353"/>
      <c r="C25" s="353"/>
      <c r="D25" s="42"/>
      <c r="E25" s="42"/>
      <c r="F25" s="42"/>
      <c r="G25" s="42"/>
      <c r="H25" s="42"/>
      <c r="I25" s="42"/>
      <c r="J25" s="42"/>
      <c r="K25" s="42"/>
      <c r="L25" s="42"/>
      <c r="M25" s="45"/>
      <c r="N25" s="226"/>
      <c r="O25" s="226"/>
      <c r="P25" s="226"/>
      <c r="Q25" s="226"/>
      <c r="R25" s="226"/>
      <c r="S25" s="226"/>
      <c r="T25" s="226"/>
      <c r="U25" s="226"/>
      <c r="V25" s="226"/>
      <c r="W25" s="45"/>
      <c r="X25" s="42"/>
      <c r="Y25" s="42"/>
      <c r="Z25" s="42"/>
      <c r="AA25" s="42"/>
      <c r="AB25" s="42"/>
      <c r="AC25" s="42"/>
      <c r="AD25" s="42"/>
      <c r="AE25" s="42"/>
      <c r="AF25" s="42"/>
      <c r="AG25" s="45"/>
      <c r="AH25" s="42"/>
      <c r="AI25" s="42"/>
      <c r="AJ25" s="42"/>
      <c r="AK25" s="42"/>
      <c r="AL25" s="42"/>
      <c r="AM25" s="42"/>
      <c r="AN25" s="42"/>
      <c r="AO25" s="42"/>
      <c r="AP25" s="42"/>
      <c r="AQ25" s="45"/>
      <c r="AR25" s="42"/>
      <c r="AS25" s="42"/>
      <c r="AT25" s="42"/>
      <c r="AU25" s="42"/>
      <c r="AV25" s="42"/>
      <c r="AW25" s="42"/>
      <c r="AX25" s="42"/>
      <c r="AY25" s="42"/>
      <c r="AZ25" s="42"/>
      <c r="BA25" s="45"/>
      <c r="BB25" s="201"/>
      <c r="BC25" s="63"/>
      <c r="BD25" s="42"/>
      <c r="BE25" s="42"/>
      <c r="BF25" s="42"/>
      <c r="BG25" s="42"/>
      <c r="BH25" s="42"/>
      <c r="BI25" s="42"/>
      <c r="BJ25" s="42"/>
      <c r="BK25" s="45"/>
      <c r="BL25" s="42"/>
      <c r="BM25" s="42"/>
      <c r="BN25" s="42"/>
      <c r="BO25" s="42"/>
      <c r="BP25" s="42"/>
      <c r="BQ25" s="42"/>
      <c r="BR25" s="42"/>
      <c r="BS25" s="42"/>
      <c r="BT25" s="42"/>
      <c r="BU25" s="45"/>
      <c r="BX25" s="214" t="e">
        <f t="shared" si="1"/>
        <v>#DIV/0!</v>
      </c>
      <c r="BY25" s="215">
        <f t="shared" si="2"/>
        <v>0</v>
      </c>
      <c r="BZ25" s="45"/>
      <c r="CC25" s="45"/>
      <c r="CD25" s="223"/>
      <c r="CE25" s="225"/>
    </row>
    <row r="26" spans="1:83" ht="15.75" customHeight="1" x14ac:dyDescent="0.2">
      <c r="A26" s="353"/>
      <c r="B26" s="353"/>
      <c r="C26" s="353"/>
      <c r="D26" s="42"/>
      <c r="E26" s="42"/>
      <c r="F26" s="42"/>
      <c r="G26" s="42"/>
      <c r="H26" s="42"/>
      <c r="I26" s="42"/>
      <c r="J26" s="42"/>
      <c r="K26" s="42"/>
      <c r="L26" s="42"/>
      <c r="M26" s="45"/>
      <c r="N26" s="226"/>
      <c r="O26" s="226"/>
      <c r="P26" s="226"/>
      <c r="Q26" s="226"/>
      <c r="R26" s="226"/>
      <c r="S26" s="226"/>
      <c r="T26" s="226"/>
      <c r="U26" s="226"/>
      <c r="V26" s="226"/>
      <c r="W26" s="45"/>
      <c r="X26" s="42"/>
      <c r="Y26" s="42"/>
      <c r="Z26" s="42"/>
      <c r="AA26" s="42"/>
      <c r="AB26" s="42"/>
      <c r="AC26" s="42"/>
      <c r="AD26" s="42"/>
      <c r="AE26" s="42"/>
      <c r="AF26" s="42"/>
      <c r="AG26" s="45"/>
      <c r="AH26" s="42"/>
      <c r="AI26" s="42"/>
      <c r="AJ26" s="42"/>
      <c r="AK26" s="42"/>
      <c r="AL26" s="42"/>
      <c r="AM26" s="42"/>
      <c r="AN26" s="42"/>
      <c r="AO26" s="42"/>
      <c r="AP26" s="42"/>
      <c r="AQ26" s="45"/>
      <c r="AR26" s="42"/>
      <c r="AS26" s="42"/>
      <c r="AT26" s="42"/>
      <c r="AU26" s="42"/>
      <c r="AV26" s="42"/>
      <c r="AW26" s="42"/>
      <c r="AX26" s="42"/>
      <c r="AY26" s="42"/>
      <c r="AZ26" s="42"/>
      <c r="BA26" s="45"/>
      <c r="BB26" s="201"/>
      <c r="BC26" s="63"/>
      <c r="BD26" s="42"/>
      <c r="BE26" s="42"/>
      <c r="BF26" s="42"/>
      <c r="BG26" s="42"/>
      <c r="BH26" s="42"/>
      <c r="BI26" s="42"/>
      <c r="BJ26" s="42"/>
      <c r="BK26" s="45"/>
      <c r="BL26" s="42"/>
      <c r="BM26" s="42"/>
      <c r="BN26" s="42"/>
      <c r="BO26" s="42"/>
      <c r="BP26" s="42"/>
      <c r="BQ26" s="42"/>
      <c r="BR26" s="42"/>
      <c r="BS26" s="42"/>
      <c r="BT26" s="42"/>
      <c r="BU26" s="45"/>
      <c r="BX26" s="214" t="e">
        <f t="shared" si="1"/>
        <v>#DIV/0!</v>
      </c>
      <c r="BY26" s="215">
        <f t="shared" si="2"/>
        <v>0</v>
      </c>
      <c r="BZ26" s="45"/>
      <c r="CC26" s="45"/>
      <c r="CD26" s="223"/>
      <c r="CE26" s="225"/>
    </row>
    <row r="27" spans="1:83" ht="15" customHeight="1" x14ac:dyDescent="0.2">
      <c r="D27" s="42"/>
      <c r="E27" s="42"/>
      <c r="F27" s="42"/>
      <c r="G27" s="42"/>
      <c r="H27" s="42"/>
      <c r="I27" s="42"/>
      <c r="J27" s="42"/>
      <c r="K27" s="42"/>
      <c r="L27" s="42"/>
      <c r="M27" s="41"/>
      <c r="N27" s="42"/>
      <c r="O27" s="42"/>
      <c r="P27" s="42"/>
      <c r="Q27" s="42"/>
      <c r="R27" s="42"/>
      <c r="S27" s="42"/>
      <c r="T27" s="42"/>
      <c r="U27" s="42"/>
      <c r="V27" s="42"/>
      <c r="W27" s="41"/>
      <c r="X27" s="42"/>
      <c r="Y27" s="42"/>
      <c r="Z27" s="42"/>
      <c r="AA27" s="42"/>
      <c r="AB27" s="42"/>
      <c r="AC27" s="42"/>
      <c r="AD27" s="42"/>
      <c r="AE27" s="42"/>
      <c r="AF27" s="42"/>
      <c r="AG27" s="41"/>
      <c r="AH27" s="42"/>
      <c r="AI27" s="42"/>
      <c r="AJ27" s="42"/>
      <c r="AK27" s="42"/>
      <c r="AL27" s="42"/>
      <c r="AM27" s="42"/>
      <c r="AN27" s="42"/>
      <c r="AO27" s="42"/>
      <c r="AP27" s="42"/>
      <c r="AQ27" s="41"/>
      <c r="AR27" s="42"/>
      <c r="AS27" s="42"/>
      <c r="AT27" s="42"/>
      <c r="AU27" s="42"/>
      <c r="AV27" s="42"/>
      <c r="AW27" s="42"/>
      <c r="AX27" s="42"/>
      <c r="AY27" s="42"/>
      <c r="AZ27" s="42"/>
      <c r="BA27" s="41"/>
      <c r="BB27" s="201"/>
      <c r="BC27" s="63"/>
      <c r="BD27" s="42"/>
      <c r="BE27" s="42"/>
      <c r="BF27" s="42"/>
      <c r="BG27" s="42"/>
      <c r="BH27" s="42"/>
      <c r="BI27" s="42"/>
      <c r="BJ27" s="42"/>
      <c r="BK27" s="41"/>
      <c r="BL27" s="42"/>
      <c r="BM27" s="42"/>
      <c r="BN27" s="42"/>
      <c r="BO27" s="42"/>
      <c r="BP27" s="42"/>
      <c r="BQ27" s="42"/>
      <c r="BR27" s="42"/>
      <c r="BS27" s="42"/>
      <c r="BT27" s="42"/>
      <c r="BU27" s="41"/>
      <c r="BX27" s="214" t="e">
        <f t="shared" si="1"/>
        <v>#DIV/0!</v>
      </c>
      <c r="BY27" s="215">
        <f t="shared" si="2"/>
        <v>0</v>
      </c>
      <c r="BZ27" s="41"/>
      <c r="CC27" s="41"/>
      <c r="CD27" s="223"/>
      <c r="CE27" s="225"/>
    </row>
    <row r="28" spans="1:83" ht="15" customHeight="1" x14ac:dyDescent="0.2">
      <c r="A28" s="131" t="s">
        <v>531</v>
      </c>
      <c r="D28" s="46"/>
      <c r="E28" s="46"/>
      <c r="F28" s="46"/>
      <c r="G28" s="46"/>
      <c r="H28" s="46"/>
      <c r="I28" s="46"/>
      <c r="J28" s="46"/>
      <c r="K28" s="46"/>
      <c r="L28" s="46"/>
      <c r="M28" s="41"/>
      <c r="N28" s="41"/>
      <c r="O28" s="41"/>
      <c r="P28" s="41"/>
      <c r="Q28" s="41"/>
      <c r="R28" s="41"/>
      <c r="S28" s="41"/>
      <c r="T28" s="41"/>
      <c r="U28" s="41"/>
      <c r="V28" s="41"/>
      <c r="W28" s="41"/>
      <c r="X28" s="46"/>
      <c r="Y28" s="46"/>
      <c r="Z28" s="46"/>
      <c r="AA28" s="46"/>
      <c r="AB28" s="46"/>
      <c r="AC28" s="46"/>
      <c r="AD28" s="46"/>
      <c r="AE28" s="46"/>
      <c r="AF28" s="46"/>
      <c r="AG28" s="41"/>
      <c r="AH28" s="41"/>
      <c r="AI28" s="41"/>
      <c r="AJ28" s="41"/>
      <c r="AK28" s="41"/>
      <c r="AL28" s="41"/>
      <c r="AM28" s="41"/>
      <c r="AN28" s="41"/>
      <c r="AO28" s="41"/>
      <c r="AP28" s="41"/>
      <c r="AQ28" s="41"/>
      <c r="AR28" s="41"/>
      <c r="AS28" s="41"/>
      <c r="AT28" s="41"/>
      <c r="AU28" s="41"/>
      <c r="AV28" s="52" t="s">
        <v>848</v>
      </c>
      <c r="AW28" s="41"/>
      <c r="AX28" s="41"/>
      <c r="AY28" s="41"/>
      <c r="AZ28" s="41"/>
      <c r="BA28" s="41"/>
      <c r="BB28" s="46"/>
      <c r="BC28" s="46"/>
      <c r="BD28" s="46"/>
      <c r="BE28" s="46"/>
      <c r="BF28" s="41"/>
      <c r="BG28" s="46"/>
      <c r="BH28" s="46"/>
      <c r="BI28" s="46"/>
      <c r="BJ28" s="46"/>
      <c r="BK28" s="41"/>
      <c r="BL28" s="46"/>
      <c r="BM28" s="46"/>
      <c r="BN28" s="46"/>
      <c r="BO28" s="46"/>
      <c r="BP28" s="46"/>
      <c r="BQ28" s="46"/>
      <c r="BR28" s="46"/>
      <c r="BS28" s="46"/>
      <c r="BT28" s="46"/>
      <c r="BU28" s="41"/>
      <c r="BX28" s="214" t="e">
        <f t="shared" si="1"/>
        <v>#DIV/0!</v>
      </c>
      <c r="BY28" s="215">
        <f t="shared" si="2"/>
        <v>0</v>
      </c>
      <c r="BZ28" s="41"/>
      <c r="CC28" s="41"/>
      <c r="CD28" s="223"/>
      <c r="CE28" s="225"/>
    </row>
    <row r="29" spans="1:83" ht="15" customHeight="1" x14ac:dyDescent="0.2">
      <c r="A29" s="131" t="s">
        <v>535</v>
      </c>
      <c r="D29" s="39" t="s">
        <v>849</v>
      </c>
      <c r="E29" s="39" t="s">
        <v>850</v>
      </c>
      <c r="F29" s="41" t="s">
        <v>851</v>
      </c>
      <c r="G29" s="52"/>
      <c r="H29" s="52"/>
      <c r="I29" s="52"/>
      <c r="J29" s="52"/>
      <c r="K29" s="52"/>
      <c r="L29" s="52"/>
      <c r="M29" s="41"/>
      <c r="N29" s="41"/>
      <c r="O29" s="41"/>
      <c r="P29" s="41"/>
      <c r="Q29" s="41"/>
      <c r="R29" s="41"/>
      <c r="S29" s="41"/>
      <c r="T29" s="41"/>
      <c r="U29" s="41"/>
      <c r="V29" s="41"/>
      <c r="W29" s="41"/>
      <c r="X29" s="350" t="s">
        <v>852</v>
      </c>
      <c r="Y29" s="350"/>
      <c r="Z29" s="350"/>
      <c r="AA29" s="350"/>
      <c r="AB29" s="350"/>
      <c r="AC29" s="350"/>
      <c r="AD29" s="350"/>
      <c r="AE29" s="350"/>
      <c r="AF29" s="350"/>
      <c r="AG29" s="41"/>
      <c r="AH29" s="350" t="s">
        <v>853</v>
      </c>
      <c r="AI29" s="350"/>
      <c r="AJ29" s="350"/>
      <c r="AK29" s="350"/>
      <c r="AL29" s="350"/>
      <c r="AM29" s="350"/>
      <c r="AN29" s="350"/>
      <c r="AO29" s="350"/>
      <c r="AP29" s="350"/>
      <c r="AQ29" s="41"/>
      <c r="AR29" s="41"/>
      <c r="AS29" s="41"/>
      <c r="AT29" s="41"/>
      <c r="AU29" s="41"/>
      <c r="AV29" s="227" t="s">
        <v>853</v>
      </c>
      <c r="AW29" s="41"/>
      <c r="AX29" s="41"/>
      <c r="AY29" s="41"/>
      <c r="AZ29" s="41"/>
      <c r="BA29" s="41"/>
      <c r="BB29" s="52"/>
      <c r="BC29" s="52"/>
      <c r="BD29" s="52"/>
      <c r="BE29" s="52"/>
      <c r="BF29" s="41"/>
      <c r="BG29" s="52"/>
      <c r="BH29" s="52"/>
      <c r="BI29" s="52"/>
      <c r="BJ29" s="52"/>
      <c r="BK29" s="41"/>
      <c r="BL29" s="350" t="s">
        <v>852</v>
      </c>
      <c r="BM29" s="350"/>
      <c r="BN29" s="350"/>
      <c r="BO29" s="350"/>
      <c r="BP29" s="350"/>
      <c r="BQ29" s="350"/>
      <c r="BR29" s="350"/>
      <c r="BS29" s="350"/>
      <c r="BT29" s="350"/>
      <c r="BU29" s="41"/>
      <c r="BX29" s="214" t="e">
        <f t="shared" si="1"/>
        <v>#DIV/0!</v>
      </c>
      <c r="BY29" s="215">
        <f t="shared" si="2"/>
        <v>0</v>
      </c>
      <c r="BZ29" s="41"/>
      <c r="CC29" s="41"/>
      <c r="CD29" s="223"/>
      <c r="CE29" s="225"/>
    </row>
    <row r="30" spans="1:83" ht="15" customHeight="1" x14ac:dyDescent="0.2">
      <c r="D30" s="301" t="str">
        <f ca="1">IF(COUNTIF(D47:L110,"BLANK"),"BLANK",IF(COUNTIF(D47:L110,"REJECT"),"REJECT",IF(COUNTIF(D47:L110,"CHECK"),"CHECK","EQ")))</f>
        <v>EQ</v>
      </c>
      <c r="E30" s="301"/>
      <c r="F30" s="301" t="s">
        <v>854</v>
      </c>
      <c r="G30" s="301"/>
      <c r="H30" s="301"/>
      <c r="I30" s="301"/>
      <c r="J30" s="301"/>
      <c r="K30" s="301"/>
      <c r="L30" s="301"/>
      <c r="N30" s="301" t="str">
        <f ca="1">IF(COUNTIF(N36:V70,"BLANK"),"BLANK",IF(COUNTIF(N36:V70,"REJECT"),"REJECT",IF(COUNTIF(N36:V70,"CHECK"),"CHECK","EQ")))</f>
        <v>EQ</v>
      </c>
      <c r="O30" s="301"/>
      <c r="P30" s="301" t="s">
        <v>855</v>
      </c>
      <c r="Q30" s="301"/>
      <c r="R30" s="301"/>
      <c r="S30" s="301"/>
      <c r="T30" s="301"/>
      <c r="U30" s="301"/>
      <c r="V30" s="301"/>
      <c r="X30" s="301" t="str" cm="1">
        <f t="array" ref="X30">IF(COUNTIF(X47:AF74,"BLANK"),"BLANK",IF(OR(SUMPRODUCT(--ISERROR(X47:AF74))&gt;0,COUNTIF(X47:AF74,"REJECT")),"REJECT",IF(COUNTIF(X47:AF74,"CHECK"),"CHECK","EQ")))</f>
        <v>EQ</v>
      </c>
      <c r="Y30" s="301"/>
      <c r="Z30" s="301" t="s">
        <v>856</v>
      </c>
      <c r="AA30" s="301"/>
      <c r="AB30" s="301"/>
      <c r="AC30" s="301"/>
      <c r="AD30" s="301"/>
      <c r="AE30" s="301"/>
      <c r="AF30" s="301"/>
      <c r="AG30" s="13"/>
      <c r="AH30" s="301" t="str">
        <f ca="1">IF(COUNTIF(AH34:AP132,"BLANK"),"BLANK",IF(COUNTIF(AH34:AP132,"REJECT"),"REJECT",IF(COUNTIF(AH34:AP132,"CHECK"),"CHECK","EQ")))</f>
        <v>EQ</v>
      </c>
      <c r="AI30" s="301"/>
      <c r="AJ30" s="301" t="s">
        <v>857</v>
      </c>
      <c r="AK30" s="301"/>
      <c r="AL30" s="301"/>
      <c r="AM30" s="301"/>
      <c r="AN30" s="301"/>
      <c r="AO30" s="301"/>
      <c r="AP30" s="301"/>
      <c r="AR30" s="301" t="str">
        <f ca="1">IF(COUNTIF(AR40:AZ108,"BLANK"),"BLANK",IF(COUNTIF(AR40:AZ108,"REJECT"),"REJECT",IF(COUNTIF(AR40:AZ108,"CHECK"),"CHECK","EQ")))</f>
        <v>EQ</v>
      </c>
      <c r="AS30" s="301"/>
      <c r="AT30" s="301" t="s">
        <v>858</v>
      </c>
      <c r="AU30" s="301"/>
      <c r="AV30" s="301"/>
      <c r="AW30" s="301"/>
      <c r="AX30" s="301"/>
      <c r="AY30" s="301"/>
      <c r="AZ30" s="301"/>
      <c r="BB30" s="301" t="str" cm="1">
        <f t="array" ref="BB30">IF(COUNTIF(BB35:BJ41,"BLANK"),"BLANK",IF(OR(SUMPRODUCT(--ISERROR(BB35:BJ41))&gt;0,COUNTIF(BB35:BJ41,"REJECT")),"REJECT",IF(COUNTIF(BB35:BJ41,"CHECK"),"CHECK","EQ")))</f>
        <v>EQ</v>
      </c>
      <c r="BC30" s="301"/>
      <c r="BD30" s="301" t="s">
        <v>859</v>
      </c>
      <c r="BE30" s="301"/>
      <c r="BF30" s="301"/>
      <c r="BG30" s="301"/>
      <c r="BH30" s="301"/>
      <c r="BI30" s="301"/>
      <c r="BJ30" s="301"/>
      <c r="BL30" s="301" t="str">
        <f>IF(COUNTIF(BL40:BT83,"BLANK"),"BLANK",IF(COUNTIF(BL40:BT83,"REJECT"),"REJECT",IF(COUNTIF(BL40:BT83,"CHECK"),"CHECK","EQ")))</f>
        <v>EQ</v>
      </c>
      <c r="BM30" s="301"/>
      <c r="BN30" s="301" t="s">
        <v>860</v>
      </c>
      <c r="BO30" s="301"/>
      <c r="BP30" s="301"/>
      <c r="BQ30" s="301"/>
      <c r="BR30" s="301"/>
      <c r="BS30" s="301"/>
      <c r="BT30" s="301"/>
      <c r="BX30" s="214" t="e">
        <f t="shared" si="1"/>
        <v>#DIV/0!</v>
      </c>
      <c r="BY30" s="215">
        <f t="shared" si="2"/>
        <v>0</v>
      </c>
      <c r="CD30" s="223"/>
      <c r="CE30" s="225"/>
    </row>
    <row r="31" spans="1:83" ht="15" customHeight="1" x14ac:dyDescent="0.2">
      <c r="D31" s="301"/>
      <c r="E31" s="301"/>
      <c r="F31" s="301"/>
      <c r="G31" s="301"/>
      <c r="H31" s="301"/>
      <c r="I31" s="301"/>
      <c r="J31" s="301"/>
      <c r="K31" s="301"/>
      <c r="L31" s="301"/>
      <c r="N31" s="301"/>
      <c r="O31" s="301"/>
      <c r="P31" s="301"/>
      <c r="Q31" s="301"/>
      <c r="R31" s="301"/>
      <c r="S31" s="301"/>
      <c r="T31" s="301"/>
      <c r="U31" s="301"/>
      <c r="V31" s="301"/>
      <c r="X31" s="301"/>
      <c r="Y31" s="301"/>
      <c r="Z31" s="301"/>
      <c r="AA31" s="301"/>
      <c r="AB31" s="301"/>
      <c r="AC31" s="301"/>
      <c r="AD31" s="301"/>
      <c r="AE31" s="301"/>
      <c r="AF31" s="301"/>
      <c r="AG31" s="13"/>
      <c r="AH31" s="301"/>
      <c r="AI31" s="301"/>
      <c r="AJ31" s="301"/>
      <c r="AK31" s="301"/>
      <c r="AL31" s="301"/>
      <c r="AM31" s="301"/>
      <c r="AN31" s="301"/>
      <c r="AO31" s="301"/>
      <c r="AP31" s="301"/>
      <c r="AR31" s="301"/>
      <c r="AS31" s="301"/>
      <c r="AT31" s="301"/>
      <c r="AU31" s="301"/>
      <c r="AV31" s="301"/>
      <c r="AW31" s="301"/>
      <c r="AX31" s="301"/>
      <c r="AY31" s="301"/>
      <c r="AZ31" s="301"/>
      <c r="BB31" s="301"/>
      <c r="BC31" s="301"/>
      <c r="BD31" s="301"/>
      <c r="BE31" s="301"/>
      <c r="BF31" s="301"/>
      <c r="BG31" s="301"/>
      <c r="BH31" s="301"/>
      <c r="BI31" s="301"/>
      <c r="BJ31" s="301"/>
      <c r="BL31" s="301"/>
      <c r="BM31" s="301"/>
      <c r="BN31" s="301"/>
      <c r="BO31" s="301"/>
      <c r="BP31" s="301"/>
      <c r="BQ31" s="301"/>
      <c r="BR31" s="301"/>
      <c r="BS31" s="301"/>
      <c r="BT31" s="301"/>
      <c r="BX31" s="214" t="e">
        <f t="shared" si="1"/>
        <v>#DIV/0!</v>
      </c>
      <c r="BY31" s="215">
        <f t="shared" si="2"/>
        <v>0</v>
      </c>
      <c r="CD31" s="223"/>
      <c r="CE31" s="225"/>
    </row>
    <row r="32" spans="1:83" ht="15" customHeight="1" x14ac:dyDescent="0.2">
      <c r="D32" s="13"/>
      <c r="E32" s="13"/>
      <c r="F32" s="13"/>
      <c r="G32" s="13"/>
      <c r="H32" s="13"/>
      <c r="I32" s="13"/>
      <c r="J32" s="13"/>
      <c r="K32" s="13"/>
      <c r="L32" s="13"/>
      <c r="N32" s="13"/>
      <c r="O32" s="13"/>
      <c r="P32" s="13"/>
      <c r="Q32" s="13"/>
      <c r="R32" s="13"/>
      <c r="S32" s="13"/>
      <c r="T32" s="13"/>
      <c r="U32" s="13"/>
      <c r="V32" s="13"/>
      <c r="X32" s="13"/>
      <c r="Y32" s="13"/>
      <c r="Z32" s="13"/>
      <c r="AA32" s="13"/>
      <c r="AB32" s="13"/>
      <c r="AC32" s="13"/>
      <c r="AD32" s="13"/>
      <c r="AE32" s="13"/>
      <c r="AF32" s="13"/>
      <c r="AG32" s="13"/>
      <c r="AH32" s="22"/>
      <c r="AI32" s="22"/>
      <c r="AJ32" s="22"/>
      <c r="AK32" s="22"/>
      <c r="AL32" s="22"/>
      <c r="AM32" s="22"/>
      <c r="AN32" s="22"/>
      <c r="AO32" s="22"/>
      <c r="AP32" s="22"/>
      <c r="BB32" s="11"/>
      <c r="BC32" s="25"/>
      <c r="BL32" s="12"/>
      <c r="BM32" s="15"/>
      <c r="BN32" s="15"/>
      <c r="BO32" s="15"/>
      <c r="BP32" s="15"/>
      <c r="BQ32" s="126"/>
      <c r="BR32" s="126"/>
      <c r="BS32" s="127"/>
      <c r="BT32" s="128"/>
      <c r="BX32" s="214" t="e">
        <f t="shared" si="1"/>
        <v>#DIV/0!</v>
      </c>
      <c r="BY32" s="215">
        <f t="shared" si="2"/>
        <v>0</v>
      </c>
      <c r="CD32" s="223"/>
      <c r="CE32" s="225"/>
    </row>
    <row r="33" spans="4:83" ht="15" customHeight="1" x14ac:dyDescent="0.2">
      <c r="D33" s="387" t="str">
        <f>IF(H48="Custom - Composite","Dynamic Test:",
IF(OR(H48="Custom - Non-Composite",J57="Physical Test"),"Physical Test:",
IF(OR(H53="No diagonal or test required.",NOT(J57="Physical Test")),
IF(OR(AB68="Front Wing Physically Tested With IA",AB68="Front Wing Physically Tested Without IA"),"Wing Test:","No Test:"),"Physical Test:")))</f>
        <v>No Test:</v>
      </c>
      <c r="E33" s="387"/>
      <c r="F33" s="387"/>
      <c r="G33" s="387" t="str">
        <f>IF(H48="Custom - Composite","Composite IA + AIP + FB Replica",
IF(H48="Custom - Non-Composite","Custom IA + AIP + FB Replica",
IF(H53="No diagonal or test required.","Standard Foam + Matched FB",
IF(OR(D33="No Test:",D33="Wing Test:"),H48&amp;" + "&amp;J57,
IF(H48="Standard Foam","Standard Foam with oversize FB","Standard Honeycomb - no diagonal")))))</f>
        <v>Standard Honeycomb + Tube Diagonal</v>
      </c>
      <c r="H33" s="387"/>
      <c r="I33" s="387"/>
      <c r="J33" s="387"/>
      <c r="K33" s="387"/>
      <c r="L33" s="387"/>
      <c r="N33" s="387" t="str">
        <f>IF(NOT(T37="Composite"),"No additional test for Steel or Aluminum AIP.","Composite AIP - "&amp;T48)</f>
        <v>No additional test for Steel or Aluminum AIP.</v>
      </c>
      <c r="O33" s="387"/>
      <c r="P33" s="387"/>
      <c r="Q33" s="387"/>
      <c r="R33" s="387"/>
      <c r="S33" s="387"/>
      <c r="T33" s="387"/>
      <c r="U33" s="387"/>
      <c r="V33" s="387"/>
      <c r="X33" s="12" t="s">
        <v>861</v>
      </c>
      <c r="Y33" s="25" t="s">
        <v>862</v>
      </c>
      <c r="Z33" s="13"/>
      <c r="AA33" s="13"/>
      <c r="AB33" s="13"/>
      <c r="AC33" s="13"/>
      <c r="AD33" s="13"/>
      <c r="AE33" s="13"/>
      <c r="AF33" s="13"/>
      <c r="AG33" s="228"/>
      <c r="AH33" s="183" t="s">
        <v>863</v>
      </c>
      <c r="AI33" s="185" t="s">
        <v>864</v>
      </c>
      <c r="AJ33" s="185"/>
      <c r="AK33" s="185"/>
      <c r="AL33" s="185"/>
      <c r="AM33" s="185"/>
      <c r="AN33" s="185"/>
      <c r="AO33" s="185"/>
      <c r="AP33" s="185"/>
      <c r="AR33" s="203" t="s">
        <v>865</v>
      </c>
      <c r="AS33" s="138" t="s">
        <v>866</v>
      </c>
      <c r="BB33" s="56" t="s">
        <v>867</v>
      </c>
      <c r="BC33" s="30" t="s">
        <v>868</v>
      </c>
      <c r="BL33" s="12" t="s">
        <v>869</v>
      </c>
      <c r="BM33" s="25" t="s">
        <v>870</v>
      </c>
      <c r="BN33" s="15"/>
      <c r="BO33" s="15"/>
      <c r="BP33" s="15"/>
      <c r="BQ33" s="126"/>
      <c r="BR33" s="126"/>
      <c r="BS33" s="127"/>
      <c r="BT33" s="128"/>
      <c r="BX33" s="214" t="e">
        <f t="shared" si="1"/>
        <v>#DIV/0!</v>
      </c>
      <c r="BY33" s="215">
        <f t="shared" si="2"/>
        <v>0</v>
      </c>
      <c r="CD33" s="223"/>
      <c r="CE33" s="225"/>
    </row>
    <row r="34" spans="4:83" ht="15" customHeight="1" thickBot="1" x14ac:dyDescent="0.25">
      <c r="D34" s="387"/>
      <c r="E34" s="387"/>
      <c r="F34" s="387"/>
      <c r="G34" s="387"/>
      <c r="H34" s="387"/>
      <c r="I34" s="387"/>
      <c r="J34" s="387"/>
      <c r="K34" s="387"/>
      <c r="L34" s="387"/>
      <c r="N34" s="387"/>
      <c r="O34" s="387"/>
      <c r="P34" s="387"/>
      <c r="Q34" s="387"/>
      <c r="R34" s="387"/>
      <c r="S34" s="387"/>
      <c r="T34" s="387"/>
      <c r="U34" s="387"/>
      <c r="V34" s="387"/>
      <c r="X34" s="25" t="s">
        <v>871</v>
      </c>
      <c r="Y34" s="13"/>
      <c r="Z34" s="13"/>
      <c r="AA34" s="13"/>
      <c r="AB34" s="13"/>
      <c r="AC34" s="13"/>
      <c r="AD34" s="13"/>
      <c r="AE34" s="13"/>
      <c r="AF34" s="13"/>
      <c r="AG34" s="228"/>
      <c r="AH34" s="377" t="str">
        <f>IF(COUNTIF(AP35:AP51,"BLANK"),"BLANK",IF(OR(SUMPRODUCT(--ISERROR(AP35:AP51))&gt;0,COUNTIF(AP35:AP51,"REJECT")),"REJECT",IF(COUNTIF(AP35:AP51,"CHECK"),"CHECK","EQ")))</f>
        <v>EQ</v>
      </c>
      <c r="AI34" s="377"/>
      <c r="AJ34" s="377"/>
      <c r="AK34" s="377"/>
      <c r="AL34" s="377"/>
      <c r="AM34" s="377"/>
      <c r="AN34" s="377"/>
      <c r="AO34" s="377"/>
      <c r="AP34" s="377"/>
      <c r="AR34" s="203" t="s">
        <v>872</v>
      </c>
      <c r="AS34" s="138" t="s">
        <v>873</v>
      </c>
      <c r="BB34" s="56"/>
      <c r="BC34" s="30"/>
      <c r="BL34" s="44"/>
      <c r="BM34" s="25" t="s">
        <v>874</v>
      </c>
      <c r="BN34" s="15"/>
      <c r="BO34" s="15"/>
      <c r="BP34" s="15"/>
      <c r="BQ34" s="126"/>
      <c r="BR34" s="126"/>
      <c r="BS34" s="127"/>
      <c r="BT34" s="128"/>
      <c r="BX34" s="214" t="e">
        <f t="shared" si="1"/>
        <v>#DIV/0!</v>
      </c>
      <c r="BY34" s="215">
        <f t="shared" si="2"/>
        <v>0</v>
      </c>
      <c r="CD34" s="223"/>
      <c r="CE34" s="225"/>
    </row>
    <row r="35" spans="4:83" ht="15" customHeight="1" thickBot="1" x14ac:dyDescent="0.25">
      <c r="D35" s="11"/>
      <c r="E35" s="11"/>
      <c r="F35" s="11"/>
      <c r="G35" s="11"/>
      <c r="H35" s="11"/>
      <c r="I35" s="11"/>
      <c r="J35" s="11"/>
      <c r="K35" s="11"/>
      <c r="L35" s="11"/>
      <c r="N35" s="124"/>
      <c r="O35" s="15"/>
      <c r="P35" s="15"/>
      <c r="Q35" s="15"/>
      <c r="R35" s="15"/>
      <c r="S35" s="26"/>
      <c r="T35" s="26"/>
      <c r="V35" s="11"/>
      <c r="Y35" s="11"/>
      <c r="Z35" s="11"/>
      <c r="AA35" s="11"/>
      <c r="AB35" s="11"/>
      <c r="AC35" s="11"/>
      <c r="AD35" s="11"/>
      <c r="AE35" s="11"/>
      <c r="AF35" s="11"/>
      <c r="AG35" s="228"/>
      <c r="AH35" s="183" t="s">
        <v>875</v>
      </c>
      <c r="AI35" s="229" t="s">
        <v>85</v>
      </c>
      <c r="AJ35" s="230"/>
      <c r="AK35" s="230"/>
      <c r="AL35" s="230"/>
      <c r="AM35" s="185"/>
      <c r="AN35" s="370" t="s">
        <v>1134</v>
      </c>
      <c r="AO35" s="386"/>
      <c r="AP35" s="228" t="str">
        <f>IF(AN35="","BLANK","EQ")</f>
        <v>EQ</v>
      </c>
      <c r="AR35" s="138"/>
      <c r="AS35" s="138" t="s">
        <v>876</v>
      </c>
      <c r="BB35" s="295" t="str" cm="1">
        <f t="array" ref="BB35">IF(COUNTIF(BJ36:BJ41,"BLANK"),"BLANK",IF(OR(SUMPRODUCT(--ISERROR(BJ36:BJ41))&gt;0,COUNTIF(BJ36:BJ41,"REJECT")),"REJECT",IF(COUNTIF(BJ36:BJ41,"CHECK"),"CHECK","EQ")))</f>
        <v>EQ</v>
      </c>
      <c r="BC35" s="295"/>
      <c r="BD35" s="295"/>
      <c r="BE35" s="295"/>
      <c r="BF35" s="295"/>
      <c r="BG35" s="295"/>
      <c r="BH35" s="295"/>
      <c r="BI35" s="295"/>
      <c r="BJ35" s="295"/>
      <c r="BL35" s="44"/>
      <c r="BN35" s="15"/>
      <c r="BO35" s="15"/>
      <c r="BP35" s="15"/>
      <c r="BQ35" s="126"/>
      <c r="BR35" s="126"/>
      <c r="BS35" s="127"/>
      <c r="BT35" s="128"/>
      <c r="BX35" s="214" t="e">
        <f t="shared" si="1"/>
        <v>#DIV/0!</v>
      </c>
      <c r="BY35" s="215">
        <f t="shared" si="2"/>
        <v>0</v>
      </c>
      <c r="CD35" s="223"/>
      <c r="CE35" s="225"/>
    </row>
    <row r="36" spans="4:83" ht="15" customHeight="1" thickBot="1" x14ac:dyDescent="0.25">
      <c r="D36" s="203" t="s">
        <v>877</v>
      </c>
      <c r="E36" s="231" t="s">
        <v>878</v>
      </c>
      <c r="N36" s="377" t="str">
        <f>IF(COUNTIF(V37:V38,"BLANK"),"BLANK",IF(OR(SUMPRODUCT(--ISERROR(V37:V38))&gt;0,COUNTIF(V37:V38,"REJECT")),"REJECT",IF(COUNTIF(V37:V38,"CHECK"),"CHECK","EQ")))</f>
        <v>EQ</v>
      </c>
      <c r="O36" s="377"/>
      <c r="P36" s="377"/>
      <c r="Q36" s="377"/>
      <c r="R36" s="377"/>
      <c r="S36" s="377"/>
      <c r="T36" s="377"/>
      <c r="U36" s="377"/>
      <c r="V36" s="377"/>
      <c r="X36" s="35" t="s">
        <v>879</v>
      </c>
      <c r="Y36" s="11"/>
      <c r="Z36" s="11"/>
      <c r="AA36" s="11"/>
      <c r="AB36" s="11"/>
      <c r="AC36" s="11"/>
      <c r="AD36" s="11"/>
      <c r="AE36" s="11"/>
      <c r="AF36" s="11"/>
      <c r="AG36" s="11"/>
      <c r="AH36" s="183"/>
      <c r="AI36" s="185"/>
      <c r="AJ36" s="170"/>
      <c r="AK36" s="170"/>
      <c r="AL36" s="170"/>
      <c r="AM36" s="183" t="s">
        <v>142</v>
      </c>
      <c r="AN36" s="372" t="s">
        <v>143</v>
      </c>
      <c r="AO36" s="372"/>
      <c r="AP36" s="228" t="str">
        <f>IF(AN35="Composite","N/A","EQ")</f>
        <v>EQ</v>
      </c>
      <c r="AR36" s="203" t="s">
        <v>880</v>
      </c>
      <c r="AS36" s="138" t="s">
        <v>881</v>
      </c>
      <c r="BA36" s="36"/>
      <c r="BB36" s="56"/>
      <c r="BC36" s="30"/>
      <c r="BG36" s="15" t="s">
        <v>882</v>
      </c>
      <c r="BH36" s="11">
        <f>J51</f>
        <v>13</v>
      </c>
      <c r="BI36" s="25" t="str">
        <f t="shared" ref="BI36:BI41" si="3">IF($A$25="mm","mm","in")</f>
        <v>in</v>
      </c>
      <c r="BJ36" s="11" t="str">
        <f>IF(OR(T48="120kN Physical Test",NOT($D$33="No Test:")),L51,"N/A")</f>
        <v>N/A</v>
      </c>
      <c r="BK36" s="36"/>
      <c r="BL36" s="56" t="s">
        <v>883</v>
      </c>
      <c r="BM36" s="30" t="s">
        <v>884</v>
      </c>
      <c r="BX36" s="214" t="e">
        <f t="shared" si="1"/>
        <v>#DIV/0!</v>
      </c>
      <c r="BY36" s="215">
        <f t="shared" si="2"/>
        <v>0</v>
      </c>
      <c r="CD36" s="223"/>
      <c r="CE36" s="225"/>
    </row>
    <row r="37" spans="4:83" ht="15" customHeight="1" thickBot="1" x14ac:dyDescent="0.25">
      <c r="E37" s="231" t="s">
        <v>885</v>
      </c>
      <c r="N37" s="183" t="s">
        <v>886</v>
      </c>
      <c r="O37" s="185"/>
      <c r="P37" s="170"/>
      <c r="Q37" s="170"/>
      <c r="R37" s="170"/>
      <c r="S37" s="170" t="s">
        <v>887</v>
      </c>
      <c r="T37" s="370" t="s">
        <v>804</v>
      </c>
      <c r="U37" s="386"/>
      <c r="V37" s="11" t="str">
        <f>IF(T37="","BLANK","EQ")</f>
        <v>EQ</v>
      </c>
      <c r="X37" s="25" t="s">
        <v>888</v>
      </c>
      <c r="Y37" s="11"/>
      <c r="Z37" s="11"/>
      <c r="AA37" s="11"/>
      <c r="AB37" s="11"/>
      <c r="AC37" s="11"/>
      <c r="AD37" s="11"/>
      <c r="AE37" s="11"/>
      <c r="AF37" s="11"/>
      <c r="AG37" s="11"/>
      <c r="AH37" s="183" t="s">
        <v>214</v>
      </c>
      <c r="AI37" s="25" t="str">
        <f>IF($A$25="mm",
"Example: 25.4mm x 1.6mm round",
"Example: 1.0in x 0.065in round")</f>
        <v>Example: 1.0in x 0.065in round</v>
      </c>
      <c r="AJ37" s="170"/>
      <c r="AK37" s="170"/>
      <c r="AL37" s="170"/>
      <c r="AM37" s="228" t="s">
        <v>772</v>
      </c>
      <c r="AN37" s="373" t="s">
        <v>772</v>
      </c>
      <c r="AO37" s="374"/>
      <c r="AP37" s="228" t="str">
        <f>IF(OR(AN35="Physical Test",AN35="Composite",AP35="N/A"),"N/A",IF(AN37="","BLANK","EQ"))</f>
        <v>EQ</v>
      </c>
      <c r="AR37" s="203" t="s">
        <v>889</v>
      </c>
      <c r="AS37" s="138" t="s">
        <v>890</v>
      </c>
      <c r="BB37" s="56"/>
      <c r="BC37" s="30"/>
      <c r="BG37" s="15" t="s">
        <v>891</v>
      </c>
      <c r="BH37" s="11">
        <f>J52</f>
        <v>15.25</v>
      </c>
      <c r="BI37" s="25" t="str">
        <f t="shared" si="3"/>
        <v>in</v>
      </c>
      <c r="BJ37" s="11" t="str">
        <f>IF(OR(T48="120kN Physical Test",NOT($D$33="No Test:")),L52,"N/A")</f>
        <v>N/A</v>
      </c>
      <c r="BL37" s="56"/>
      <c r="BM37" s="30"/>
      <c r="BX37" s="214" t="e">
        <f t="shared" si="1"/>
        <v>#DIV/0!</v>
      </c>
      <c r="BY37" s="215">
        <f t="shared" si="2"/>
        <v>0</v>
      </c>
      <c r="CD37" s="223"/>
      <c r="CE37" s="225"/>
    </row>
    <row r="38" spans="4:83" ht="15" customHeight="1" thickBot="1" x14ac:dyDescent="0.25">
      <c r="D38" s="232"/>
      <c r="E38" s="232" t="s">
        <v>892</v>
      </c>
      <c r="N38" s="185"/>
      <c r="O38" s="170"/>
      <c r="P38" s="170"/>
      <c r="Q38" s="170"/>
      <c r="R38" s="170"/>
      <c r="S38" s="170" t="s">
        <v>893</v>
      </c>
      <c r="T38" s="233">
        <v>0.157</v>
      </c>
      <c r="U38" s="185" t="str">
        <f>IF($A$25="mm","mm","in")</f>
        <v>in</v>
      </c>
      <c r="V38" s="228" t="str">
        <f>IF(T37="Composite","N/A",IF(T38="","BLANK",IF($A$25="mm",IF(AND(T37="Steel",T38&gt;=1.5),"EQ",IF(AND(OR(T37="6061-T6",T37="Other Aluminum"),T38&gt;=4),"EQ","REJECT")),IF(AND(T37="Steel",T38&gt;=0.06),"EQ",IF(AND(OR(T37="6061-T6",T37="Other Aluminum"),T38&gt;=0.157),"EQ","REJECT")))))</f>
        <v>EQ</v>
      </c>
      <c r="X38" s="25" t="s">
        <v>894</v>
      </c>
      <c r="Y38" s="11"/>
      <c r="Z38" s="11"/>
      <c r="AA38" s="11"/>
      <c r="AB38" s="11"/>
      <c r="AC38" s="11"/>
      <c r="AD38" s="11"/>
      <c r="AE38" s="11"/>
      <c r="AF38" s="11"/>
      <c r="AG38" s="11"/>
      <c r="AH38" s="183" t="s">
        <v>213</v>
      </c>
      <c r="AJ38" s="170"/>
      <c r="AK38" s="170"/>
      <c r="AL38" s="170" t="s">
        <v>895</v>
      </c>
      <c r="AM38" s="11" t="s">
        <v>154</v>
      </c>
      <c r="AN38" s="184" t="s">
        <v>1218</v>
      </c>
      <c r="AO38" s="185"/>
      <c r="AP38" s="228" t="str">
        <f>IF(OR(AN35="Physical Test",AN35="Composite",AP35="N/A"),"N/A",IF(AN38="","BLANK","EQ"))</f>
        <v>EQ</v>
      </c>
      <c r="AR38" s="203" t="s">
        <v>896</v>
      </c>
      <c r="AS38" s="138" t="s">
        <v>897</v>
      </c>
      <c r="BB38" s="56" t="s">
        <v>898</v>
      </c>
      <c r="BC38" s="30"/>
      <c r="BG38" s="15" t="str">
        <f>IF($A$25="mm","Fixture Thickness on table &gt;=50mm:","Fixture Thickness on table &gt;=2in:")</f>
        <v>Fixture Thickness on table &gt;=2in:</v>
      </c>
      <c r="BH38" s="16"/>
      <c r="BI38" s="25" t="str">
        <f t="shared" si="3"/>
        <v>in</v>
      </c>
      <c r="BJ38" s="11" t="str">
        <f>IF(OR(T48="120kN Physical Test",NOT($D$33="No Test:")),IF(BH38="","BLANK",IF($A$25="mm",IF(BH38&gt;=50,"EQ","REJECT"),IF(BH38&gt;=2,"EQ","REJECT"))),"N/A")</f>
        <v>N/A</v>
      </c>
      <c r="BL38" s="369" t="s">
        <v>899</v>
      </c>
      <c r="BM38" s="369"/>
      <c r="BN38" s="369"/>
      <c r="BO38" s="369"/>
      <c r="BP38" s="369"/>
      <c r="BQ38" s="369"/>
      <c r="BR38" s="369"/>
      <c r="BS38" s="369"/>
      <c r="BT38" s="369"/>
      <c r="BX38" s="214" t="e">
        <f t="shared" si="1"/>
        <v>#DIV/0!</v>
      </c>
      <c r="BY38" s="215">
        <f t="shared" si="2"/>
        <v>0</v>
      </c>
      <c r="CD38" s="223"/>
      <c r="CE38" s="225"/>
    </row>
    <row r="39" spans="4:83" ht="15" customHeight="1" x14ac:dyDescent="0.2">
      <c r="D39" s="232"/>
      <c r="E39" s="232"/>
      <c r="R39" s="12" t="str">
        <f>IF(T37="Composite","F.8.3.2 - AIP 3-Point &amp; Shear or 120kN Physical Test required.","")</f>
        <v/>
      </c>
      <c r="Y39" s="11"/>
      <c r="Z39" s="11"/>
      <c r="AA39" s="11"/>
      <c r="AB39" s="11"/>
      <c r="AC39" s="11"/>
      <c r="AD39" s="11"/>
      <c r="AE39" s="11"/>
      <c r="AF39" s="11"/>
      <c r="AG39" s="11"/>
      <c r="AH39" s="185"/>
      <c r="AJ39" s="170"/>
      <c r="AK39" s="170"/>
      <c r="AL39" s="170" t="s">
        <v>18</v>
      </c>
      <c r="AM39" s="75">
        <f>IF($A$25="mm",1.2,0.047)</f>
        <v>4.7E-2</v>
      </c>
      <c r="AN39" s="199">
        <v>4.9000000000000002E-2</v>
      </c>
      <c r="AO39" s="185" t="str">
        <f>IF($A$25="mm","mm","in")</f>
        <v>in</v>
      </c>
      <c r="AP39" s="228" t="str">
        <f>IF(OR(AN35="Physical Test",AN35="Composite",AP35="N/A"),"N/A",IF(AN39="","BLANK",IF(AN37="6061-T6",IF($A$25="mm",IF(AN39&gt;=3,"EQ","REJECT"),IF(AN39&gt;=0.118,"EQ","REJECT")),IF($A$25="mm",IF(AN39&gt;=1.1938,"EQ","REJECT"),IF(AN39&gt;=0.047,"EQ","REJECT")))))</f>
        <v>EQ</v>
      </c>
      <c r="AQ39" s="36"/>
      <c r="AS39" s="25" t="s">
        <v>900</v>
      </c>
      <c r="BB39" s="12" t="s">
        <v>901</v>
      </c>
      <c r="BC39" s="15"/>
      <c r="BD39" s="15"/>
      <c r="BE39" s="15"/>
      <c r="BF39" s="15"/>
      <c r="BG39" s="15" t="str">
        <f>IF($A$25="mm","Tested IA starting length &gt; 200mm:","Tested IA starting length &gt; 7.874in:")</f>
        <v>Tested IA starting length &gt; 7.874in:</v>
      </c>
      <c r="BH39" s="16"/>
      <c r="BI39" s="25" t="str">
        <f t="shared" si="3"/>
        <v>in</v>
      </c>
      <c r="BJ39" s="11" t="str">
        <f>IF($D$33="No Test:","N/A",IF(BH38="","BLANK",IF($A$25="mm",IF(BH39&gt;=200,"EQ","REJECT"),IF(BH39&gt;=7.874,"EQ","REJECT"))))</f>
        <v>N/A</v>
      </c>
      <c r="BL39" s="369"/>
      <c r="BM39" s="369"/>
      <c r="BN39" s="369"/>
      <c r="BO39" s="369"/>
      <c r="BP39" s="369"/>
      <c r="BQ39" s="369"/>
      <c r="BR39" s="369"/>
      <c r="BS39" s="369"/>
      <c r="BT39" s="369"/>
      <c r="BX39" s="214" t="e">
        <f t="shared" si="1"/>
        <v>#DIV/0!</v>
      </c>
      <c r="BY39" s="215">
        <f t="shared" si="2"/>
        <v>0</v>
      </c>
      <c r="CD39" s="223"/>
      <c r="CE39" s="225"/>
    </row>
    <row r="40" spans="4:83" ht="15" customHeight="1" thickBot="1" x14ac:dyDescent="0.25">
      <c r="D40" s="12" t="s">
        <v>902</v>
      </c>
      <c r="E40" s="232" t="s">
        <v>903</v>
      </c>
      <c r="P40" s="15"/>
      <c r="Q40" s="15"/>
      <c r="R40" s="15"/>
      <c r="S40" s="15"/>
      <c r="T40" s="11"/>
      <c r="V40" s="11"/>
      <c r="W40" s="12" t="s">
        <v>299</v>
      </c>
      <c r="X40" s="12" t="s">
        <v>904</v>
      </c>
      <c r="Y40" s="25" t="s">
        <v>905</v>
      </c>
      <c r="Z40" s="11"/>
      <c r="AA40" s="11"/>
      <c r="AB40" s="11"/>
      <c r="AC40" s="11"/>
      <c r="AD40" s="11"/>
      <c r="AE40" s="11"/>
      <c r="AF40" s="11"/>
      <c r="AG40" s="11"/>
      <c r="AH40" s="183" t="s">
        <v>213</v>
      </c>
      <c r="AJ40" s="170"/>
      <c r="AK40" s="170"/>
      <c r="AL40" s="170" t="str">
        <f>IF(AN38="Round","Outer Diameter (OD):","Square side:")</f>
        <v>Square side:</v>
      </c>
      <c r="AM40" s="75">
        <f>IF($A$25="mm",25,0.984)</f>
        <v>0.98399999999999999</v>
      </c>
      <c r="AN40" s="199">
        <v>1</v>
      </c>
      <c r="AO40" s="185" t="str">
        <f>IF($A$25="mm","mm","in")</f>
        <v>in</v>
      </c>
      <c r="AP40" s="228" t="str">
        <f>IF(OR(AN35="Physical Test",AN35="Composite",AP35="N/A"),"N/A",
IF(AN40="","BLANK",IF($A$25="mm",IF(AN40&gt;=25,"EQ","REJECT"),IF(AN40&gt;=0.984,"EQ","REJECT"))))</f>
        <v>EQ</v>
      </c>
      <c r="AQ40" s="36"/>
      <c r="AR40" s="295" t="str">
        <f>IF(COUNTIF(AZ41:AZ44,"BLANK"),"BLANK",IF(OR(SUMPRODUCT(--ISERROR(AZ41:AZ44))&gt;0,COUNTIF(AZ41:AZ44,"REJECT")),"REJECT",IF(COUNTIF(AZ41:AZ44,"CHECK"),"CHECK","EQ")))</f>
        <v>EQ</v>
      </c>
      <c r="AS40" s="295"/>
      <c r="AT40" s="295"/>
      <c r="AU40" s="295"/>
      <c r="AV40" s="295"/>
      <c r="AW40" s="295"/>
      <c r="AX40" s="295"/>
      <c r="AY40" s="295"/>
      <c r="AZ40" s="295"/>
      <c r="BB40" s="12" t="s">
        <v>906</v>
      </c>
      <c r="BC40" s="15"/>
      <c r="BD40" s="15"/>
      <c r="BE40" s="15"/>
      <c r="BF40" s="15"/>
      <c r="BG40" s="15" t="str">
        <f>IF($A$25="mm","Custom IA WIDTH over 200mm length &gt;= 200mm:","Custom IA WIDTH over 7.874in length &gt;=  7.874in:")</f>
        <v>Custom IA WIDTH over 7.874in length &gt;=  7.874in:</v>
      </c>
      <c r="BH40" s="16"/>
      <c r="BI40" s="25" t="str">
        <f t="shared" si="3"/>
        <v>in</v>
      </c>
      <c r="BJ40" s="11" t="str">
        <f>IF(AND(NOT(H48="Custom - Non-Composite"),NOT(H48="Custom - Composite")),"N/A",IF(BH40="","BLANK",IF(OR(AND($A$25="mm",BH40&lt;200),AND($A$25="Inch",BH40&lt;7.874)),"REJECT","EQ")))</f>
        <v>N/A</v>
      </c>
      <c r="BL40" s="295" t="str" cm="1">
        <f t="array" ref="BL40">IF(COUNTIF(BT41:BT47,"BLANK"),"BLANK",IF(OR(SUMPRODUCT(--ISERROR(BT41:BT47))&gt;0,COUNTIF(BT41:BT47,"REJECT")),"REJECT",IF(COUNTIF(BT41:BT47,"CHECK"),"CHECK","EQ")))</f>
        <v>EQ</v>
      </c>
      <c r="BM40" s="295"/>
      <c r="BN40" s="295"/>
      <c r="BO40" s="295"/>
      <c r="BP40" s="295"/>
      <c r="BQ40" s="295"/>
      <c r="BR40" s="295"/>
      <c r="BS40" s="295"/>
      <c r="BT40" s="295"/>
      <c r="BX40" s="214" t="e">
        <f t="shared" si="1"/>
        <v>#DIV/0!</v>
      </c>
      <c r="BY40" s="215">
        <f t="shared" si="2"/>
        <v>0</v>
      </c>
      <c r="CD40" s="223"/>
      <c r="CE40" s="225"/>
    </row>
    <row r="41" spans="4:83" ht="15" customHeight="1" thickBot="1" x14ac:dyDescent="0.25">
      <c r="D41" s="235" t="s">
        <v>877</v>
      </c>
      <c r="E41" s="232" t="s">
        <v>907</v>
      </c>
      <c r="N41" s="183" t="s">
        <v>908</v>
      </c>
      <c r="O41" s="185" t="s">
        <v>909</v>
      </c>
      <c r="P41" s="15"/>
      <c r="Q41" s="15"/>
      <c r="R41" s="15"/>
      <c r="S41" s="15"/>
      <c r="T41" s="11"/>
      <c r="V41" s="11"/>
      <c r="X41" s="12" t="s">
        <v>910</v>
      </c>
      <c r="Y41" s="25" t="s">
        <v>911</v>
      </c>
      <c r="Z41" s="11"/>
      <c r="AA41" s="11"/>
      <c r="AB41" s="11"/>
      <c r="AC41" s="11"/>
      <c r="AD41" s="11"/>
      <c r="AE41" s="11"/>
      <c r="AF41" s="11"/>
      <c r="AH41" s="183"/>
      <c r="AJ41" s="170"/>
      <c r="AK41" s="170"/>
      <c r="AL41" s="170" t="s">
        <v>18</v>
      </c>
      <c r="AM41" s="228">
        <f>IF($A$25="mm",AM39/1000,AM39)</f>
        <v>4.7E-2</v>
      </c>
      <c r="AN41" s="228">
        <f>IF(AN39="","",IF($A$25="mm",AN39/1000,AN39))</f>
        <v>4.9000000000000002E-2</v>
      </c>
      <c r="AO41" s="185" t="str">
        <f>IF($A$25="mm","m","in")</f>
        <v>in</v>
      </c>
      <c r="AP41" s="228" t="str">
        <f>IF(OR(AN35="Physical Test",AN35="Composite",AP35="N/A"),"N/A","EQ")</f>
        <v>EQ</v>
      </c>
      <c r="AR41" s="12" t="s">
        <v>865</v>
      </c>
      <c r="AT41" s="15"/>
      <c r="AU41" s="15"/>
      <c r="AV41" s="15"/>
      <c r="AW41" s="15" t="s">
        <v>912</v>
      </c>
      <c r="AX41" s="80" t="s">
        <v>1246</v>
      </c>
      <c r="AZ41" s="11" t="str">
        <f>IF(AX41="","BLANK",
IF(AX41="Welded",IF(OR(AN35="Composite",AND(AN37="Steel",NOT(T37="Steel"))),"REJECT","EQ"),"EQ"))</f>
        <v>EQ</v>
      </c>
      <c r="BC41" s="15"/>
      <c r="BD41" s="15"/>
      <c r="BE41" s="15"/>
      <c r="BF41" s="15"/>
      <c r="BG41" s="15" t="str">
        <f>IF($A$25="mm","Custom IA HEIGHT over 200mm length &gt;= 100mm:","Custom IA HEIGHT over 7.874in length &gt;=  3.937in:")</f>
        <v>Custom IA HEIGHT over 7.874in length &gt;=  3.937in:</v>
      </c>
      <c r="BH41" s="16"/>
      <c r="BI41" s="25" t="str">
        <f t="shared" si="3"/>
        <v>in</v>
      </c>
      <c r="BJ41" s="11" t="str">
        <f>IF(AND(NOT(H48="Custom - Non-Composite"),NOT(H48="Custom - Composite")),"N/A",IF(BH41="","BLANK",IF(OR(AND($A$25="mm",BH41&lt;100),AND($A$25="Inch",BH41&lt;3.937)),"REJECT","EQ")))</f>
        <v>N/A</v>
      </c>
      <c r="BL41" s="54"/>
      <c r="BN41" s="32"/>
      <c r="BO41" s="15" t="s">
        <v>913</v>
      </c>
      <c r="BP41" s="304"/>
      <c r="BQ41" s="305"/>
      <c r="BR41" s="305"/>
      <c r="BS41" s="306"/>
      <c r="BT41" s="11" t="str">
        <f>IF($D$33="No Test:","N/A",
IF(BP41="","BLANK",
IF(AND(BP41="Quasi Static",D33="Dynamic Test:"),"REJECT","EQ")))</f>
        <v>N/A</v>
      </c>
      <c r="BX41" s="214" t="e">
        <f t="shared" si="1"/>
        <v>#DIV/0!</v>
      </c>
      <c r="BY41" s="215">
        <f t="shared" si="2"/>
        <v>0</v>
      </c>
      <c r="CD41" s="223"/>
      <c r="CE41" s="225"/>
    </row>
    <row r="42" spans="4:83" ht="15" customHeight="1" x14ac:dyDescent="0.2">
      <c r="D42" s="232"/>
      <c r="E42" s="232"/>
      <c r="N42" s="12" t="s">
        <v>914</v>
      </c>
      <c r="O42" s="185" t="s">
        <v>915</v>
      </c>
      <c r="P42" s="15"/>
      <c r="Q42" s="15"/>
      <c r="R42" s="15"/>
      <c r="S42" s="15"/>
      <c r="T42" s="11"/>
      <c r="V42" s="11"/>
      <c r="Y42" s="11"/>
      <c r="Z42" s="11"/>
      <c r="AA42" s="11"/>
      <c r="AB42" s="11"/>
      <c r="AC42" s="11"/>
      <c r="AD42" s="11"/>
      <c r="AE42" s="11"/>
      <c r="AF42" s="11"/>
      <c r="AG42" s="11"/>
      <c r="AH42" s="183"/>
      <c r="AJ42" s="170"/>
      <c r="AK42" s="170"/>
      <c r="AL42" s="170" t="str">
        <f>IF(AN38="Round","Outer Diameter (OD):","Square side:")</f>
        <v>Square side:</v>
      </c>
      <c r="AM42" s="228">
        <f>IF($A$25="mm",AM40/1000,AM40)</f>
        <v>0.98399999999999999</v>
      </c>
      <c r="AN42" s="228">
        <f>IF(AN40="","",IF($A$25="mm",AN40/1000,AN40))</f>
        <v>1</v>
      </c>
      <c r="AO42" s="185" t="str">
        <f>IF($A$25="mm","m","in")</f>
        <v>in</v>
      </c>
      <c r="AP42" s="228" t="str">
        <f>IF(OR(AN35="Physical Test",AN35="Composite",AP35="N/A"),"N/A","EQ")</f>
        <v>EQ</v>
      </c>
      <c r="AR42" s="12"/>
      <c r="AT42" s="11"/>
      <c r="AU42" s="11"/>
      <c r="AV42" s="11" t="str">
        <f>IF(AX41="Welded","AI plate must at least reach the centerline of Front Bulkhead tubes.","AI plate must match entire Front Bulkhead perimeter.")</f>
        <v>AI plate must match entire Front Bulkhead perimeter.</v>
      </c>
      <c r="AW42" s="11"/>
      <c r="AX42" s="11"/>
      <c r="AY42" s="11"/>
      <c r="AZ42" s="11" t="s">
        <v>56</v>
      </c>
      <c r="BB42" s="25"/>
      <c r="BC42" s="25"/>
      <c r="BM42" s="32"/>
      <c r="BN42" s="32"/>
      <c r="BO42" s="15" t="s">
        <v>916</v>
      </c>
      <c r="BP42" s="383"/>
      <c r="BQ42" s="384"/>
      <c r="BR42" s="384"/>
      <c r="BS42" s="385"/>
      <c r="BT42" s="11" t="str">
        <f>IF($D$33="No Test:","N/A",IF(BP42="","BLANK","EQ"))</f>
        <v>N/A</v>
      </c>
      <c r="BX42" s="214" t="e">
        <f t="shared" si="1"/>
        <v>#DIV/0!</v>
      </c>
      <c r="BY42" s="215">
        <f t="shared" si="2"/>
        <v>0</v>
      </c>
      <c r="CD42" s="223"/>
      <c r="CE42" s="225"/>
    </row>
    <row r="43" spans="4:83" ht="15" customHeight="1" x14ac:dyDescent="0.2">
      <c r="D43" s="12" t="s">
        <v>917</v>
      </c>
      <c r="E43" s="25" t="s">
        <v>918</v>
      </c>
      <c r="M43" s="35"/>
      <c r="O43" s="185" t="s">
        <v>919</v>
      </c>
      <c r="P43" s="15"/>
      <c r="Q43" s="15"/>
      <c r="R43" s="15"/>
      <c r="S43" s="15"/>
      <c r="T43" s="11"/>
      <c r="V43" s="11"/>
      <c r="W43" s="35"/>
      <c r="X43" s="35" t="s">
        <v>920</v>
      </c>
      <c r="Y43" s="11"/>
      <c r="Z43" s="11"/>
      <c r="AA43" s="11"/>
      <c r="AB43" s="11"/>
      <c r="AC43" s="11"/>
      <c r="AD43" s="11"/>
      <c r="AE43" s="11"/>
      <c r="AF43" s="11"/>
      <c r="AG43" s="11"/>
      <c r="AH43" s="170"/>
      <c r="AJ43" s="170"/>
      <c r="AK43" s="170"/>
      <c r="AL43" s="170" t="s">
        <v>146</v>
      </c>
      <c r="AM43" s="26">
        <f>114*IF($A$25="mm",1/10^6,1/25.4^2)</f>
        <v>0.17670035340070681</v>
      </c>
      <c r="AN43" s="26">
        <f>IF(OR(AN39="",AN40=""),"",IF($A$25="mm",1/10^6,1)*
IF(AN38="Round",
MROUND(PI()*((AN40/2)^2-((AN40-2*AN39)/2)^2),IF($A$25="mm",1,(1/25.4)^2)),
MROUND(AN40^2-(AN40-2*AN39)^2,IF($A$25="mm",1,(1/25.4)^2))))</f>
        <v>0.18600037200074401</v>
      </c>
      <c r="AO43" s="185" t="str">
        <f>IF($A$25="mm","m^2","in^2")</f>
        <v>in^2</v>
      </c>
      <c r="AP43" s="228" t="str">
        <f>IF(OR(AN35="Physical Test",AN35="Composite",AP35="N/A"),"N/A",IF(AND(AN37="Steel",AN43&lt;AM43),"REJECT","EQ"))</f>
        <v>EQ</v>
      </c>
      <c r="AR43" s="12" t="str">
        <f>IF(AX41="Welded","F.8.2.3.a",IF(AX41="Bolted","F.8.2.3.b",IF(AX41="Bonded","F.8.2.3.c","F.8.4.3.d")))</f>
        <v>F.8.2.3.b</v>
      </c>
      <c r="AT43" s="15"/>
      <c r="AU43" s="15"/>
      <c r="AV43" s="15"/>
      <c r="AW43" s="15" t="str">
        <f>IF(AX41="Welded","At least half the perimeter must be welded:",
IF(AX41="Bolted", IF($A$25="mm","Number of 8mm critical fasteners (8 required):","Number of 5/16in critical fasteners (8 required):"),"Scroll to bottom."))</f>
        <v>Number of 5/16in critical fasteners (8 required):</v>
      </c>
      <c r="AX43" s="16">
        <v>8</v>
      </c>
      <c r="AY43" s="25" t="str">
        <f>IF(AX41="Welded","%","")</f>
        <v/>
      </c>
      <c r="AZ43" s="11" t="str">
        <f>IF(OR(AX41="Bonded",AX41="Laminated"),"N/A",IF(AX43="","BLANK",IF(AND(AX$41="Welded",AX43&gt;=50),"EQ",IF(AND(AX$41="Bolted",AX43&gt;=8),"EQ","REJECT"))))</f>
        <v>EQ</v>
      </c>
      <c r="BB43" s="56" t="s">
        <v>921</v>
      </c>
      <c r="BC43" s="30" t="s">
        <v>922</v>
      </c>
      <c r="BM43" s="32"/>
      <c r="BN43" s="32"/>
      <c r="BO43" s="15" t="s">
        <v>923</v>
      </c>
      <c r="BP43" s="319"/>
      <c r="BQ43" s="319"/>
      <c r="BR43" s="319"/>
      <c r="BS43" s="319"/>
      <c r="BT43" s="11" t="str">
        <f>IF($D$33="No Test:","N/A",IF(BP43="","BLANK","EQ"))</f>
        <v>N/A</v>
      </c>
      <c r="BX43" s="214" t="e">
        <f t="shared" si="1"/>
        <v>#DIV/0!</v>
      </c>
      <c r="BY43" s="215">
        <f t="shared" si="2"/>
        <v>0</v>
      </c>
      <c r="CD43" s="223"/>
      <c r="CE43" s="225"/>
    </row>
    <row r="44" spans="4:83" ht="15" customHeight="1" x14ac:dyDescent="0.2">
      <c r="D44" s="12" t="s">
        <v>924</v>
      </c>
      <c r="E44" s="25" t="s">
        <v>925</v>
      </c>
      <c r="N44" s="12" t="s">
        <v>926</v>
      </c>
      <c r="O44" s="185" t="s">
        <v>927</v>
      </c>
      <c r="P44" s="15"/>
      <c r="Q44" s="15"/>
      <c r="R44" s="15"/>
      <c r="S44" s="15"/>
      <c r="T44" s="11"/>
      <c r="V44" s="11"/>
      <c r="X44" s="25" t="s">
        <v>928</v>
      </c>
      <c r="Y44" s="11"/>
      <c r="Z44" s="11"/>
      <c r="AA44" s="11"/>
      <c r="AB44" s="11"/>
      <c r="AC44" s="11"/>
      <c r="AD44" s="11"/>
      <c r="AE44" s="11"/>
      <c r="AF44" s="11"/>
      <c r="AG44" s="11"/>
      <c r="AH44" s="230"/>
      <c r="AJ44" s="170"/>
      <c r="AK44" s="170"/>
      <c r="AL44" s="170" t="s">
        <v>147</v>
      </c>
      <c r="AM44" s="26">
        <f>8509*IF($A$25="mm",1/10^12,1/25.4^4)</f>
        <v>2.0442954271735318E-2</v>
      </c>
      <c r="AN44" s="26">
        <f>IF(OR(AN39="",AN40=""),"",IF($A$25="mm",1/10^12,1)*
IF(AN38="Round",
MROUND((PI()/4)*((AN40/2)^4-((AN40-2*MROUND(AN39,IF($A$25="mm",AN39,1/254)))/2)^4),IF($A$25="mm",1,(1/25.4^4))),
MROUND((AN40^4-(AN40-2*AN39)^4)/12,IF($A$25="mm",1,(1/25.4^4)))))</f>
        <v>2.8171827687198062E-2</v>
      </c>
      <c r="AO44" s="185" t="str">
        <f>IF($A$25="mm","m^4","in^4")</f>
        <v>in^4</v>
      </c>
      <c r="AP44" s="228" t="str">
        <f>IF(OR(AN35="Physical Test",AN35="Composite",AP35="N/A"),"N/A",IF(AND(AN37="Steel",AN44&lt;AM44),"REJECT","EQ"))</f>
        <v>EQ</v>
      </c>
      <c r="AT44" s="15"/>
      <c r="AU44" s="15"/>
      <c r="AV44" s="15"/>
      <c r="AW44" s="15" t="str">
        <f>IF(AX41="Welded","Shortest weld &gt;= 25mm (1in):",
IF(AX41="Bolted","Minimum distance between bolt centers:","Scroll to bottom."))</f>
        <v>Minimum distance between bolt centers:</v>
      </c>
      <c r="AX44" s="16">
        <v>6</v>
      </c>
      <c r="AY44" s="25" t="str">
        <f>IF($A$25="mm","mm","in")</f>
        <v>in</v>
      </c>
      <c r="AZ44" s="11" t="str">
        <f>IF(OR(AX41="Bonded",AX41="Laminated"),"N/A",IF(AX44="","BLANK",IF(AND(AX$41="Welded",OR(AND($A$25="mm",AX44&gt;=25),AND($A$25="Inch",AX44&gt;=1))),"EQ",IF(AND(AX$41="Bolted",OR(AND($A$25="mm",AX44&gt;=50),AND($A$25="Inch",AX44&gt;=2))),"EQ","REJECT"))))</f>
        <v>EQ</v>
      </c>
      <c r="BB44" s="25" t="s">
        <v>929</v>
      </c>
      <c r="BC44" s="30"/>
      <c r="BL44" s="12"/>
      <c r="BM44" s="32"/>
      <c r="BN44" s="32"/>
      <c r="BO44" s="32"/>
      <c r="BP44" s="32"/>
      <c r="BQ44" s="15" t="s">
        <v>930</v>
      </c>
      <c r="BR44" s="11">
        <f>BV9</f>
        <v>0</v>
      </c>
      <c r="BS44" s="25" t="str">
        <f>IF($A$25="mm","mm","in")</f>
        <v>in</v>
      </c>
      <c r="BT44" s="11" t="str">
        <f>IF(OR($D$33="No Test:",$D$33="Wing Test:"),"N/A",IF(BR44="","BLANK",IF(OR(AND(BR44&lt;125,$A$25="mm"),AND(BR44&lt;4.92,$A$25="inch")),"REJECT","EQ")))</f>
        <v>N/A</v>
      </c>
      <c r="BX44" s="214" t="e">
        <f t="shared" si="1"/>
        <v>#DIV/0!</v>
      </c>
      <c r="BY44" s="215">
        <f t="shared" si="2"/>
        <v>0</v>
      </c>
      <c r="CD44" s="223"/>
      <c r="CE44" s="225"/>
    </row>
    <row r="45" spans="4:83" ht="15" customHeight="1" x14ac:dyDescent="0.2">
      <c r="D45" s="56" t="s">
        <v>883</v>
      </c>
      <c r="E45" s="30" t="s">
        <v>884</v>
      </c>
      <c r="X45" s="25" t="s">
        <v>931</v>
      </c>
      <c r="Y45" s="11"/>
      <c r="Z45" s="11"/>
      <c r="AA45" s="11"/>
      <c r="AB45" s="11"/>
      <c r="AC45" s="11"/>
      <c r="AD45" s="11"/>
      <c r="AE45" s="11"/>
      <c r="AF45" s="11"/>
      <c r="AG45" s="11"/>
      <c r="AH45" s="183" t="s">
        <v>218</v>
      </c>
      <c r="AI45" s="12" t="s">
        <v>932</v>
      </c>
      <c r="AJ45" s="170"/>
      <c r="AK45" s="170"/>
      <c r="AL45" s="170" t="s">
        <v>651</v>
      </c>
      <c r="AM45" s="207">
        <f>IF($A$25="mm",200*10^9,29000*10^3)</f>
        <v>29000000</v>
      </c>
      <c r="AN45" s="207">
        <f>IF(AN37="Steel",$A$3,IF(AN37="6061-T6",$B$3,$C$3))</f>
        <v>29000000</v>
      </c>
      <c r="AO45" s="185" t="str">
        <f>IF($A$25="mm","Pa","psi")</f>
        <v>psi</v>
      </c>
      <c r="AP45" s="228" t="str">
        <f>IF(OR(AN35="Physical Test",AN35="Composite",AP35="N/A"),"N/A",IF(AN45=0,"BLANK","EQ"))</f>
        <v>EQ</v>
      </c>
      <c r="AR45" s="12"/>
      <c r="AS45" s="22"/>
      <c r="AT45" s="124"/>
      <c r="AU45" s="124"/>
      <c r="AV45" s="126"/>
      <c r="AW45" s="124"/>
      <c r="AX45" s="181"/>
      <c r="AZ45" s="181"/>
      <c r="BB45" s="25" t="s">
        <v>933</v>
      </c>
      <c r="BC45" s="25"/>
      <c r="BL45" s="12"/>
      <c r="BM45" s="15"/>
      <c r="BN45" s="15"/>
      <c r="BO45" s="15"/>
      <c r="BP45" s="15"/>
      <c r="BQ45" s="15" t="s">
        <v>934</v>
      </c>
      <c r="BR45" s="16"/>
      <c r="BS45" s="25" t="str">
        <f>IF($A$25="mm","mm","in")</f>
        <v>in</v>
      </c>
      <c r="BT45" s="11" t="str">
        <f>IF(OR($D$33="No Test:",$D$33="Wing Test:"),"N/A",IF(BR45="","BLANK","EQ"))</f>
        <v>N/A</v>
      </c>
      <c r="BX45" s="214" t="e">
        <f t="shared" si="1"/>
        <v>#DIV/0!</v>
      </c>
      <c r="BY45" s="215">
        <f t="shared" si="2"/>
        <v>0</v>
      </c>
      <c r="CD45" s="223"/>
      <c r="CE45" s="225"/>
    </row>
    <row r="46" spans="4:83" ht="15" customHeight="1" thickBot="1" x14ac:dyDescent="0.25">
      <c r="D46" s="56"/>
      <c r="E46" s="30"/>
      <c r="N46" s="295" t="str">
        <f>IF(COUNTIF(V47:V70,"BLANK"),"BLANK",IF(OR(SUMPRODUCT(--ISERROR(V47:V70))&gt;0,COUNTIF(V47:V70,"REJECT")),"REJECT",IF(COUNTIF(V47:V70,"CHECK"),"CHECK","EQ")))</f>
        <v>EQ</v>
      </c>
      <c r="O46" s="295"/>
      <c r="P46" s="295"/>
      <c r="Q46" s="295"/>
      <c r="R46" s="295"/>
      <c r="S46" s="295"/>
      <c r="T46" s="295"/>
      <c r="U46" s="295"/>
      <c r="V46" s="295"/>
      <c r="AG46" s="11"/>
      <c r="AH46" s="236" t="s">
        <v>932</v>
      </c>
      <c r="AI46" s="12" t="s">
        <v>935</v>
      </c>
      <c r="AJ46" s="170"/>
      <c r="AK46" s="170"/>
      <c r="AL46" s="170" t="str">
        <f>IF(AN37="Steel",$A$13,IF(AN37="6061-T6",$B$13,$C$13))&amp;"(S):"</f>
        <v>Su(S):</v>
      </c>
      <c r="AM46" s="207">
        <f>IF($J37="Steel",$A$14,IF($J37="6061-T6",$B$14,$C$14))</f>
        <v>44200</v>
      </c>
      <c r="AN46" s="207">
        <f>IF(AN37="Steel",$A$15,IF(AN37="6061-T6",$B$15,$C$15))</f>
        <v>52900</v>
      </c>
      <c r="AO46" s="185" t="str">
        <f>IF($A$25="mm","Pa","psi")</f>
        <v>psi</v>
      </c>
      <c r="AP46" s="228" t="str">
        <f>IF(OR(AN35="Physical Test",AN35="Composite",AP35="N/A"),"N/A",IF(AN46=0,"BLANK","EQ"))</f>
        <v>EQ</v>
      </c>
      <c r="AR46" s="295" t="str" cm="1">
        <f t="array" ref="AR46">IF(COUNTIF(AZ47:AZ57,"BLANK"),"BLANK",IF(OR(SUMPRODUCT(--ISERROR(AZ47:AZ57))&gt;0,COUNTIF(AZ47:AZ57,"REJECT")),"REJECT",IF(COUNTIF(AZ47:AZ57,"CHECK"),"CHECK","EQ")))</f>
        <v>EQ</v>
      </c>
      <c r="AS46" s="295"/>
      <c r="AT46" s="295"/>
      <c r="AU46" s="295"/>
      <c r="AV46" s="295"/>
      <c r="AW46" s="295"/>
      <c r="AX46" s="295"/>
      <c r="AY46" s="295"/>
      <c r="AZ46" s="295"/>
      <c r="BB46" s="25" t="s">
        <v>936</v>
      </c>
      <c r="BC46" s="25"/>
      <c r="BL46" s="12"/>
      <c r="BM46" s="15"/>
      <c r="BN46" s="15"/>
      <c r="BO46" s="15"/>
      <c r="BP46" s="15"/>
      <c r="BQ46" s="15" t="s">
        <v>937</v>
      </c>
      <c r="BR46" s="16"/>
      <c r="BS46" s="25" t="str">
        <f>IF($A$25="mm","mm","in")</f>
        <v>in</v>
      </c>
      <c r="BT46" s="11" t="str">
        <f>IF(OR($D$33="No Test:",$D$33="Wing Test:"),"N/A",IF(BR46="","BLANK","EQ"))</f>
        <v>N/A</v>
      </c>
      <c r="BV46" s="237"/>
      <c r="BW46" s="238"/>
      <c r="BX46" s="214" t="e">
        <f t="shared" si="1"/>
        <v>#DIV/0!</v>
      </c>
      <c r="BY46" s="215">
        <f t="shared" si="2"/>
        <v>0</v>
      </c>
      <c r="CA46" s="237"/>
      <c r="CB46" s="239"/>
      <c r="CD46" s="237"/>
      <c r="CE46" s="239"/>
    </row>
    <row r="47" spans="4:83" ht="15" customHeight="1" thickBot="1" x14ac:dyDescent="0.25">
      <c r="D47" s="295" t="str" cm="1">
        <f t="array" ref="D47">IF(COUNTIF(L48:L52,"BLANK"),"BLANK",IF(OR(SUMPRODUCT(--ISERROR(L48:L52))&gt;0,COUNTIF(L48:L52,"REJECT")),"REJECT",IF(COUNTIF(L48:L52,"CHECK"),"CHECK","EQ")))</f>
        <v>EQ</v>
      </c>
      <c r="E47" s="295"/>
      <c r="F47" s="295"/>
      <c r="G47" s="295"/>
      <c r="H47" s="295"/>
      <c r="I47" s="295"/>
      <c r="J47" s="295"/>
      <c r="K47" s="295"/>
      <c r="L47" s="295"/>
      <c r="N47" s="12" t="s">
        <v>908</v>
      </c>
      <c r="O47" s="345" t="s">
        <v>938</v>
      </c>
      <c r="P47" s="345"/>
      <c r="Q47" s="345"/>
      <c r="R47" s="345"/>
      <c r="S47" s="295" t="str">
        <f>T37</f>
        <v>6061-T6</v>
      </c>
      <c r="T47" s="295"/>
      <c r="V47" s="11" t="str">
        <f>IF(NOT(S47="Composite"),"N/A","EQ")</f>
        <v>N/A</v>
      </c>
      <c r="X47" s="295" t="str" cm="1">
        <f t="array" ref="X47">IF(COUNTIF(AF48:AF58,"BLANK"),"BLANK",IF(OR(SUMPRODUCT(--ISERROR(AF48:AF58))&gt;0,COUNTIF(AF48:AF58,"REJECT")),"REJECT",IF(COUNTIF(AF48:AF58,"CHECK"),"CHECK","EQ")))</f>
        <v>EQ</v>
      </c>
      <c r="Y47" s="295"/>
      <c r="Z47" s="295"/>
      <c r="AA47" s="295"/>
      <c r="AB47" s="295"/>
      <c r="AC47" s="295"/>
      <c r="AD47" s="295"/>
      <c r="AE47" s="295"/>
      <c r="AF47" s="295"/>
      <c r="AH47" s="229" t="s">
        <v>742</v>
      </c>
      <c r="AI47" s="229"/>
      <c r="AK47" s="230"/>
      <c r="AL47" s="230" t="s">
        <v>743</v>
      </c>
      <c r="AM47" s="240">
        <f>AM45*AM44</f>
        <v>592845.67388032423</v>
      </c>
      <c r="AN47" s="240">
        <f>IF(OR(AN35="Composite",AN39="",AN40=""),"",AN45*AN44)</f>
        <v>816983.00292874384</v>
      </c>
      <c r="AO47" s="241">
        <f>IF(OR(AM47="",AN47=""),"",AN47/AM47)</f>
        <v>1.3780702785286165</v>
      </c>
      <c r="AP47" s="242" t="str">
        <f>IF(OR(AN35="Physical Test",AN35="Composite",AP35="N/A"),"N/A",
IF(AO47="","EQ",IF(AO47&gt;=1,"EQ",IF(AO47&gt;=0.95,"CHECK","REJECT"))))</f>
        <v>EQ</v>
      </c>
      <c r="AR47" s="11"/>
      <c r="AS47" s="11"/>
      <c r="AT47" s="11"/>
      <c r="AU47" s="11"/>
      <c r="AV47" s="11"/>
      <c r="AW47" s="32" t="str">
        <f>IF(AND(NOT(AX41="Bolted"),AD50="Bolted"),"Bolting IA to tube Front Bulkhead","Bolting AIP to tube Front Bulkhead")</f>
        <v>Bolting AIP to tube Front Bulkhead</v>
      </c>
      <c r="AX47" s="298" t="s">
        <v>1247</v>
      </c>
      <c r="AY47" s="300"/>
      <c r="AZ47" s="11" t="str">
        <f>IF(OR(AND(NOT(AD50="Bolted"),NOT(AX41="Bolted")),AN35="Composite"),"N/A",
IF(AX47="","BLANK","EQ"))</f>
        <v>EQ</v>
      </c>
      <c r="BB47" s="25" t="s">
        <v>939</v>
      </c>
      <c r="BC47" s="25"/>
      <c r="BL47" s="12" t="s">
        <v>940</v>
      </c>
      <c r="BM47" s="15"/>
      <c r="BN47" s="15"/>
      <c r="BO47" s="15"/>
      <c r="BP47" s="15"/>
      <c r="BQ47" s="15" t="s">
        <v>941</v>
      </c>
      <c r="BR47" s="16"/>
      <c r="BS47" s="25" t="str">
        <f>IF($A$25="mm","mm","in")</f>
        <v>in</v>
      </c>
      <c r="BT47" s="11" t="str">
        <f>IF(OR($D$33="No Test:",$D$33="Wing Test:"),"N/A",IF(BR47="","BLANK",IF(OR(AND($A$25="mm",BR47&gt;25.4),AND($A$25="Inch",BR47&gt;1)),"REJECT","EQ")))</f>
        <v>N/A</v>
      </c>
      <c r="BV47" s="237"/>
      <c r="BW47" s="238"/>
      <c r="BX47" s="214" t="e">
        <f t="shared" si="1"/>
        <v>#DIV/0!</v>
      </c>
      <c r="BY47" s="215">
        <f t="shared" si="2"/>
        <v>0</v>
      </c>
      <c r="CA47" s="237"/>
      <c r="CB47" s="239"/>
      <c r="CD47" s="237"/>
      <c r="CE47" s="239"/>
    </row>
    <row r="48" spans="4:83" ht="15" customHeight="1" thickBot="1" x14ac:dyDescent="0.25">
      <c r="D48" s="12" t="s">
        <v>942</v>
      </c>
      <c r="F48" s="15"/>
      <c r="G48" s="15" t="s">
        <v>943</v>
      </c>
      <c r="H48" s="298" t="s">
        <v>1243</v>
      </c>
      <c r="I48" s="299"/>
      <c r="J48" s="299"/>
      <c r="K48" s="300"/>
      <c r="L48" s="11" t="str">
        <f>IF(H48="","BLANK","EQ")</f>
        <v>EQ</v>
      </c>
      <c r="N48" s="12" t="s">
        <v>908</v>
      </c>
      <c r="O48" s="15"/>
      <c r="P48" s="15"/>
      <c r="Q48" s="15"/>
      <c r="R48" s="15"/>
      <c r="S48" s="15" t="s">
        <v>944</v>
      </c>
      <c r="T48" s="379"/>
      <c r="U48" s="343"/>
      <c r="V48" s="11" t="str">
        <f>IF(NOT(S47="Composite"),"N/A",IF(T48="","BLANK","EQ"))</f>
        <v>N/A</v>
      </c>
      <c r="W48" s="12"/>
      <c r="X48" s="11"/>
      <c r="Y48" s="11"/>
      <c r="Z48" s="11"/>
      <c r="AA48" s="11"/>
      <c r="AB48" s="11"/>
      <c r="AC48" s="15" t="s">
        <v>945</v>
      </c>
      <c r="AD48" s="16">
        <v>2.5</v>
      </c>
      <c r="AE48" s="25" t="str">
        <f>IF($A$25="mm","mm","in")</f>
        <v>in</v>
      </c>
      <c r="AF48" s="11" t="str">
        <f>IF(AD48="","BLANK",IF($A$25="mm",IF(AD48&gt;90,"REJECT","EQ"),IF(AD48&gt;3.54,"REJECT","EQ")))</f>
        <v>EQ</v>
      </c>
      <c r="AG48" s="11"/>
      <c r="AH48" s="236" t="str">
        <f>AL46</f>
        <v>Su(S):</v>
      </c>
      <c r="AJ48" s="230"/>
      <c r="AK48" s="230"/>
      <c r="AL48" s="230" t="s">
        <v>747</v>
      </c>
      <c r="AM48" s="240">
        <f>AM46*AM43</f>
        <v>7810.1556203112405</v>
      </c>
      <c r="AN48" s="240">
        <f>IF(OR(AN35="Composite",AN39="",AN40=""),"",AN46*AN43)</f>
        <v>9839.4196788393583</v>
      </c>
      <c r="AO48" s="241">
        <f t="shared" ref="AO48" si="4">IF(OR(AM48="",AN48=""),"",AN48/AM48)</f>
        <v>1.2598237675637058</v>
      </c>
      <c r="AP48" s="242" t="str">
        <f>IF(OR(AN35="Physical Test",AN35="Composite",AP35="N/A"),"N/A",
IF(AO48="","EQ",IF(AO48&gt;=1,"EQ",IF(AO48&gt;=0.95,"CHECK","REJECT"))))</f>
        <v>EQ</v>
      </c>
      <c r="AR48" s="12" t="s">
        <v>872</v>
      </c>
      <c r="AS48" s="11"/>
      <c r="AT48" s="11"/>
      <c r="AU48" s="11"/>
      <c r="AV48" s="11"/>
      <c r="AW48" s="15" t="s">
        <v>946</v>
      </c>
      <c r="AX48" s="298" t="s">
        <v>1248</v>
      </c>
      <c r="AY48" s="347"/>
      <c r="AZ48" s="11" t="str">
        <f>IF(OR(AND(NOT(AD50="Bolted"),NOT(AX41="Bolted")),AN35="Composite"),"N/A",IF(AX48="","BLANK","EQ"))</f>
        <v>EQ</v>
      </c>
      <c r="BB48" s="25"/>
      <c r="BC48" s="25"/>
      <c r="BL48" s="11"/>
      <c r="BM48" s="11"/>
      <c r="BN48" s="11"/>
      <c r="BO48" s="11"/>
      <c r="BP48" s="11"/>
      <c r="BQ48" s="11"/>
      <c r="BR48" s="11"/>
      <c r="BS48" s="11"/>
      <c r="BT48" s="11"/>
      <c r="BX48" s="214" t="e">
        <f t="shared" si="1"/>
        <v>#DIV/0!</v>
      </c>
      <c r="BY48" s="215">
        <f t="shared" si="2"/>
        <v>0</v>
      </c>
      <c r="CD48" s="223"/>
      <c r="CE48" s="225"/>
    </row>
    <row r="49" spans="4:83" ht="15" customHeight="1" thickBot="1" x14ac:dyDescent="0.25">
      <c r="D49" s="12"/>
      <c r="E49" s="15"/>
      <c r="F49" s="15"/>
      <c r="G49" s="15"/>
      <c r="H49" s="15"/>
      <c r="I49" s="15" t="str">
        <f>IF(NOT(H48="Standard Foam"),"","Standard Foam Attenuator Height:")</f>
        <v/>
      </c>
      <c r="J49" s="380"/>
      <c r="K49" s="381"/>
      <c r="L49" s="11" t="str">
        <f>IF(NOT(H48="Standard Foam"),"N/A",IF(J51="","BLANK","EQ"))</f>
        <v>N/A</v>
      </c>
      <c r="N49" s="22"/>
      <c r="O49" s="15"/>
      <c r="P49" s="15"/>
      <c r="Q49" s="15"/>
      <c r="R49" s="15"/>
      <c r="S49" s="15" t="s">
        <v>947</v>
      </c>
      <c r="T49" s="378"/>
      <c r="U49" s="378"/>
      <c r="V49" s="11" t="str">
        <f>IF(OR(NOT(S47="Composite"),T48="120kN Physical Test"),"N/A",IF(T49="","BLANK","EQ"))</f>
        <v>N/A</v>
      </c>
      <c r="W49" s="12" t="s">
        <v>299</v>
      </c>
      <c r="X49" s="12" t="s">
        <v>904</v>
      </c>
      <c r="Y49" s="47"/>
      <c r="Z49" s="124"/>
      <c r="AA49" s="124"/>
      <c r="AB49" s="124"/>
      <c r="AC49" s="15" t="str">
        <f>IF($A$25="mm","IA lower leading edge &lt; 150mm above lower SIS:","IA lower leading edge &lt; 5.91in above lower SIS:")</f>
        <v>IA lower leading edge &lt; 5.91in above lower SIS:</v>
      </c>
      <c r="AD49" s="243">
        <v>3.55</v>
      </c>
      <c r="AE49" s="25" t="str">
        <f>IF($A$25="mm","mm","in")</f>
        <v>in</v>
      </c>
      <c r="AF49" s="128" t="str">
        <f>IF(AD49="","BLANK",
IF(OR(AND($A$25="mm",AD49&lt;=150),AND($A$25="Inch",AD49&lt;=5.91)),"EQ","REJECT"))</f>
        <v>EQ</v>
      </c>
      <c r="AG49" s="11"/>
      <c r="AH49" s="236" t="s">
        <v>748</v>
      </c>
      <c r="AJ49" s="230"/>
      <c r="AK49" s="230"/>
      <c r="AL49" s="230" t="s">
        <v>749</v>
      </c>
      <c r="AM49" s="240">
        <f>4*AM46*AM44/IF($A$25="mm",0.0127,0.5)</f>
        <v>7228.6286304856085</v>
      </c>
      <c r="AN49" s="240">
        <f>IF(OR(AN35="Composite",AN39="",AN40=""),"",4*AN46*AN44/(AN42/2))</f>
        <v>11922.317477222219</v>
      </c>
      <c r="AO49" s="241">
        <f>IF(OR(AM49="",AN49=""),"",AN49/AM49)</f>
        <v>1.6493194057503124</v>
      </c>
      <c r="AP49" s="242" t="str">
        <f>IF(OR(AN35="Physical Test",AN35="Composite",AP35="N/A"),"N/A",
IF(AO49="","EQ",IF(AO49&gt;=1,"EQ",IF(AO49&gt;=0.95,"CHECK","REJECT"))))</f>
        <v>EQ</v>
      </c>
      <c r="AR49" s="12"/>
      <c r="AS49" s="11"/>
      <c r="AT49" s="11"/>
      <c r="AU49" s="11"/>
      <c r="AV49" s="11"/>
      <c r="AW49" s="15" t="s">
        <v>948</v>
      </c>
      <c r="AX49" s="79"/>
      <c r="AY49" s="25" t="str">
        <f>IF($A$25="mm","mm","in")</f>
        <v>in</v>
      </c>
      <c r="AZ49" s="11" t="str">
        <f>IF(OR(AZ$47="N/A",AX$48="Centerline Inserts"),"N/A",
IF(AX49="","BLANK","EQ"))</f>
        <v>N/A</v>
      </c>
      <c r="BA49" s="24"/>
      <c r="BB49" s="56" t="s">
        <v>921</v>
      </c>
      <c r="BC49" s="30" t="s">
        <v>949</v>
      </c>
      <c r="BK49" s="24"/>
      <c r="BL49" s="12" t="s">
        <v>950</v>
      </c>
      <c r="BM49" s="25" t="s">
        <v>951</v>
      </c>
      <c r="BN49" s="11"/>
      <c r="BO49" s="11"/>
      <c r="BP49" s="11"/>
      <c r="BQ49" s="11"/>
      <c r="BR49" s="11"/>
      <c r="BS49" s="11"/>
      <c r="BT49" s="11"/>
      <c r="BX49" s="214" t="e">
        <f t="shared" si="1"/>
        <v>#DIV/0!</v>
      </c>
      <c r="BY49" s="215">
        <f t="shared" si="2"/>
        <v>0</v>
      </c>
      <c r="CD49" s="223"/>
      <c r="CE49" s="225"/>
    </row>
    <row r="50" spans="4:83" ht="15" customHeight="1" thickBot="1" x14ac:dyDescent="0.25">
      <c r="D50" s="12"/>
      <c r="E50" s="15"/>
      <c r="F50" s="15"/>
      <c r="G50" s="15"/>
      <c r="H50" s="15"/>
      <c r="I50" s="15" t="str">
        <f>IF(NOT(H48="Standard Foam"),"","Standard Foam Attenuator Width:")</f>
        <v/>
      </c>
      <c r="J50" s="382" t="str">
        <f>IF(J49="355mm (14in)","304mm (12in)","355mm (14in)")</f>
        <v>355mm (14in)</v>
      </c>
      <c r="K50" s="382"/>
      <c r="L50" s="11" t="str">
        <f>IF(NOT(H48="Standard Foam"),"N/A","EQ")</f>
        <v>N/A</v>
      </c>
      <c r="N50" s="37" t="s">
        <v>688</v>
      </c>
      <c r="O50" s="124"/>
      <c r="P50" s="124" t="s">
        <v>689</v>
      </c>
      <c r="Q50" s="174" t="str" cm="1">
        <f t="array" aca="1" ref="Q50" ca="1">IF(ISREF(INDIRECT("'"&amp;T49&amp;"'!$AE$82")),
IF(INDIRECT("'"&amp;T49&amp;"'!$AE$82")=0,(1+T50)/(1+INDIRECT("'"&amp;T49&amp;"'!$AE$82")),
IF(T50/IF($A$25="mm",INDIRECT("'"&amp;T49&amp;"'!$AE$82"),INDIRECT("'"&amp;T49&amp;"'!$AE$83"))&lt;0.5,
(T50+IF($A$25="mm",0.127,0.005))/IF($A$25="mm",INDIRECT("'"&amp;T49&amp;"'!$AE$82"),INDIRECT("'"&amp;T49&amp;"'!$AE$83")),                                                                                                                                                                                                                                             T50/IF($A$25="mm",INDIRECT("'"&amp;T49&amp;"'!$AE$82"),INDIRECT("'"&amp;T49&amp;"'!$AE$83")))),"Typo")</f>
        <v>Typo</v>
      </c>
      <c r="R50" s="124"/>
      <c r="S50" s="124" t="s">
        <v>690</v>
      </c>
      <c r="T50" s="244"/>
      <c r="U50" s="25" t="str">
        <f t="shared" ref="U50" si="5">IF($A$25="mm","mm","in")</f>
        <v>in</v>
      </c>
      <c r="V50" s="11" t="str">
        <f>IF(NOT(S47="Composite"),"N/A",IF(T50="","BLANK",IF(OR(Q50&lt;0.5,Q50&gt;1),"REJECT","EQ")))</f>
        <v>N/A</v>
      </c>
      <c r="X50" s="12" t="s">
        <v>861</v>
      </c>
      <c r="Y50" s="32"/>
      <c r="Z50" s="32"/>
      <c r="AB50" s="11"/>
      <c r="AC50" s="15" t="s">
        <v>952</v>
      </c>
      <c r="AD50" s="298" t="s">
        <v>1210</v>
      </c>
      <c r="AE50" s="300"/>
      <c r="AF50" s="11" t="str">
        <f>IF(AD50="","BLANK",
IF(AND(NOT(AD50="Bonded"),OR(H48="Standard Foam",H48="Standard Honeycomb")),"REJECT","EQ"))</f>
        <v>EQ</v>
      </c>
      <c r="AG50" s="11"/>
      <c r="AH50" s="183" t="s">
        <v>753</v>
      </c>
      <c r="AJ50" s="170"/>
      <c r="AK50" s="170"/>
      <c r="AL50" s="170" t="s">
        <v>754</v>
      </c>
      <c r="AM50" s="240">
        <f>AM49/(48*AM45*AM44)</f>
        <v>2.5402298850574711E-4</v>
      </c>
      <c r="AN50" s="240">
        <f>IF(AN49="","",AM49/(48*(AN45*AN44)))</f>
        <v>1.8433239034584706E-4</v>
      </c>
      <c r="AO50" s="241">
        <f>IF(OR(AM50="",AN50=""),"",AN50/AM50)</f>
        <v>0.72565239638410384</v>
      </c>
      <c r="AP50" s="242" t="str">
        <f>IF(OR(AN35="Physical Test",AN35="Composite",AP35="N/A"),"N/A",
IF(AO50="","EQ",IF(AO50&lt;=1,"EQ",IF(AO50&lt;=1.05,"CHECK","REJECT"))))</f>
        <v>EQ</v>
      </c>
      <c r="AS50" s="11"/>
      <c r="AT50" s="11"/>
      <c r="AU50" s="11"/>
      <c r="AV50" s="11"/>
      <c r="AW50" s="15" t="s">
        <v>953</v>
      </c>
      <c r="AX50" s="298"/>
      <c r="AY50" s="347"/>
      <c r="AZ50" s="11" t="str">
        <f t="shared" ref="AZ50" si="6">IF(OR(AZ$47="N/A",AX$48="Centerline Inserts"),"N/A",
IF(AX50="","BLANK","EQ"))</f>
        <v>N/A</v>
      </c>
      <c r="BA50" s="30"/>
      <c r="BB50" s="25" t="s">
        <v>954</v>
      </c>
      <c r="BC50" s="25"/>
      <c r="BK50" s="30"/>
      <c r="BL50" s="12" t="s">
        <v>955</v>
      </c>
      <c r="BM50" s="25" t="s">
        <v>956</v>
      </c>
      <c r="BN50" s="11"/>
      <c r="BO50" s="11"/>
      <c r="BP50" s="11"/>
      <c r="BQ50" s="11"/>
      <c r="BR50" s="11"/>
      <c r="BS50" s="11"/>
      <c r="BT50" s="11"/>
      <c r="BX50" s="214" t="e">
        <f t="shared" si="1"/>
        <v>#DIV/0!</v>
      </c>
      <c r="BY50" s="215">
        <f t="shared" si="2"/>
        <v>0</v>
      </c>
      <c r="CD50" s="223"/>
      <c r="CE50" s="225"/>
    </row>
    <row r="51" spans="4:83" ht="15" customHeight="1" x14ac:dyDescent="0.2">
      <c r="D51" s="12" t="s">
        <v>877</v>
      </c>
      <c r="F51" s="15"/>
      <c r="G51" s="15"/>
      <c r="H51" s="15"/>
      <c r="I51" s="15" t="s">
        <v>882</v>
      </c>
      <c r="J51" s="16">
        <v>13</v>
      </c>
      <c r="K51" s="25" t="str">
        <f>IF($A$25="mm","mm","in")</f>
        <v>in</v>
      </c>
      <c r="L51" s="11" t="str">
        <f>IF(J51="","BLANK","EQ")</f>
        <v>EQ</v>
      </c>
      <c r="N51" s="22"/>
      <c r="O51" s="15"/>
      <c r="P51" s="15" t="s">
        <v>694</v>
      </c>
      <c r="Q51" s="16"/>
      <c r="R51" s="15"/>
      <c r="S51" s="15" t="s">
        <v>695</v>
      </c>
      <c r="T51" s="11" t="str" cm="1">
        <f t="array" aca="1" ref="T51" ca="1">IF(ISREF(INDIRECT("'"&amp;T49&amp;"'!$AE$84")),IF($A$25="mm",INDIRECT("'"&amp;T49&amp;"'!$AE$84"),INDIRECT("'"&amp;T49&amp;"'!$AE$85"))*IF(Q51="",1,Q51),"Layup")</f>
        <v>Layup</v>
      </c>
      <c r="U51" s="25" t="str">
        <f>IF($A$25="mm","mm","in")</f>
        <v>in</v>
      </c>
      <c r="V51" s="11" t="str">
        <f>IF(NOT(S47="Composite"),"N/A",IF(MOD(Q51,1)=0,"EQ","REJECT"))</f>
        <v>N/A</v>
      </c>
      <c r="X51" s="12" t="str">
        <f>IF(OR($AD$50="Bonded",AD50=""),"",
IF(AD50="Welded","F.8.5.4","F.8.5.5"))</f>
        <v/>
      </c>
      <c r="Z51" s="15"/>
      <c r="AA51" s="15"/>
      <c r="AB51" s="15"/>
      <c r="AC51" s="15" t="str">
        <f>IF(OR(AD50="Bonded",AD50=""),"",
IF(AD50="Welded","At least half the perimeter must be welded:",IF($A$25="mm","Number of 8mm critical fasteners (8 required):","Number of 5/16in critical fasteners (8 required):")))</f>
        <v/>
      </c>
      <c r="AD51" s="16"/>
      <c r="AE51" s="25" t="str">
        <f>IF(AD50="Welded","%","")</f>
        <v/>
      </c>
      <c r="AF51" s="11" t="str">
        <f>IF(AD50="Bonded","N/A",
IF(AD51="","BLANK",IF(AND(AD50="Welded",AD51&gt;=50),"EQ",IF(AND(AD50="Bolted",AD51&gt;=8),"EQ","REJECT"))))</f>
        <v>N/A</v>
      </c>
      <c r="AG51" s="11"/>
      <c r="AH51" s="183" t="s">
        <v>756</v>
      </c>
      <c r="AJ51" s="170"/>
      <c r="AK51" s="170"/>
      <c r="AL51" s="170" t="s">
        <v>757</v>
      </c>
      <c r="AM51" s="240">
        <f>0.5*AM49^2/(48*AM45*AM44)</f>
        <v>0.91811892375708015</v>
      </c>
      <c r="AN51" s="240">
        <f>IF(AN49="","",0.5*AN49^2/(48*(AN45*AN44)))</f>
        <v>1.8123292946696992</v>
      </c>
      <c r="AO51" s="241">
        <f t="shared" ref="AO51" si="7">IF(OR(AM51="",AN51=""),"",AN51/AM51)</f>
        <v>1.9739591982848761</v>
      </c>
      <c r="AP51" s="242" t="str">
        <f>IF(OR(AN35="Physical Test",AN35="Composite",AP35="N/A"),"N/A",IF(AO51="","EQ",IF(AO51&gt;=1,"EQ",IF(AO51&gt;=0.95,"CHECK","REJECT"))))</f>
        <v>EQ</v>
      </c>
      <c r="AR51" s="245" t="s">
        <v>957</v>
      </c>
      <c r="AS51" s="11"/>
      <c r="AT51" s="11"/>
      <c r="AU51" s="11"/>
      <c r="AV51" s="11"/>
      <c r="AW51" s="15" t="s">
        <v>958</v>
      </c>
      <c r="AX51" s="79"/>
      <c r="AY51" s="25" t="str">
        <f>IF($A$25="mm","mm","in")</f>
        <v>in</v>
      </c>
      <c r="AZ51" s="11" t="str">
        <f>IF(OR(AZ$47="N/A",AX$48="Centerline Inserts"),"N/A",
IF(OR(AX51="",AX51&lt;=0),"BLANK","EQ"))</f>
        <v>N/A</v>
      </c>
      <c r="BA51" s="30"/>
      <c r="BB51" s="25"/>
      <c r="BC51" s="25"/>
      <c r="BK51" s="30"/>
      <c r="BL51" s="12" t="s">
        <v>959</v>
      </c>
      <c r="BM51" s="25" t="s">
        <v>960</v>
      </c>
      <c r="BN51" s="11"/>
      <c r="BO51" s="11"/>
      <c r="BP51" s="11"/>
      <c r="BQ51" s="11"/>
      <c r="BR51" s="11"/>
      <c r="BS51" s="11"/>
      <c r="BT51" s="11"/>
      <c r="BX51" s="214" t="e">
        <f t="shared" si="1"/>
        <v>#DIV/0!</v>
      </c>
      <c r="BY51" s="215">
        <f t="shared" si="2"/>
        <v>0</v>
      </c>
      <c r="CD51" s="223"/>
      <c r="CE51" s="225"/>
    </row>
    <row r="52" spans="4:83" ht="15" customHeight="1" x14ac:dyDescent="0.2">
      <c r="D52" s="12"/>
      <c r="F52" s="15"/>
      <c r="G52" s="15"/>
      <c r="H52" s="15"/>
      <c r="I52" s="15" t="s">
        <v>891</v>
      </c>
      <c r="J52" s="16">
        <v>15.25</v>
      </c>
      <c r="K52" s="25" t="str">
        <f>IF($A$25="mm","mm","in")</f>
        <v>in</v>
      </c>
      <c r="L52" s="11" t="str">
        <f>IF(J52="","BLANK","EQ")</f>
        <v>EQ</v>
      </c>
      <c r="N52" s="22"/>
      <c r="O52" s="15"/>
      <c r="P52" s="15" t="s">
        <v>694</v>
      </c>
      <c r="Q52" s="16"/>
      <c r="R52" s="15"/>
      <c r="S52" s="15" t="s">
        <v>697</v>
      </c>
      <c r="T52" s="11" t="str" cm="1">
        <f t="array" aca="1" ref="T52" ca="1">IF(ISREF(INDIRECT("'"&amp;T49&amp;"'!$AE$86")),IF($A$25="mm",INDIRECT("'"&amp;T49&amp;"'!$AE$86"),INDIRECT("'"&amp;T49&amp;"'!$AE$87"))*IF(Q52="",1,Q52),"Typo")</f>
        <v>Typo</v>
      </c>
      <c r="U52" s="25" t="str">
        <f>IF($A$25="mm","mm","in")</f>
        <v>in</v>
      </c>
      <c r="V52" s="11" t="str">
        <f>IF(NOT(S47="Composite"),"N/A",IF(MOD(Q52,1)=0,"EQ","REJECT"))</f>
        <v>N/A</v>
      </c>
      <c r="Z52" s="15"/>
      <c r="AA52" s="15"/>
      <c r="AB52" s="15"/>
      <c r="AC52" s="15" t="str">
        <f>IF(OR(AD50="Bonded",AD50=""),"",
IF(AD50="Welded","Shortest weld &gt;= 25mm (1in):","Minimum distance between bolt centers:"))</f>
        <v/>
      </c>
      <c r="AD52" s="16"/>
      <c r="AE52" s="25" t="str">
        <f>IF($A$25="mm","mm","in")</f>
        <v>in</v>
      </c>
      <c r="AF52" s="11" t="str">
        <f>IF(AD50="Bonded","N/A",IF(AD52="","BLANK",
IF(AND(AD50="Welded",OR(AND($A$25="mm",AD52&gt;=25),AND($A$25="Inch",AD52&gt;=1))),"EQ",
IF(AND(AD50="Bolted",OR(AND($A$25="mm",AD52&gt;=50),AND($A$25="Inch",AD52&gt;=2))),"EQ","REJECT"))))</f>
        <v>N/A</v>
      </c>
      <c r="AG52" s="11"/>
      <c r="AH52" s="12"/>
      <c r="AI52" s="15"/>
      <c r="AJ52" s="15"/>
      <c r="AK52" s="15"/>
      <c r="AL52" s="15"/>
      <c r="AM52" s="15"/>
      <c r="AN52" s="128"/>
      <c r="AO52" s="128"/>
      <c r="AP52" s="11"/>
      <c r="AR52" s="26"/>
      <c r="AS52" s="11"/>
      <c r="AT52" s="11"/>
      <c r="AU52" s="11"/>
      <c r="AV52" s="11"/>
      <c r="AW52" s="15" t="s">
        <v>961</v>
      </c>
      <c r="AX52" s="79"/>
      <c r="AY52" s="25" t="str">
        <f>IF($A$25="mm","mm","in")</f>
        <v>in</v>
      </c>
      <c r="AZ52" s="11" t="str">
        <f>IF(OR(AZ$47="N/A",AX$48="Centerline Inserts"),"N/A",
IF(OR(AX52="",AX52&lt;=0),"BLANK","EQ"))</f>
        <v>N/A</v>
      </c>
      <c r="BA52" s="30"/>
      <c r="BB52" s="12" t="s">
        <v>962</v>
      </c>
      <c r="BC52" s="125" t="s">
        <v>963</v>
      </c>
      <c r="BK52" s="30"/>
      <c r="BL52" s="12"/>
      <c r="BN52" s="11"/>
      <c r="BO52" s="11"/>
      <c r="BP52" s="11"/>
      <c r="BQ52" s="11"/>
      <c r="BR52" s="11"/>
      <c r="BS52" s="11"/>
      <c r="BT52" s="11"/>
      <c r="BX52" s="214" t="e">
        <f t="shared" si="1"/>
        <v>#DIV/0!</v>
      </c>
      <c r="BY52" s="215">
        <f t="shared" si="2"/>
        <v>0</v>
      </c>
      <c r="CD52" s="223"/>
      <c r="CE52" s="225"/>
    </row>
    <row r="53" spans="4:83" ht="15" customHeight="1" x14ac:dyDescent="0.2">
      <c r="D53" s="12" t="str">
        <f>IF(H48="","",
IF(H48="Custom - Composite","F.8.7.7.a",
IF(H48="Custom - Non-Composite","F.8.4.1","F.8.4.3")))</f>
        <v>F.8.4.3</v>
      </c>
      <c r="E53" s="35"/>
      <c r="F53" s="35"/>
      <c r="H53" s="12" t="str">
        <f>IF(H48="Custom - Composite","Composite Impact Attenuators requires annual dynamic test.",
IF(H48="Custom - Non-Composite","Custom Impact Attenuators requires annual physical test.",
IF(H48="Standard Honeycomb","Standard Honeycomb requires diagonal or annual physical test.",
IF(H48="Standard Foam",IF(OR(
AND($A$25="mm",OR(AND(J49="355mm (14in)",ABS(J51)&lt;=406,ABS(J52)&lt;=355),
AND(J49="304mm (12in)",ABS(J51)&lt;=355,ABS(J52)&lt;=406))),
AND($A$25="Inch",OR(AND(J49="355mm (14in)",ABS(J51)&lt;=16,ABS(J52)&lt;=14),
AND(J49="304mm (12in)",ABS(J51)&lt;=14,ABS(J52)&lt;=16)))),
"No diagonal or test required.","Standard Foam with oversize FB requires diagonal or annual physical test."),""))))</f>
        <v>Standard Honeycomb requires diagonal or annual physical test.</v>
      </c>
      <c r="I53" s="12"/>
      <c r="J53" s="12"/>
      <c r="K53" s="12"/>
      <c r="L53" s="12"/>
      <c r="N53" s="22"/>
      <c r="O53" s="15"/>
      <c r="P53" s="15"/>
      <c r="Q53" s="15"/>
      <c r="R53" s="15"/>
      <c r="S53" s="15" t="s">
        <v>964</v>
      </c>
      <c r="T53" s="128" t="e">
        <f ca="1">T50+T52+T51</f>
        <v>#VALUE!</v>
      </c>
      <c r="U53" s="25" t="str">
        <f t="shared" ref="U53:U58" si="8">IF($A$25="mm","mm","in")</f>
        <v>in</v>
      </c>
      <c r="V53" s="128" t="str">
        <f>IF(NOT(S47="Composite"),"N/A","EQ")</f>
        <v>N/A</v>
      </c>
      <c r="Y53" s="32"/>
      <c r="Z53" s="32"/>
      <c r="AA53" s="15" t="str">
        <f>IF(AD50="Bonded","Adhesive brand and name?:","")</f>
        <v>Adhesive brand and name?:</v>
      </c>
      <c r="AB53" s="319" t="s">
        <v>1249</v>
      </c>
      <c r="AC53" s="319"/>
      <c r="AD53" s="319"/>
      <c r="AE53" s="319"/>
      <c r="AF53" s="11" t="str">
        <f>IF(OR(AD50="Welded",AD50="Bolted"),"N/A",IF(AB53="","BLANK","EQ"))</f>
        <v>EQ</v>
      </c>
      <c r="AG53" s="11"/>
      <c r="AH53" s="295" t="str" cm="1">
        <f t="array" ref="AH53">IF(COUNTIF(AP54:AP87,"BLANK"),"BLANK",IF(OR(SUMPRODUCT(--ISERROR(AP54:AP87))&gt;0,COUNTIF(AP54:AP87,"REJECT")),"REJECT",IF(COUNTIF(AP54:AP87,"CHECK"),"CHECK","EQ")))</f>
        <v>EQ</v>
      </c>
      <c r="AI53" s="295"/>
      <c r="AJ53" s="295"/>
      <c r="AK53" s="295"/>
      <c r="AL53" s="295"/>
      <c r="AM53" s="295"/>
      <c r="AN53" s="295"/>
      <c r="AO53" s="295"/>
      <c r="AP53" s="295"/>
      <c r="AR53" s="26"/>
      <c r="AS53" s="11"/>
      <c r="AT53" s="11"/>
      <c r="AU53" s="11"/>
      <c r="AV53" s="11"/>
      <c r="AW53" s="15" t="str">
        <f>IF(AX50="Single Layer","Mount length (L):","Minimum gusset thickness (T):")</f>
        <v>Minimum gusset thickness (T):</v>
      </c>
      <c r="AX53" s="79"/>
      <c r="AY53" s="25" t="str">
        <f>IF($A$25="mm","mm","in")</f>
        <v>in</v>
      </c>
      <c r="AZ53" s="11" t="str">
        <f>IF(OR(AZ$47="N/A",AX$48="Centerline Inserts"),"N/A",
IF(OR(AX53="",AX53&lt;=0),"BLANK",
IF(AX50="Single Layer",IF(AX53=AX52,"EQ","REJECT"),"EQ")))</f>
        <v>N/A</v>
      </c>
      <c r="BA53" s="30"/>
      <c r="BB53" s="12" t="s">
        <v>965</v>
      </c>
      <c r="BC53" s="125" t="s">
        <v>966</v>
      </c>
      <c r="BD53" s="15"/>
      <c r="BE53" s="15"/>
      <c r="BF53" s="15"/>
      <c r="BG53" s="11"/>
      <c r="BH53" s="11"/>
      <c r="BJ53" s="11"/>
      <c r="BK53" s="30"/>
      <c r="BL53" s="12" t="s">
        <v>967</v>
      </c>
      <c r="BM53" s="25" t="s">
        <v>968</v>
      </c>
      <c r="BX53" s="214" t="e">
        <f t="shared" si="1"/>
        <v>#DIV/0!</v>
      </c>
      <c r="BY53" s="215">
        <f t="shared" si="2"/>
        <v>0</v>
      </c>
      <c r="CD53" s="223"/>
      <c r="CE53" s="225"/>
    </row>
    <row r="54" spans="4:83" ht="15" customHeight="1" x14ac:dyDescent="0.2">
      <c r="D54" s="12"/>
      <c r="E54" s="35"/>
      <c r="F54" s="35"/>
      <c r="H54" s="12"/>
      <c r="I54" s="12"/>
      <c r="J54" s="12"/>
      <c r="K54" s="12"/>
      <c r="L54" s="12"/>
      <c r="N54" s="22"/>
      <c r="O54" s="15"/>
      <c r="P54" s="15"/>
      <c r="Q54" s="15"/>
      <c r="R54" s="15"/>
      <c r="S54" s="15" t="s">
        <v>969</v>
      </c>
      <c r="T54" s="16"/>
      <c r="U54" s="25" t="str">
        <f t="shared" si="8"/>
        <v>in</v>
      </c>
      <c r="V54" s="11" t="str">
        <f>IF(NOT(S47="Composite"),"N/A",IF(T54="","BLANK","EQ"))</f>
        <v>N/A</v>
      </c>
      <c r="X54" s="12" t="str">
        <f>IF($AD$50="Bonded","F.8.5.3.b","")</f>
        <v>F.8.5.3.b</v>
      </c>
      <c r="Y54" s="11"/>
      <c r="Z54" s="11"/>
      <c r="AA54" s="11"/>
      <c r="AB54" s="11"/>
      <c r="AC54" s="15" t="str">
        <f>IF(AD50="Bonded","Minimum Bond Shear Requirement:","")</f>
        <v>Minimum Bond Shear Requirement:</v>
      </c>
      <c r="AD54" s="26">
        <f>IF(AND(NOT(H48="Custom - Non-Composite"),NOT(H48="Custom - Composite")),IF($A$25="mm",1,2.20462/9.81)*IF(H48="Standard Honeycomb",38500,95000),BR59)</f>
        <v>8652.1783893985703</v>
      </c>
      <c r="AE54" s="25" t="str">
        <f>IF($A$25="mm","N","lbs")</f>
        <v>lbs</v>
      </c>
      <c r="AF54" s="11" t="str">
        <f>IF(OR(AD50="Welded",AD50="Bolted"),"N/A","EQ")</f>
        <v>EQ</v>
      </c>
      <c r="AG54" s="11"/>
      <c r="AH54" s="12" t="s">
        <v>970</v>
      </c>
      <c r="AI54" s="22"/>
      <c r="AJ54" s="32"/>
      <c r="AK54" s="15" t="s">
        <v>971</v>
      </c>
      <c r="AL54" s="296" t="str">
        <f>IF(OR(AN35="Composite",J57="Composite"),"Composite","Tube")</f>
        <v>Tube</v>
      </c>
      <c r="AM54" s="296"/>
      <c r="AN54" s="375" t="str">
        <f>J57</f>
        <v>Tube Diagonal</v>
      </c>
      <c r="AO54" s="376"/>
      <c r="AP54" s="11" t="str">
        <f>IF(AL54="Tube","N/A","EQ")</f>
        <v>N/A</v>
      </c>
      <c r="AR54" s="26"/>
      <c r="AS54" s="11"/>
      <c r="AT54" s="11"/>
      <c r="AU54" s="11"/>
      <c r="AV54" s="11"/>
      <c r="AW54" s="15" t="str">
        <f>IF(AX50="Single Layer","Mount thickness (B):","Minimum gusset height normal to mount face (H):")</f>
        <v>Minimum gusset height normal to mount face (H):</v>
      </c>
      <c r="AX54" s="79"/>
      <c r="AY54" s="25" t="str">
        <f>IF($A$25="mm","mm","in")</f>
        <v>in</v>
      </c>
      <c r="AZ54" s="11" t="str">
        <f>IF(OR(AZ$47="N/A",AX$48="Centerline Inserts"),"N/A",
IF(OR(AX54="",AX54&lt;=0),"BLANK",
IF(AX50="Single Layer",IF(AX54=AX51,"EQ","REJECT"),"EQ")))</f>
        <v>N/A</v>
      </c>
      <c r="BA54" s="30"/>
      <c r="BB54" s="12" t="s">
        <v>972</v>
      </c>
      <c r="BC54" s="25" t="s">
        <v>973</v>
      </c>
      <c r="BE54" s="15"/>
      <c r="BJ54" s="11"/>
      <c r="BK54" s="30"/>
      <c r="BL54" s="25" t="s">
        <v>974</v>
      </c>
      <c r="BX54" s="214" t="e">
        <f t="shared" si="1"/>
        <v>#DIV/0!</v>
      </c>
      <c r="BY54" s="215">
        <f t="shared" si="2"/>
        <v>0</v>
      </c>
      <c r="CD54" s="223"/>
      <c r="CE54" s="225"/>
    </row>
    <row r="55" spans="4:83" ht="15" customHeight="1" x14ac:dyDescent="0.2">
      <c r="H55" s="12" t="str">
        <f>IF(J59="Other","Other tube properties may be added top left. Include sources highlighting values used.","")</f>
        <v/>
      </c>
      <c r="N55" s="22"/>
      <c r="O55" s="15"/>
      <c r="P55" s="15"/>
      <c r="Q55" s="15"/>
      <c r="R55" s="15"/>
      <c r="S55" s="15" t="s">
        <v>975</v>
      </c>
      <c r="T55" s="16"/>
      <c r="U55" s="25" t="str">
        <f t="shared" si="8"/>
        <v>in</v>
      </c>
      <c r="V55" s="11" t="str">
        <f>IF(NOT(S47="Composite"),"N/A",IF(T55="","BLANK","EQ"))</f>
        <v>N/A</v>
      </c>
      <c r="X55" s="15"/>
      <c r="Y55" s="124"/>
      <c r="Z55" s="124"/>
      <c r="AA55" s="124"/>
      <c r="AB55" s="124"/>
      <c r="AC55" s="188" t="str">
        <f>IF(AD50="Bonded","Minimum shear / peel strength of adhesive:","")</f>
        <v>Minimum shear / peel strength of adhesive:</v>
      </c>
      <c r="AD55" s="175">
        <v>3000</v>
      </c>
      <c r="AE55" s="25" t="str">
        <f>IF($A$25="mm","N/mm^2","psi")</f>
        <v>psi</v>
      </c>
      <c r="AF55" s="128" t="str">
        <f>IF(OR(AD50="Welded",AD50="Bolted"),"N/A",IF(AD55="","BLANK","EQ"))</f>
        <v>EQ</v>
      </c>
      <c r="AG55" s="11"/>
      <c r="AH55" s="22"/>
      <c r="AI55" s="32"/>
      <c r="AJ55" s="32"/>
      <c r="AK55" s="15" t="s">
        <v>976</v>
      </c>
      <c r="AL55" s="37">
        <f>IF(AN35="Composite",2,0)</f>
        <v>0</v>
      </c>
      <c r="AN55" s="124" t="s">
        <v>977</v>
      </c>
      <c r="AO55" s="37">
        <f>IF(AND(AN54="Composite No Opening", NOT(H53="No diagonal or test required")),1,0)</f>
        <v>0</v>
      </c>
      <c r="AP55" s="11" t="str">
        <f>IF(AL54="Tube","N/A","EQ")</f>
        <v>N/A</v>
      </c>
      <c r="AR55" s="12" t="str">
        <f>IF(AN37="Steel","F.3.4.2","F.3.5")</f>
        <v>F.3.4.2</v>
      </c>
      <c r="AS55" s="28">
        <f>IF(AX50="L-Shape",AX52^2/(2*(AX52+AX54)),AX52/2)</f>
        <v>0</v>
      </c>
      <c r="AT55" s="11"/>
      <c r="AU55" s="11"/>
      <c r="AV55" s="11"/>
      <c r="AW55" s="15" t="str">
        <f>IF($A$25="mm","15kN shear bending M*y / I &lt;= Su-Weld:","3371lbs shear bending M*y/I&lt;=Su-Weld:")</f>
        <v>3371lbs shear bending M*y/I&lt;=Su-Weld:</v>
      </c>
      <c r="AX55" s="26" t="str">
        <f>IF(OR(AX51="",AX52="",),"",IF($A$25="mm",15000*1/10^6,3371)*AX49*AS55/(IF($A$25="mm",1/10^12,1)*(IF(AX50="Rectangular Tube",2,1)*(AX51*AX52^3)/12+
IF(AX50="Single Layer",0,IF(AX50="L-Shape",AX51*AX52*(AX52/2-AS55)^2+(AX54*AX53^3)/12+AX54*AX53*AS55^2,
2*((AX54*AX53^3)/12+AX54*AX53*AS55^2))))))</f>
        <v/>
      </c>
      <c r="AY55" s="53" t="str">
        <f>IF(AX55="","",AX55/AR56)</f>
        <v/>
      </c>
      <c r="AZ55" s="11" t="str">
        <f>IF(OR(AZ$47="N/A",AX$48="Centerline Inserts"),"N/A",IF(AY55="","EQ",IF(AY55&lt;=1,"EQ","REJECT")))</f>
        <v>N/A</v>
      </c>
      <c r="BB55" s="125" t="s">
        <v>978</v>
      </c>
      <c r="BC55" s="25"/>
      <c r="BE55" s="15"/>
      <c r="BJ55" s="11"/>
      <c r="BL55" s="25" t="s">
        <v>979</v>
      </c>
      <c r="BV55" s="246"/>
      <c r="BW55" s="247"/>
      <c r="BX55" s="214" t="e">
        <f t="shared" si="1"/>
        <v>#DIV/0!</v>
      </c>
      <c r="BY55" s="215">
        <f t="shared" si="2"/>
        <v>0</v>
      </c>
      <c r="CA55" s="246"/>
      <c r="CB55" s="248"/>
      <c r="CD55" s="246"/>
      <c r="CE55" s="248"/>
    </row>
    <row r="56" spans="4:83" ht="15" customHeight="1" thickBot="1" x14ac:dyDescent="0.25">
      <c r="D56" s="377" t="str">
        <f>IF(COUNTIF(L57:L73,"BLANK"),"BLANK",IF(OR(SUMPRODUCT(--ISERROR(L57:L73))&gt;0,COUNTIF(L57:L73,"REJECT")),"REJECT",IF(COUNTIF(L57:L73,"CHECK"),"CHECK","EQ")))</f>
        <v>EQ</v>
      </c>
      <c r="E56" s="377"/>
      <c r="F56" s="377"/>
      <c r="G56" s="377"/>
      <c r="H56" s="377"/>
      <c r="I56" s="377"/>
      <c r="J56" s="377"/>
      <c r="K56" s="377"/>
      <c r="L56" s="377"/>
      <c r="N56" s="22"/>
      <c r="O56" s="15"/>
      <c r="P56" s="15"/>
      <c r="Q56" s="15"/>
      <c r="R56" s="15"/>
      <c r="S56" s="15" t="s">
        <v>980</v>
      </c>
      <c r="T56" s="16"/>
      <c r="U56" s="25" t="str">
        <f t="shared" si="8"/>
        <v>in</v>
      </c>
      <c r="V56" s="11" t="str">
        <f>IF(NOT(S47="Composite"),"N/A",IF(T56="","BLANK","EQ"))</f>
        <v>N/A</v>
      </c>
      <c r="X56" s="12" t="str">
        <f>IF($AD$50="Bonded","F.5.5.3","")</f>
        <v>F.5.5.3</v>
      </c>
      <c r="Y56" s="47"/>
      <c r="Z56" s="124"/>
      <c r="AA56" s="124"/>
      <c r="AB56" s="124"/>
      <c r="AC56" s="188" t="str">
        <f>IF(AD50="Bonded","50% adhesive reduction for safety factor:","")</f>
        <v>50% adhesive reduction for safety factor:</v>
      </c>
      <c r="AD56" s="128">
        <f>AD55/2</f>
        <v>1500</v>
      </c>
      <c r="AE56" s="25" t="str">
        <f>IF($A$25="mm","N/mm^2","psi")</f>
        <v>psi</v>
      </c>
      <c r="AF56" s="128" t="str">
        <f>IF(OR(AD50="Welded",AD50="Bolted"),"N/A","EQ")</f>
        <v>EQ</v>
      </c>
      <c r="AG56" s="11"/>
      <c r="AH56" s="22"/>
      <c r="AI56" s="15"/>
      <c r="AJ56" s="15"/>
      <c r="AK56" s="15"/>
      <c r="AL56" s="15"/>
      <c r="AM56" s="15" t="s">
        <v>947</v>
      </c>
      <c r="AN56" s="378"/>
      <c r="AO56" s="378"/>
      <c r="AP56" s="11" t="str">
        <f>IF(AL54="Tube","N/A",IF(AN56="","BLANK","EQ"))</f>
        <v>N/A</v>
      </c>
      <c r="AR56" s="26">
        <f>IF(AN37="Steel",A7,IF(AN37="6061-T6",B7,C7))</f>
        <v>43500</v>
      </c>
      <c r="AS56" s="28">
        <f>IF(AX50="L-Shape",AX54^2/(2*(AX52+AX54)),
IF(AX50="U-Shape",AX54^2/(AX52+2*AX54),AX54/2))</f>
        <v>0</v>
      </c>
      <c r="AT56" s="11"/>
      <c r="AU56" s="11"/>
      <c r="AV56" s="11"/>
      <c r="AW56" s="15" t="str">
        <f>IF($A$25="mm","15kN normal bending M*y / I &lt;= Su-Weld:","3371lbs normal bending M*y/I&lt;=Su-W:")</f>
        <v>3371lbs normal bending M*y/I&lt;=Su-W:</v>
      </c>
      <c r="AX56" s="26" t="str">
        <f>IF(OR(AX51="",AX52="",),"",IF($A$25="mm",15000*1/10^6,3371)*AX49*AS56/(IF($A$25="mm",1/10^12,1)*((AX52*AX51^3)/12+
IF(AX50="Single Layer",0,IF(OR(AX50="L-Shape",AX50="U-Shape"),AX51*AX52*AS56^2+IF(AX50="U-Shape",2,1)*((AX53*AX54^3)/12+AX54*AX53*(AX54/2-AS56)^2),
IF(AX50="Rectangular Tube",1,0)*((AX52*AX51^3)/12+2*AX52*AX51*AS56^2)+2*(AX53*AX54^3)/12)))))</f>
        <v/>
      </c>
      <c r="AY56" s="53" t="str">
        <f>IF(AX56="","",AX56/AR56)</f>
        <v/>
      </c>
      <c r="AZ56" s="11" t="str">
        <f>IF(OR(AZ$47="N/A",AX$48="Centerline Inserts"),"N/A",IF(AY56="","EQ",IF(AY56&lt;=1,"EQ","REJECT")))</f>
        <v>N/A</v>
      </c>
      <c r="BB56" s="125"/>
      <c r="BC56" s="25"/>
      <c r="BE56" s="15"/>
      <c r="BJ56" s="11"/>
      <c r="BL56" s="25" t="s">
        <v>981</v>
      </c>
      <c r="BX56" s="214" t="e">
        <f t="shared" si="1"/>
        <v>#DIV/0!</v>
      </c>
      <c r="BY56" s="215">
        <f t="shared" si="2"/>
        <v>0</v>
      </c>
      <c r="CD56" s="223"/>
      <c r="CE56" s="225"/>
    </row>
    <row r="57" spans="4:83" ht="15" customHeight="1" thickBot="1" x14ac:dyDescent="0.25">
      <c r="D57" s="183" t="s">
        <v>877</v>
      </c>
      <c r="E57" s="229" t="s">
        <v>982</v>
      </c>
      <c r="F57" s="230"/>
      <c r="G57" s="230"/>
      <c r="H57" s="230"/>
      <c r="I57" s="185"/>
      <c r="J57" s="370" t="s">
        <v>1244</v>
      </c>
      <c r="K57" s="371"/>
      <c r="L57" s="228" t="str">
        <f>IF(H53="No diagonal or test required.", "N/A",IF(J57="","BLANK","EQ"))</f>
        <v>EQ</v>
      </c>
      <c r="N57" s="37" t="s">
        <v>983</v>
      </c>
      <c r="O57" s="15"/>
      <c r="P57" s="15"/>
      <c r="Q57" s="15"/>
      <c r="R57" s="15"/>
      <c r="S57" s="15" t="s">
        <v>984</v>
      </c>
      <c r="T57" s="11">
        <f>IF($A$25="mm",100,3.94)</f>
        <v>3.94</v>
      </c>
      <c r="U57" s="25" t="str">
        <f t="shared" si="8"/>
        <v>in</v>
      </c>
      <c r="V57" s="11" t="str">
        <f>IF(OR(NOT(S47="Composite"),T48="120kN Physical Test"),"N/A","EQ")</f>
        <v>N/A</v>
      </c>
      <c r="X57" s="37" t="str">
        <f>IF($AD$50="Bonded","F.8.5.3.c","")</f>
        <v>F.8.5.3.c</v>
      </c>
      <c r="Y57" s="124"/>
      <c r="Z57" s="124"/>
      <c r="AA57" s="124"/>
      <c r="AB57" s="124"/>
      <c r="AC57" s="193" t="str">
        <f>IF(AD50="Bonded","Minimum bond area:","")</f>
        <v>Minimum bond area:</v>
      </c>
      <c r="AD57" s="175">
        <v>15</v>
      </c>
      <c r="AE57" s="25" t="str">
        <f>IF($A$25="mm","mm^2","in^2")</f>
        <v>in^2</v>
      </c>
      <c r="AF57" s="128" t="str">
        <f>IF(OR(AD50="Welded",AD50="Bolted"),"N/A",IF(AD57="","BLANK",
IF(H48="Standard Foam",IF($A$25="mm",IF(AND(AD57&gt;=100000,AD57&lt;=116774),"EQ","REJECT"),IF(AND(AD57&gt;=155,AD57&lt;=182),"EQ","REJECT")),
IF(H48="Standard Honeycomb",IF($A$25="mm",IF(AD57&lt;10000,"EQ","REJECT"),IF(AD57&lt;16,"EQ","REJECT")),"EQ"))))</f>
        <v>EQ</v>
      </c>
      <c r="AG57" s="11"/>
      <c r="AH57" s="22"/>
      <c r="AI57" s="15"/>
      <c r="AJ57" s="15"/>
      <c r="AK57" s="15"/>
      <c r="AL57" s="296" t="s">
        <v>85</v>
      </c>
      <c r="AM57" s="296"/>
      <c r="AP57" s="11" t="str">
        <f>IF(NOT(AL54="Composite"),"N/A","EQ")</f>
        <v>N/A</v>
      </c>
      <c r="AR57" s="83">
        <f>0.577*AR56</f>
        <v>25099.499999999996</v>
      </c>
      <c r="AW57" s="15" t="s">
        <v>744</v>
      </c>
      <c r="AX57" s="26" t="str">
        <f>IF(OR(AX51="",AX52=""),"",3*IF($A$25="mm",15000,3371)/(IF($A$25="mm",1/10^6,1)*2*
((AX52*AX51*IF(AX50="Rectangular Tube",2,1))+AX54*AX53*IF(AX50="Single Layer",0,IF(AX50="L-Shape",1,2)))))</f>
        <v/>
      </c>
      <c r="AY57" s="53" t="str">
        <f>IF(AX57="","",AX57/AR57)</f>
        <v/>
      </c>
      <c r="AZ57" s="11" t="str">
        <f>IF(OR(AZ$47="N/A",AX$48="Centerline Inserts"),"N/A",IF(AY57="","EQ",IF(AY57&lt;=1,"EQ","REJECT")))</f>
        <v>N/A</v>
      </c>
      <c r="BB57" s="236" t="s">
        <v>985</v>
      </c>
      <c r="BC57" s="125" t="s">
        <v>986</v>
      </c>
      <c r="BE57" s="15"/>
      <c r="BJ57" s="11"/>
      <c r="BX57" s="214" t="e">
        <f t="shared" si="1"/>
        <v>#DIV/0!</v>
      </c>
      <c r="BY57" s="215">
        <f t="shared" si="2"/>
        <v>0</v>
      </c>
      <c r="CD57" s="223"/>
      <c r="CE57" s="225"/>
    </row>
    <row r="58" spans="4:83" ht="15" customHeight="1" thickBot="1" x14ac:dyDescent="0.25">
      <c r="D58" s="183"/>
      <c r="E58" s="185"/>
      <c r="F58" s="170"/>
      <c r="G58" s="170"/>
      <c r="H58" s="170"/>
      <c r="I58" s="183" t="s">
        <v>142</v>
      </c>
      <c r="J58" s="372" t="s">
        <v>143</v>
      </c>
      <c r="K58" s="372"/>
      <c r="L58" s="228" t="str">
        <f>IF(OR(NOT(J57="Tube Diagonal"),L57="N/A"),"N/A","EQ")</f>
        <v>EQ</v>
      </c>
      <c r="N58" s="22"/>
      <c r="O58" s="15"/>
      <c r="P58" s="15"/>
      <c r="Q58" s="15"/>
      <c r="R58" s="15"/>
      <c r="S58" s="15" t="s">
        <v>987</v>
      </c>
      <c r="T58" s="11">
        <f>IF($A$25="mm",200,7.87)</f>
        <v>7.87</v>
      </c>
      <c r="U58" s="25" t="str">
        <f t="shared" si="8"/>
        <v>in</v>
      </c>
      <c r="V58" s="11" t="str">
        <f>IF(OR(NOT(S47="Composite"),T48="120kN Physical Test"),"N/A","EQ")</f>
        <v>N/A</v>
      </c>
      <c r="X58" s="12"/>
      <c r="Y58" s="15"/>
      <c r="Z58" s="15"/>
      <c r="AA58" s="15"/>
      <c r="AB58" s="15"/>
      <c r="AC58" s="15" t="str">
        <f>IF(AD50="Bonded","Calculated bond strength:","")</f>
        <v>Calculated bond strength:</v>
      </c>
      <c r="AD58" s="181">
        <f>IF(AD57="","",AD56*AD57)</f>
        <v>22500</v>
      </c>
      <c r="AE58" s="84">
        <f>IF(OR(NOT(AD50="Bonded"),AD58=""),"",AD58/(AD54))</f>
        <v>2.600501167147574</v>
      </c>
      <c r="AF58" s="128" t="str">
        <f>IF(OR(AD50="Welded",AD50="Bolted"),"N/A",IF(AE58&lt;1,"REJECT","EQ"))</f>
        <v>EQ</v>
      </c>
      <c r="AG58" s="11"/>
      <c r="AH58" s="37" t="s">
        <v>688</v>
      </c>
      <c r="AI58" s="124"/>
      <c r="AJ58" s="124" t="s">
        <v>689</v>
      </c>
      <c r="AK58" s="174" t="str" cm="1">
        <f t="array" aca="1" ref="AK58" ca="1">IF(ISREF(INDIRECT("'"&amp;AN56&amp;"'!$AE$82")),
IF(INDIRECT("'"&amp;AN56&amp;"'!$AE$82")=0,(1+AN58)/(1+INDIRECT("'"&amp;AN56&amp;"'!$AE$82")),
IF(AN58/IF($A$25="mm",INDIRECT("'"&amp;AN56&amp;"'!$AE$82"),INDIRECT("'"&amp;AN56&amp;"'!$AE$83"))&lt;0.5,
(AN58+IF($A$25="mm",0.127,0.005))/IF($A$25="mm",INDIRECT("'"&amp;AN56&amp;"'!$AE$82"),INDIRECT("'"&amp;AN56&amp;"'!$AE$83")),                                                                                                                                                                                                                                             AN58/IF($A$25="mm",INDIRECT("'"&amp;AN56&amp;"'!$AE$82"),INDIRECT("'"&amp;AN56&amp;"'!$AE$83")))),"Typo")</f>
        <v>Typo</v>
      </c>
      <c r="AL58" s="124"/>
      <c r="AM58" s="124" t="s">
        <v>690</v>
      </c>
      <c r="AN58" s="175"/>
      <c r="AO58" s="25" t="str">
        <f t="shared" ref="AO58" si="9">IF($A$25="mm","mm","in")</f>
        <v>in</v>
      </c>
      <c r="AP58" s="11" t="str">
        <f>IF(AL54="Tube","N/A",IF(AN58="","BLANK",IF(OR(AK58&lt;0.5,AK58&gt;1),"REJECT","EQ")))</f>
        <v>N/A</v>
      </c>
      <c r="AR58" s="22"/>
      <c r="AS58" s="22"/>
      <c r="AT58" s="22"/>
      <c r="AU58" s="22"/>
      <c r="AV58" s="37" t="str">
        <f>IF(AND(AX47="Quick Release",NOT(AZ47="N/A")),"Shear Calculation for Positive Locking required below.","")</f>
        <v/>
      </c>
      <c r="AW58" s="22"/>
      <c r="AX58" s="22"/>
      <c r="AY58" s="22"/>
      <c r="AZ58" s="22"/>
      <c r="BB58" s="236" t="s">
        <v>988</v>
      </c>
      <c r="BC58" s="125" t="s">
        <v>989</v>
      </c>
      <c r="BE58" s="170"/>
      <c r="BJ58" s="11"/>
      <c r="BL58" s="295" t="str" cm="1">
        <f t="array" ref="BL58">IF(COUNTIF(BL59:BT68,"BLANK"),"BLANK",IF(OR(SUMPRODUCT(--ISERROR(BL59:BT68))&gt;0,COUNTIF(BL59:BT68,"REJECT")),"REJECT",IF(COUNTIF(BL59:BT68,"CHECK"),"CHECK","EQ")))</f>
        <v>EQ</v>
      </c>
      <c r="BM58" s="295"/>
      <c r="BN58" s="295"/>
      <c r="BO58" s="295"/>
      <c r="BP58" s="295"/>
      <c r="BQ58" s="295"/>
      <c r="BR58" s="295"/>
      <c r="BS58" s="295"/>
      <c r="BT58" s="295"/>
      <c r="BU58" s="15"/>
      <c r="BX58" s="214" t="e">
        <f t="shared" si="1"/>
        <v>#DIV/0!</v>
      </c>
      <c r="BY58" s="215">
        <f t="shared" si="2"/>
        <v>0</v>
      </c>
      <c r="BZ58" s="15"/>
      <c r="CC58" s="15"/>
      <c r="CD58" s="223"/>
      <c r="CE58" s="225"/>
    </row>
    <row r="59" spans="4:83" ht="15" customHeight="1" thickBot="1" x14ac:dyDescent="0.25">
      <c r="D59" s="183" t="s">
        <v>214</v>
      </c>
      <c r="E59" s="25" t="str">
        <f>IF($A$25="mm",
"Example: 25.4mm x 1.2mm round",
"Example: 1.0in x 0.047in round")</f>
        <v>Example: 1.0in x 0.047in round</v>
      </c>
      <c r="F59" s="170"/>
      <c r="G59" s="170"/>
      <c r="H59" s="170"/>
      <c r="I59" s="228" t="s">
        <v>772</v>
      </c>
      <c r="J59" s="373" t="s">
        <v>772</v>
      </c>
      <c r="K59" s="374"/>
      <c r="L59" s="228" t="str">
        <f>IF(OR(NOT(J57="Tube Diagonal"),L57="N/A"),"N/A",IF(J59="","BLANK","EQ"))</f>
        <v>EQ</v>
      </c>
      <c r="N59" s="11"/>
      <c r="O59" s="11"/>
      <c r="Q59" s="15"/>
      <c r="R59" s="22"/>
      <c r="S59" s="170" t="s">
        <v>990</v>
      </c>
      <c r="T59" s="26" t="str">
        <f ca="1">U78</f>
        <v/>
      </c>
      <c r="U59" s="25" t="str">
        <f>IF($A$25="mm","m^4","in^4")</f>
        <v>in^4</v>
      </c>
      <c r="V59" s="11" t="str">
        <f>IF(OR(NOT(S47="Composite"),T48="120kN Physical Test"),"N/A","EQ")</f>
        <v>N/A</v>
      </c>
      <c r="X59" s="12"/>
      <c r="Y59" s="12"/>
      <c r="Z59" s="12"/>
      <c r="AA59" s="11"/>
      <c r="AB59" s="11"/>
      <c r="AC59" s="11"/>
      <c r="AD59" s="11"/>
      <c r="AE59" s="11"/>
      <c r="AF59" s="11"/>
      <c r="AG59" s="11"/>
      <c r="AH59" s="22"/>
      <c r="AI59" s="15"/>
      <c r="AJ59" s="15" t="s">
        <v>694</v>
      </c>
      <c r="AK59" s="16"/>
      <c r="AL59" s="15"/>
      <c r="AM59" s="15" t="s">
        <v>695</v>
      </c>
      <c r="AN59" s="11" t="str" cm="1">
        <f t="array" aca="1" ref="AN59" ca="1">IF(ISREF(INDIRECT("'"&amp;AN56&amp;"'!$AE$84")),IF($A$25="mm",INDIRECT("'"&amp;AN56&amp;"'!$AE$84"),INDIRECT("'"&amp;AN56&amp;"'!$AE$85"))*IF(AK59="",1,AK59),"Layup")</f>
        <v>Layup</v>
      </c>
      <c r="AO59" s="25" t="str">
        <f>IF($A$25="mm","mm","in")</f>
        <v>in</v>
      </c>
      <c r="AP59" s="11" t="str">
        <f>IF(NOT(AL54="Composite"),"N/A",IF(MOD(AK59,1)=0,"EQ","REJECT"))</f>
        <v>N/A</v>
      </c>
      <c r="AR59" s="295" t="str">
        <f>IF(COUNTIF(AZ60:AZ72,"BLANK"),"BLANK",IF(OR(SUMPRODUCT(--ISERROR(AZ60:AZ72))&gt;0,COUNTIF(AZ60:AZ72,"REJECT")),"REJECT",IF(COUNTIF(AZ60:AZ72,"CHECK"),"CHECK","EQ")))</f>
        <v>EQ</v>
      </c>
      <c r="AS59" s="295"/>
      <c r="AT59" s="295"/>
      <c r="AU59" s="295"/>
      <c r="AV59" s="295"/>
      <c r="AW59" s="295"/>
      <c r="AX59" s="295"/>
      <c r="AY59" s="295"/>
      <c r="AZ59" s="295"/>
      <c r="BB59" s="236" t="s">
        <v>991</v>
      </c>
      <c r="BC59" s="125" t="s">
        <v>992</v>
      </c>
      <c r="BE59" s="124"/>
      <c r="BI59" s="127"/>
      <c r="BJ59" s="128"/>
      <c r="BL59" s="12" t="s">
        <v>993</v>
      </c>
      <c r="BM59" s="15"/>
      <c r="BN59" s="11"/>
      <c r="BO59" s="11"/>
      <c r="BP59" s="11"/>
      <c r="BQ59" s="15" t="s">
        <v>994</v>
      </c>
      <c r="BR59" s="249">
        <f>BW9</f>
        <v>0</v>
      </c>
      <c r="BS59" s="25" t="str">
        <f>IF($A$25="mm","N","lbs")</f>
        <v>lbs</v>
      </c>
      <c r="BT59" s="11" t="str">
        <f>IF($D$33="No Test:","N/A",IF(BR59="","BLANK","EQ"))</f>
        <v>N/A</v>
      </c>
      <c r="BU59" s="36"/>
      <c r="BX59" s="214" t="e">
        <f t="shared" si="1"/>
        <v>#DIV/0!</v>
      </c>
      <c r="BY59" s="215">
        <f t="shared" si="2"/>
        <v>0</v>
      </c>
      <c r="BZ59" s="36"/>
      <c r="CC59" s="36"/>
      <c r="CD59" s="223"/>
      <c r="CE59" s="225"/>
    </row>
    <row r="60" spans="4:83" ht="15" customHeight="1" thickBot="1" x14ac:dyDescent="0.25">
      <c r="D60" s="183" t="s">
        <v>213</v>
      </c>
      <c r="F60" s="170"/>
      <c r="G60" s="170"/>
      <c r="H60" s="170" t="s">
        <v>995</v>
      </c>
      <c r="I60" s="11" t="s">
        <v>155</v>
      </c>
      <c r="J60" s="184" t="s">
        <v>3</v>
      </c>
      <c r="K60" s="185"/>
      <c r="L60" s="228" t="str">
        <f>IF(OR(NOT(J57="Tube Diagonal"),L57="N/A"),"N/A",IF(J60="","BLANK","EQ"))</f>
        <v>EQ</v>
      </c>
      <c r="N60" s="11"/>
      <c r="O60" s="11"/>
      <c r="Q60" s="15"/>
      <c r="R60" s="22"/>
      <c r="S60" s="170" t="s">
        <v>996</v>
      </c>
      <c r="T60" s="26" t="str">
        <f ca="1">U84</f>
        <v/>
      </c>
      <c r="U60" s="25" t="str">
        <f>IF($A$25="mm","m^4","in^4")</f>
        <v>in^4</v>
      </c>
      <c r="V60" s="11" t="str">
        <f>IF(OR(NOT(S47="Composite"),T48="120kN Physical Test"),"N/A","EQ")</f>
        <v>N/A</v>
      </c>
      <c r="X60" s="12" t="s">
        <v>997</v>
      </c>
      <c r="Y60" s="25" t="s">
        <v>998</v>
      </c>
      <c r="Z60" s="11"/>
      <c r="AA60" s="11"/>
      <c r="AB60" s="11"/>
      <c r="AC60" s="11"/>
      <c r="AD60" s="11"/>
      <c r="AE60" s="11"/>
      <c r="AF60" s="11"/>
      <c r="AG60" s="11"/>
      <c r="AH60" s="22"/>
      <c r="AI60" s="15"/>
      <c r="AJ60" s="15" t="s">
        <v>694</v>
      </c>
      <c r="AK60" s="16"/>
      <c r="AL60" s="15"/>
      <c r="AM60" s="15" t="s">
        <v>697</v>
      </c>
      <c r="AN60" s="11" t="str" cm="1">
        <f t="array" aca="1" ref="AN60" ca="1">IF(ISREF(INDIRECT("'"&amp;AN56&amp;"'!$AE$86")),IF($A$25="mm",INDIRECT("'"&amp;AN56&amp;"'!$AE$86"),INDIRECT("'"&amp;AN56&amp;"'!$AE$87"))*IF(AK60="",1,AK60),"Typo")</f>
        <v>Typo</v>
      </c>
      <c r="AO60" s="25" t="str">
        <f>IF($A$25="mm","mm","in")</f>
        <v>in</v>
      </c>
      <c r="AP60" s="11" t="str">
        <f>IF(NOT(AL54="Composite"),"N/A",IF(MOD(AK60,1)=0,"EQ","REJECT"))</f>
        <v>N/A</v>
      </c>
      <c r="AR60" s="12" t="s">
        <v>872</v>
      </c>
      <c r="AS60" s="22"/>
      <c r="AT60" s="32"/>
      <c r="AU60" s="32"/>
      <c r="AV60" s="32"/>
      <c r="AW60" s="32" t="str">
        <f>IF(AND(AD50="Bolted",NOT(AX41="Bolted")),"Bolting IA to composite Front Bulkhead","Bolting AIP to composite Front Bulkhead")</f>
        <v>Bolting AIP to composite Front Bulkhead</v>
      </c>
      <c r="AX60" s="298"/>
      <c r="AY60" s="300"/>
      <c r="AZ60" s="11" t="str">
        <f>IF(OR(AND(NOT(AD50="Bolted"),NOT(AX41="Bolted")),AL54="Tube"),"N/A",
IF(AX60="","BLANK","EQ"))</f>
        <v>N/A</v>
      </c>
      <c r="BB60" s="125" t="s">
        <v>999</v>
      </c>
      <c r="BC60" s="25"/>
      <c r="BD60" s="124"/>
      <c r="BE60" s="124"/>
      <c r="BI60" s="127"/>
      <c r="BJ60" s="128"/>
      <c r="BL60" s="12"/>
      <c r="BM60" s="15"/>
      <c r="BN60" s="15"/>
      <c r="BO60" s="15"/>
      <c r="BP60" s="15"/>
      <c r="BQ60" s="15" t="s">
        <v>1000</v>
      </c>
      <c r="BR60" s="250">
        <f>IF(BR59="",0,BR59/IF($A$25="mm",300*9.81,300*2.2046))</f>
        <v>0</v>
      </c>
      <c r="BS60" s="44" t="s">
        <v>658</v>
      </c>
      <c r="BT60" s="11" t="str">
        <f>IF($D$33="No Test:","N/A",IF(OR(BR60="",BR60=0),"BLANK",IF(BR60&gt;40,"REJECT","EQ")))</f>
        <v>N/A</v>
      </c>
      <c r="BX60" s="214" t="e">
        <f t="shared" si="1"/>
        <v>#DIV/0!</v>
      </c>
      <c r="BY60" s="215">
        <f t="shared" si="2"/>
        <v>0</v>
      </c>
      <c r="CD60" s="223"/>
      <c r="CE60" s="225"/>
    </row>
    <row r="61" spans="4:83" ht="15" customHeight="1" x14ac:dyDescent="0.2">
      <c r="D61" s="185"/>
      <c r="F61" s="170"/>
      <c r="G61" s="170"/>
      <c r="H61" s="170" t="s">
        <v>18</v>
      </c>
      <c r="I61" s="75">
        <f>IF($A$25="mm",1.2,0.047)</f>
        <v>4.7E-2</v>
      </c>
      <c r="J61" s="199">
        <v>4.9000000000000002E-2</v>
      </c>
      <c r="K61" s="185" t="str">
        <f>IF($A$25="mm","mm","in")</f>
        <v>in</v>
      </c>
      <c r="L61" s="228" t="str">
        <f>IF(OR(NOT(J57="Tube Diagonal"),L57="N/A"),"N/A",IF(J61="","BLANK",IF(OR(J59="6061-T6",J59="Other"),IF($A$25="mm",IF(J61&gt;=2,"EQ","REJECT"),IF(J61&gt;=0.079,"EQ","REJECT")),IF($A$25="mm",IF(J61&gt;=1.1938,"EQ","REJECT"),IF(J61&gt;=0.047,"EQ","REJECT")))))</f>
        <v>EQ</v>
      </c>
      <c r="N61" s="12"/>
      <c r="O61" s="128"/>
      <c r="Q61" s="15"/>
      <c r="R61" s="15"/>
      <c r="S61" s="15" t="s">
        <v>651</v>
      </c>
      <c r="T61" s="26" t="str" cm="1">
        <f t="array" aca="1" ref="T61" ca="1">IF(ISREF(INDIRECT("'"&amp;T$49&amp;"'!$AK$82")),INDIRECT("'"&amp;T$49&amp;"'!$AK$82")*IF($A$25="mm",1,1/6894.76),"Layup")</f>
        <v>Layup</v>
      </c>
      <c r="U61" s="25" t="str">
        <f>IF($A$25="mm","Pa","psi")</f>
        <v>psi</v>
      </c>
      <c r="V61" s="11" t="str">
        <f>IF(OR(NOT(S47="Composite"),T48="120kN Physical Test"),"N/A",IF(T61="Layup","BLANK","EQ"))</f>
        <v>N/A</v>
      </c>
      <c r="X61" s="25" t="s">
        <v>1001</v>
      </c>
      <c r="Y61" s="11"/>
      <c r="Z61" s="11"/>
      <c r="AA61" s="11"/>
      <c r="AB61" s="11"/>
      <c r="AC61" s="11"/>
      <c r="AD61" s="11"/>
      <c r="AE61" s="11"/>
      <c r="AF61" s="11"/>
      <c r="AG61" s="11"/>
      <c r="AH61" s="22"/>
      <c r="AI61" s="15"/>
      <c r="AJ61" s="15"/>
      <c r="AK61" s="15"/>
      <c r="AL61" s="15"/>
      <c r="AM61" s="15" t="s">
        <v>964</v>
      </c>
      <c r="AN61" s="128" t="e">
        <f ca="1">AN58+AN60+AN59</f>
        <v>#VALUE!</v>
      </c>
      <c r="AO61" s="25" t="str">
        <f t="shared" ref="AO61:AO66" si="10">IF($A$25="mm","mm","in")</f>
        <v>in</v>
      </c>
      <c r="AP61" s="128" t="str">
        <f>IF(AL54="Tube","N/A","EQ")</f>
        <v>N/A</v>
      </c>
      <c r="AR61" s="11"/>
      <c r="AS61" s="124" t="s">
        <v>1002</v>
      </c>
      <c r="AT61" s="175"/>
      <c r="AU61" s="15"/>
      <c r="AV61" s="12"/>
      <c r="AW61" s="15" t="s">
        <v>1003</v>
      </c>
      <c r="AX61" s="175"/>
      <c r="AY61" s="25" t="str">
        <f t="shared" ref="AY61:AY69" si="11">IF($A$25="mm","mm","in")</f>
        <v>in</v>
      </c>
      <c r="AZ61" s="181" t="str">
        <f>IF(OR(AND(NOT(AD50="Bolted"),NOT(AX41="Bolted")),AL54="Tube"),"N/A",IF(OR(AX61="",AT61=""),"BLANK","EQ"))</f>
        <v>N/A</v>
      </c>
      <c r="BB61" s="25"/>
      <c r="BC61" s="25"/>
      <c r="BE61" s="11"/>
      <c r="BF61" s="11"/>
      <c r="BG61" s="11"/>
      <c r="BH61" s="11"/>
      <c r="BI61" s="11"/>
      <c r="BJ61" s="128"/>
      <c r="BL61" s="12"/>
      <c r="BM61" s="15"/>
      <c r="BN61" s="15"/>
      <c r="BO61" s="15"/>
      <c r="BP61" s="15"/>
      <c r="BQ61" s="15" t="s">
        <v>1004</v>
      </c>
      <c r="BR61" s="249">
        <f>BX9</f>
        <v>0</v>
      </c>
      <c r="BS61" s="25" t="str">
        <f>IF($A$25="mm","N","lbs")</f>
        <v>lbs</v>
      </c>
      <c r="BT61" s="11" t="str">
        <f>IF($D$33="No Test:","N/A",IF(BR61="","BLANK","EQ"))</f>
        <v>N/A</v>
      </c>
      <c r="BX61" s="214" t="e">
        <f t="shared" si="1"/>
        <v>#DIV/0!</v>
      </c>
      <c r="BY61" s="215">
        <f t="shared" si="2"/>
        <v>0</v>
      </c>
      <c r="CD61" s="223"/>
      <c r="CE61" s="225"/>
    </row>
    <row r="62" spans="4:83" ht="15" customHeight="1" x14ac:dyDescent="0.2">
      <c r="D62" s="183" t="s">
        <v>213</v>
      </c>
      <c r="F62" s="170"/>
      <c r="G62" s="170"/>
      <c r="H62" s="170" t="str">
        <f>IF(J60="Round","Outer Diameter (OD):","Square side:")</f>
        <v>Outer Diameter (OD):</v>
      </c>
      <c r="I62" s="75">
        <f>IF($A$25="mm",25,0.984)</f>
        <v>0.98399999999999999</v>
      </c>
      <c r="J62" s="199">
        <v>1</v>
      </c>
      <c r="K62" s="185" t="str">
        <f>IF($A$25="mm","mm","in")</f>
        <v>in</v>
      </c>
      <c r="L62" s="228" t="str">
        <f>IF(OR(NOT(J57="Tube Diagonal"),L57="N/A"),"N/A",
IF(J62="","BLANK",IF($A$25="mm",IF(J62&gt;=25,"EQ","REJECT"),IF(J62&gt;=0.984,"EQ","REJECT"))))</f>
        <v>EQ</v>
      </c>
      <c r="N62" s="124"/>
      <c r="O62" s="26"/>
      <c r="Q62" s="15"/>
      <c r="R62" s="15"/>
      <c r="S62" s="15" t="s">
        <v>1005</v>
      </c>
      <c r="T62" s="26" t="str" cm="1">
        <f t="array" aca="1" ref="T62" ca="1">IF(ISREF(INDIRECT("'"&amp;T49&amp;"'!$AK$85")),INDIRECT("'"&amp;T49&amp;"'!$AK$85")*IF($A$25="mm",1,1/6894.76),"Name")</f>
        <v>Name</v>
      </c>
      <c r="U62" s="25" t="str">
        <f>IF($A$25="mm","Pa","psi")</f>
        <v>psi</v>
      </c>
      <c r="V62" s="11" t="str">
        <f>IF(OR(NOT(S47="Composite"),T48="120kN Physical Test"),"N/A",IF(T62="Name","BLANK","EQ"))</f>
        <v>N/A</v>
      </c>
      <c r="X62" s="12" t="s">
        <v>1006</v>
      </c>
      <c r="Y62" s="25" t="s">
        <v>1007</v>
      </c>
      <c r="Z62" s="11"/>
      <c r="AA62" s="11"/>
      <c r="AB62" s="11"/>
      <c r="AC62" s="11"/>
      <c r="AD62" s="11"/>
      <c r="AE62" s="11"/>
      <c r="AF62" s="11"/>
      <c r="AG62" s="11"/>
      <c r="AH62" s="22"/>
      <c r="AI62" s="15"/>
      <c r="AJ62" s="15"/>
      <c r="AK62" s="15"/>
      <c r="AL62" s="15"/>
      <c r="AM62" s="15" t="s">
        <v>1008</v>
      </c>
      <c r="AN62" s="16"/>
      <c r="AO62" s="25" t="str">
        <f t="shared" si="10"/>
        <v>in</v>
      </c>
      <c r="AP62" s="11" t="str">
        <f>IF(AL54="Tube","N/A",IF(AN62="","BLANK","EQ"))</f>
        <v>N/A</v>
      </c>
      <c r="AR62" s="12"/>
      <c r="AS62" s="22"/>
      <c r="AT62" s="12"/>
      <c r="AU62" s="15"/>
      <c r="AV62" s="12"/>
      <c r="AW62" s="124" t="s">
        <v>684</v>
      </c>
      <c r="AX62" s="128" t="e">
        <f ca="1">AN61</f>
        <v>#VALUE!</v>
      </c>
      <c r="AY62" s="25" t="str">
        <f t="shared" si="11"/>
        <v>in</v>
      </c>
      <c r="AZ62" s="128" t="str">
        <f>IF(OR(AND(NOT(AD50="Bolted"),NOT(AX41="Bolted")),AL54="Tube"),"N/A","EQ")</f>
        <v>N/A</v>
      </c>
      <c r="BB62" s="131" t="s">
        <v>1009</v>
      </c>
      <c r="BC62" s="125" t="s">
        <v>1010</v>
      </c>
      <c r="BD62" s="15"/>
      <c r="BE62" s="15"/>
      <c r="BF62" s="15"/>
      <c r="BG62" s="126"/>
      <c r="BH62" s="126"/>
      <c r="BI62" s="127"/>
      <c r="BJ62" s="128"/>
      <c r="BL62" s="12"/>
      <c r="BM62" s="15"/>
      <c r="BN62" s="15"/>
      <c r="BO62" s="15"/>
      <c r="BP62" s="15"/>
      <c r="BQ62" s="15" t="s">
        <v>1011</v>
      </c>
      <c r="BR62" s="250">
        <f>IF(BR61="",0,BR61/IF($A$25="mm",300*9.81,300*2.2046))</f>
        <v>0</v>
      </c>
      <c r="BS62" s="25" t="s">
        <v>658</v>
      </c>
      <c r="BT62" s="11" t="str">
        <f>IF($D$33="No Test:","N/A",IF(BR62="","BLANK",IF(BR62&gt;20,"REJECT","EQ")))</f>
        <v>N/A</v>
      </c>
      <c r="BV62" s="251"/>
      <c r="BW62" s="252"/>
      <c r="BX62" s="214" t="e">
        <f t="shared" si="1"/>
        <v>#DIV/0!</v>
      </c>
      <c r="BY62" s="215">
        <f t="shared" si="2"/>
        <v>0</v>
      </c>
      <c r="CA62" s="251"/>
      <c r="CB62" s="253"/>
      <c r="CD62" s="251"/>
      <c r="CE62" s="253"/>
    </row>
    <row r="63" spans="4:83" ht="15" customHeight="1" x14ac:dyDescent="0.2">
      <c r="D63" s="183"/>
      <c r="F63" s="170"/>
      <c r="G63" s="170"/>
      <c r="H63" s="170" t="s">
        <v>18</v>
      </c>
      <c r="I63" s="228">
        <f>IF($A$25="mm",I61/1000,I61)</f>
        <v>4.7E-2</v>
      </c>
      <c r="J63" s="228">
        <f>IF(J61="","",IF($A$25="mm",J61/1000,J61))</f>
        <v>4.9000000000000002E-2</v>
      </c>
      <c r="K63" s="185" t="str">
        <f>IF($A$25="mm","m","in")</f>
        <v>in</v>
      </c>
      <c r="L63" s="228" t="str">
        <f>IF(OR(NOT(J57="Tube Diagonal"),L57="N/A"),"N/A","EQ")</f>
        <v>EQ</v>
      </c>
      <c r="N63" s="124"/>
      <c r="O63" s="26"/>
      <c r="Q63" s="15"/>
      <c r="R63" s="15"/>
      <c r="S63" s="15" t="s">
        <v>659</v>
      </c>
      <c r="T63" s="26" t="str" cm="1">
        <f t="array" aca="1" ref="T63" ca="1">IF(ISREF(INDIRECT("'"&amp;T49&amp;"'!$AY$62")),INDIRECT("'"&amp;T49&amp;"'!$AY$62")*IF($A$25="mm",1,1/6894.76),"Typo")</f>
        <v>Typo</v>
      </c>
      <c r="U63" s="25" t="str">
        <f>IF($A$25="mm","Pa","psi")</f>
        <v>psi</v>
      </c>
      <c r="V63" s="11" t="str">
        <f>IF(OR(NOT(S47="Composite"),T48="120kN Physical Test"),"N/A",IF(T63="Typo","BLANK","EQ"))</f>
        <v>N/A</v>
      </c>
      <c r="X63" s="12" t="s">
        <v>1012</v>
      </c>
      <c r="Y63" s="25" t="s">
        <v>1013</v>
      </c>
      <c r="Z63" s="11"/>
      <c r="AA63" s="11"/>
      <c r="AB63" s="11"/>
      <c r="AC63" s="11"/>
      <c r="AD63" s="11"/>
      <c r="AE63" s="11"/>
      <c r="AF63" s="11"/>
      <c r="AG63" s="11"/>
      <c r="AH63" s="22"/>
      <c r="AI63" s="15"/>
      <c r="AJ63" s="15"/>
      <c r="AK63" s="15"/>
      <c r="AL63" s="15"/>
      <c r="AM63" s="15" t="s">
        <v>1014</v>
      </c>
      <c r="AN63" s="79"/>
      <c r="AO63" s="25" t="str">
        <f t="shared" si="10"/>
        <v>in</v>
      </c>
      <c r="AP63" s="11" t="str">
        <f>IF(AL54="Tube","N/A",IF(AN63="","BLANK","EQ"))</f>
        <v>N/A</v>
      </c>
      <c r="AR63" s="12"/>
      <c r="AS63" s="22"/>
      <c r="AT63" s="12"/>
      <c r="AU63" s="15"/>
      <c r="AV63" s="12"/>
      <c r="AW63" s="15" t="s">
        <v>690</v>
      </c>
      <c r="AX63" s="128">
        <f>AN58</f>
        <v>0</v>
      </c>
      <c r="AY63" s="25" t="str">
        <f t="shared" si="11"/>
        <v>in</v>
      </c>
      <c r="AZ63" s="181" t="str">
        <f>IF(OR(AND(NOT(AD50="Bolted"),NOT(AX41="Bolted")),AL54="Tube"),"N/A","EQ")</f>
        <v>N/A</v>
      </c>
      <c r="BB63" s="236" t="s">
        <v>1015</v>
      </c>
      <c r="BC63" s="125" t="s">
        <v>1016</v>
      </c>
      <c r="BD63" s="15"/>
      <c r="BE63" s="15"/>
      <c r="BF63" s="15"/>
      <c r="BG63" s="126"/>
      <c r="BH63" s="126"/>
      <c r="BI63" s="127"/>
      <c r="BJ63" s="128"/>
      <c r="BL63" s="12" t="s">
        <v>967</v>
      </c>
      <c r="BM63" s="15"/>
      <c r="BN63" s="15"/>
      <c r="BO63" s="15"/>
      <c r="BP63" s="15"/>
      <c r="BQ63" s="15" t="s">
        <v>1017</v>
      </c>
      <c r="BR63" s="250">
        <f>ROUND(BY9,2)</f>
        <v>0</v>
      </c>
      <c r="BS63" s="44" t="s">
        <v>826</v>
      </c>
      <c r="BT63" s="11" t="str">
        <f>IF($D$33="No Test:","N/A",IF(BR63="","BLANK",IF(BR63&lt;7350,"REJECT","EQ")))</f>
        <v>N/A</v>
      </c>
      <c r="BV63" s="251"/>
      <c r="BW63" s="252"/>
      <c r="BX63" s="214" t="e">
        <f t="shared" si="1"/>
        <v>#DIV/0!</v>
      </c>
      <c r="BY63" s="215">
        <f t="shared" si="2"/>
        <v>0</v>
      </c>
      <c r="CA63" s="251"/>
      <c r="CB63" s="253"/>
      <c r="CD63" s="251"/>
      <c r="CE63" s="253"/>
    </row>
    <row r="64" spans="4:83" ht="15" customHeight="1" x14ac:dyDescent="0.2">
      <c r="D64" s="183"/>
      <c r="F64" s="170"/>
      <c r="G64" s="170"/>
      <c r="H64" s="170" t="str">
        <f>IF(J60="Round","Outer Diameter (OD):","Square side:")</f>
        <v>Outer Diameter (OD):</v>
      </c>
      <c r="I64" s="228">
        <f>IF($A$25="mm",I62/1000,I62)</f>
        <v>0.98399999999999999</v>
      </c>
      <c r="J64" s="228">
        <f>IF(J62="","",IF($A$25="mm",J62/1000,J62))</f>
        <v>1</v>
      </c>
      <c r="K64" s="185" t="str">
        <f>IF($A$25="mm","m","in")</f>
        <v>in</v>
      </c>
      <c r="L64" s="228" t="str">
        <f>IF(OR(NOT(J57="Tube Diagonal"),L57="N/A"),"N/A","EQ")</f>
        <v>EQ</v>
      </c>
      <c r="N64" s="12" t="s">
        <v>983</v>
      </c>
      <c r="O64" s="11"/>
      <c r="Q64" s="15"/>
      <c r="R64" s="22"/>
      <c r="S64" s="170" t="s">
        <v>1018</v>
      </c>
      <c r="T64" s="26" t="str">
        <f>IF(T54="","",IF($A$25="mm",1/10^3,0.2248)*
(120000/(2*T54))*(2*(T54-T56-T57)+T57)*
(T56+(120000/(2*T54))*(2*(T54-T56-T57)+T57)/(2*120000/T57)))</f>
        <v/>
      </c>
      <c r="U64" s="25" t="str">
        <f>IF($A$25="mm","Nm","lb-in")</f>
        <v>lb-in</v>
      </c>
      <c r="V64" s="11" t="str">
        <f>IF(OR(NOT(S47="Composite"),T48="120kN Physical Test"),"N/A","EQ")</f>
        <v>N/A</v>
      </c>
      <c r="X64" s="25" t="s">
        <v>1019</v>
      </c>
      <c r="Y64" s="11"/>
      <c r="Z64" s="11"/>
      <c r="AA64" s="11"/>
      <c r="AB64" s="11"/>
      <c r="AC64" s="11"/>
      <c r="AD64" s="11"/>
      <c r="AE64" s="11"/>
      <c r="AF64" s="11"/>
      <c r="AG64" s="11"/>
      <c r="AH64" s="22"/>
      <c r="AI64" s="15"/>
      <c r="AJ64" s="15"/>
      <c r="AK64" s="15"/>
      <c r="AL64" s="15"/>
      <c r="AM64" s="15" t="str">
        <f>IF(J57="Composite No Opening","Cutout Height (Must be 0 for no opening):","Cutout Height:")</f>
        <v>Cutout Height:</v>
      </c>
      <c r="AN64" s="16"/>
      <c r="AO64" s="25" t="str">
        <f t="shared" si="10"/>
        <v>in</v>
      </c>
      <c r="AP64" s="11" t="str">
        <f>IF(AL54="Tube","N/A",IF(AN64="","BLANK",IF(AND(J57="Composite No Opening",AN64&gt;0),"REJECT","EQ")))</f>
        <v>N/A</v>
      </c>
      <c r="AR64" s="12"/>
      <c r="AS64" s="22"/>
      <c r="AT64" s="15"/>
      <c r="AU64" s="15"/>
      <c r="AV64" s="11"/>
      <c r="AW64" s="15" t="s">
        <v>695</v>
      </c>
      <c r="AX64" s="128" t="str">
        <f ca="1">AN59</f>
        <v>Layup</v>
      </c>
      <c r="AY64" s="25" t="str">
        <f t="shared" si="11"/>
        <v>in</v>
      </c>
      <c r="AZ64" s="181" t="str">
        <f>IF(OR(AND(NOT(AD50="Bolted"),NOT(AX41="Bolted")),AL54="Tube"),"N/A","EQ")</f>
        <v>N/A</v>
      </c>
      <c r="BB64" s="236" t="s">
        <v>1020</v>
      </c>
      <c r="BC64" s="125" t="s">
        <v>1021</v>
      </c>
      <c r="BD64" s="15"/>
      <c r="BE64" s="15"/>
      <c r="BF64" s="15"/>
      <c r="BG64" s="126"/>
      <c r="BH64" s="126"/>
      <c r="BI64" s="127"/>
      <c r="BJ64" s="128"/>
      <c r="BL64" s="12"/>
      <c r="BM64" s="12"/>
      <c r="BN64" s="12"/>
      <c r="BO64" s="12"/>
      <c r="BP64" s="12"/>
      <c r="BQ64" s="15" t="s">
        <v>1022</v>
      </c>
      <c r="BR64" s="29">
        <f>IF(OR(H48="Custom",NOT($BP$41="")),IF(OR(BR61="",BR44=""),"",
ROUND(BR61*IF($A$25="mm",1,9.81/2.2046)*BR44*IF($A$25="mm",1/10^3,0.0254),2)),7350)</f>
        <v>7350</v>
      </c>
      <c r="BS64" s="25" t="s">
        <v>826</v>
      </c>
      <c r="BT64" s="11" t="str">
        <f>IF(BR64&lt;7350,"REJECT",IF(BR64&lt;BR63,"CHECK","EQ"))</f>
        <v>EQ</v>
      </c>
      <c r="BV64" s="254"/>
      <c r="BW64" s="255"/>
      <c r="BX64" s="214" t="e">
        <f t="shared" si="1"/>
        <v>#DIV/0!</v>
      </c>
      <c r="BY64" s="215">
        <f t="shared" si="2"/>
        <v>0</v>
      </c>
      <c r="CA64" s="254"/>
      <c r="CB64" s="256"/>
      <c r="CD64" s="254"/>
      <c r="CE64" s="256"/>
    </row>
    <row r="65" spans="3:83" ht="15" customHeight="1" x14ac:dyDescent="0.2">
      <c r="D65" s="170"/>
      <c r="F65" s="170"/>
      <c r="G65" s="170"/>
      <c r="H65" s="170" t="s">
        <v>146</v>
      </c>
      <c r="I65" s="26">
        <f>91*IF($A$25="mm",1/10^6,1/25.4^2)</f>
        <v>0.14105028210056419</v>
      </c>
      <c r="J65" s="26">
        <f>IF(OR(J61="",J62=""),"",IF($A$25="mm",1/10^6,1)*
IF(J60="Round",
MROUND(PI()*((J62/2)^2-((J62-2*J61)/2)^2),IF($A$25="mm",1,(1/25.4)^2)),
MROUND(J62^2-(J62-2*J61)^2,IF($A$25="mm",1,(1/25.4)^2))))</f>
        <v>0.1457002914005828</v>
      </c>
      <c r="K65" s="185" t="str">
        <f>IF($A$25="mm","m^2","in^2")</f>
        <v>in^2</v>
      </c>
      <c r="L65" s="228" t="str">
        <f>IF(OR(NOT(J57="Tube Diagonal"),L57="N/A"),"N/A",IF(AND(J59="Steel",J65&lt;I65),"REJECT","EQ"))</f>
        <v>EQ</v>
      </c>
      <c r="N65" s="11"/>
      <c r="O65" s="11"/>
      <c r="Q65" s="15"/>
      <c r="R65" s="22"/>
      <c r="S65" s="170" t="s">
        <v>1023</v>
      </c>
      <c r="T65" s="26" t="str">
        <f>IF(T55="","",IF($A$25="mm",1/10^3,0.2248)*(120000/2)*(S72+T58/4))</f>
        <v/>
      </c>
      <c r="U65" s="25" t="str">
        <f>IF($A$25="mm","Nm","lb-in")</f>
        <v>lb-in</v>
      </c>
      <c r="V65" s="11" t="str">
        <f>IF(OR(NOT(S47="Composite"),T48="120kN Physical Test"),"N/A","EQ")</f>
        <v>N/A</v>
      </c>
      <c r="X65" s="12" t="s">
        <v>379</v>
      </c>
      <c r="Y65" s="25" t="s">
        <v>380</v>
      </c>
      <c r="Z65" s="11"/>
      <c r="AA65" s="11"/>
      <c r="AB65" s="11"/>
      <c r="AC65" s="11"/>
      <c r="AD65" s="11"/>
      <c r="AE65" s="11"/>
      <c r="AF65" s="11"/>
      <c r="AG65" s="11"/>
      <c r="AH65" s="22"/>
      <c r="AI65" s="15"/>
      <c r="AJ65" s="15"/>
      <c r="AK65" s="15"/>
      <c r="AL65" s="15"/>
      <c r="AM65" s="15" t="str">
        <f>IF(J57="Composite No Opening","Cutout Width (Must be 0 for no opening):","Cutout Width:")</f>
        <v>Cutout Width:</v>
      </c>
      <c r="AN65" s="16"/>
      <c r="AO65" s="25" t="str">
        <f t="shared" si="10"/>
        <v>in</v>
      </c>
      <c r="AP65" s="11" t="str">
        <f>IF(AL54="Tube","N/A",IF(AN65="","BLANK",IF(AND(J57="Composite No Opening",AN65&gt;0),"REJECT","EQ")))</f>
        <v>N/A</v>
      </c>
      <c r="AR65" s="12"/>
      <c r="AS65" s="22"/>
      <c r="AT65" s="15"/>
      <c r="AU65" s="15"/>
      <c r="AV65" s="11"/>
      <c r="AW65" s="15" t="s">
        <v>697</v>
      </c>
      <c r="AX65" s="128" t="str">
        <f ca="1">AN60</f>
        <v>Typo</v>
      </c>
      <c r="AY65" s="25" t="str">
        <f t="shared" si="11"/>
        <v>in</v>
      </c>
      <c r="AZ65" s="181" t="str">
        <f>IF(OR(AND(NOT(AD50="Bolted"),NOT(AX41="Bolted")),AL54="Tube"),"N/A","EQ")</f>
        <v>N/A</v>
      </c>
      <c r="BB65" s="236" t="s">
        <v>1024</v>
      </c>
      <c r="BC65" s="25" t="s">
        <v>1025</v>
      </c>
      <c r="BD65" s="24"/>
      <c r="BE65" s="24"/>
      <c r="BF65" s="24"/>
      <c r="BG65" s="24"/>
      <c r="BH65" s="24"/>
      <c r="BI65" s="24"/>
      <c r="BJ65" s="24"/>
      <c r="BL65" s="296" t="str">
        <f>IF(OR(AD74&lt;BR60,BT64="REJECT",BT64="CHECK"),"CHECK Calculation error in forces and acceleration.","EQ")</f>
        <v>EQ</v>
      </c>
      <c r="BM65" s="296"/>
      <c r="BN65" s="296"/>
      <c r="BO65" s="296"/>
      <c r="BP65" s="296"/>
      <c r="BQ65" s="296"/>
      <c r="BR65" s="296"/>
      <c r="BS65" s="296"/>
      <c r="BT65" s="296"/>
      <c r="BX65" s="214" t="e">
        <f t="shared" si="1"/>
        <v>#DIV/0!</v>
      </c>
      <c r="BY65" s="215">
        <f t="shared" si="2"/>
        <v>0</v>
      </c>
      <c r="CD65" s="223"/>
      <c r="CE65" s="225"/>
    </row>
    <row r="66" spans="3:83" ht="15" customHeight="1" x14ac:dyDescent="0.2">
      <c r="D66" s="230"/>
      <c r="F66" s="170"/>
      <c r="G66" s="170"/>
      <c r="H66" s="170" t="s">
        <v>147</v>
      </c>
      <c r="I66" s="26">
        <f>6695*IF($A$25="mm",1/10^12,1/25.4^4)</f>
        <v>1.6084801839143018E-2</v>
      </c>
      <c r="J66" s="26">
        <f>IF(OR(J61="",J62=""),"",IF($A$25="mm",1/10^12,1)*
IF(J60="Round",
MROUND((PI()/4)*((J62/2)^4-((J62-2*MROUND(J61,IF($A$25="mm",J61,1/254)))/2)^4),IF($A$25="mm",1,(1/25.4^4))),
MROUND((J62^4-(J62-2*J61)^4)/12,IF($A$25="mm",1,(1/25.4^4)))))</f>
        <v>1.6084801839143018E-2</v>
      </c>
      <c r="K66" s="185" t="str">
        <f>IF($A$25="mm","m^4","in^4")</f>
        <v>in^4</v>
      </c>
      <c r="L66" s="228" t="str">
        <f>IF(OR(NOT(J57="Tube Diagonal"),L57="N/A"),"N/A",IF(AND(J59="Steel",J66&lt;I66),"REJECT","EQ"))</f>
        <v>EQ</v>
      </c>
      <c r="N66" s="11"/>
      <c r="O66" s="11"/>
      <c r="Q66" s="15"/>
      <c r="R66" s="22"/>
      <c r="S66" s="170" t="s">
        <v>1026</v>
      </c>
      <c r="T66" s="26" t="str">
        <f>IF(T64="","",T64*MAX(ABS(R78-R76),ABS(R78-R77))/T59)</f>
        <v/>
      </c>
      <c r="U66" s="25" t="str">
        <f>IF($A$25="mm","Pa","psi")</f>
        <v>psi</v>
      </c>
      <c r="V66" s="11" t="str">
        <f>IF(OR(NOT(S47="Composite"),T48="120kN Physical Test"),"N/A","EQ")</f>
        <v>N/A</v>
      </c>
      <c r="X66" s="11"/>
      <c r="Y66" s="32"/>
      <c r="Z66" s="20"/>
      <c r="AA66" s="11"/>
      <c r="AB66" s="11"/>
      <c r="AC66" s="11"/>
      <c r="AD66" s="11"/>
      <c r="AE66" s="11"/>
      <c r="AF66" s="11"/>
      <c r="AG66" s="11"/>
      <c r="AH66" s="22"/>
      <c r="AI66" s="15"/>
      <c r="AJ66" s="15"/>
      <c r="AK66" s="15"/>
      <c r="AL66" s="15"/>
      <c r="AM66" s="15" t="s">
        <v>969</v>
      </c>
      <c r="AN66" s="11">
        <f>MIN(AN62-AN64,AN63-AN65)</f>
        <v>0</v>
      </c>
      <c r="AO66" s="25" t="str">
        <f t="shared" si="10"/>
        <v>in</v>
      </c>
      <c r="AP66" s="11" t="str">
        <f>IF(AL54="Tube","N/A","EQ")</f>
        <v>N/A</v>
      </c>
      <c r="AR66" s="12"/>
      <c r="AS66" s="124" t="s">
        <v>1027</v>
      </c>
      <c r="AT66" s="175"/>
      <c r="AU66" s="15"/>
      <c r="AV66" s="11"/>
      <c r="AW66" s="15" t="s">
        <v>1028</v>
      </c>
      <c r="AX66" s="175"/>
      <c r="AY66" s="25" t="str">
        <f t="shared" si="11"/>
        <v>in</v>
      </c>
      <c r="AZ66" s="181" t="str">
        <f>IF(OR(AND(NOT(AD50="Bolted"),NOT(AX41="Bolted")),AL54="Tube"),"N/A",IF(OR(AT66="",AX66=""),"BLANK","EQ"))</f>
        <v>N/A</v>
      </c>
      <c r="BB66" s="125"/>
      <c r="BC66" s="25"/>
      <c r="BD66" s="30"/>
      <c r="BE66" s="30"/>
      <c r="BF66" s="30"/>
      <c r="BG66" s="30"/>
      <c r="BH66" s="30"/>
      <c r="BI66" s="30"/>
      <c r="BJ66" s="30"/>
      <c r="BL66" s="296" t="str">
        <f>IF(AD74&lt;BR60,"CHECK Peak Force &lt;&lt; Peak Deceleration","EQ")</f>
        <v>EQ</v>
      </c>
      <c r="BM66" s="296"/>
      <c r="BN66" s="296"/>
      <c r="BO66" s="296"/>
      <c r="BP66" s="296"/>
      <c r="BQ66" s="296" t="str">
        <f>IF(OR(BT64="REJECT",BT64="CHECK"),"CHECK Average Force &lt;&lt; Energy Required","EQ")</f>
        <v>EQ</v>
      </c>
      <c r="BR66" s="296"/>
      <c r="BS66" s="296"/>
      <c r="BT66" s="296"/>
      <c r="BX66" s="214" t="e">
        <f t="shared" si="1"/>
        <v>#DIV/0!</v>
      </c>
      <c r="BY66" s="215">
        <f t="shared" si="2"/>
        <v>0</v>
      </c>
      <c r="CD66" s="223"/>
      <c r="CE66" s="225"/>
    </row>
    <row r="67" spans="3:83" ht="15" customHeight="1" thickBot="1" x14ac:dyDescent="0.25">
      <c r="D67" s="183" t="s">
        <v>218</v>
      </c>
      <c r="F67" s="170"/>
      <c r="G67" s="170"/>
      <c r="H67" s="170" t="s">
        <v>651</v>
      </c>
      <c r="I67" s="207">
        <f>IF($A$25="mm",200*10^9,29000*10^3)</f>
        <v>29000000</v>
      </c>
      <c r="J67" s="207">
        <f>IF(J59="Steel",$A$3,IF(J59="6061-T6",$B$3,$C$3))</f>
        <v>29000000</v>
      </c>
      <c r="K67" s="185" t="str">
        <f>IF($A$25="mm","Pa","psi")</f>
        <v>psi</v>
      </c>
      <c r="L67" s="228" t="str">
        <f>IF(OR(NOT(J57="Tube Diagonal"),L57="N/A"),"N/A",IF(J67=0,"BLANK","EQ"))</f>
        <v>EQ</v>
      </c>
      <c r="N67" s="11"/>
      <c r="O67" s="11"/>
      <c r="Q67" s="15"/>
      <c r="R67" s="22"/>
      <c r="S67" s="170" t="s">
        <v>1029</v>
      </c>
      <c r="T67" s="26" t="str">
        <f>IF(T65="","",T65*MAX(ABS(R84-R82),ABS(R84-R83))/T60)</f>
        <v/>
      </c>
      <c r="U67" s="25" t="str">
        <f>IF($A$25="mm","Pa","psi")</f>
        <v>psi</v>
      </c>
      <c r="V67" s="11" t="str">
        <f>IF(OR(NOT(S47="Composite"),T48="120kN Physical Test"),"N/A","EQ")</f>
        <v>N/A</v>
      </c>
      <c r="X67" s="295" t="str" cm="1">
        <f t="array" ref="X67">IF(COUNTIF(AF68:AF74,"BLANK"),"BLANK",IF(OR(SUMPRODUCT(--ISERROR(AF68:AF74))&gt;0,COUNTIF(AF68:AF74,"REJECT")),"REJECT",IF(COUNTIF(AF68:AF74,"CHECK"),"CHECK","EQ")))</f>
        <v>EQ</v>
      </c>
      <c r="Y67" s="295"/>
      <c r="Z67" s="295"/>
      <c r="AA67" s="295"/>
      <c r="AB67" s="295"/>
      <c r="AC67" s="295"/>
      <c r="AD67" s="295"/>
      <c r="AE67" s="295"/>
      <c r="AF67" s="295"/>
      <c r="AG67" s="11"/>
      <c r="AH67" s="12" t="s">
        <v>1030</v>
      </c>
      <c r="AI67" s="22"/>
      <c r="AJ67" s="15"/>
      <c r="AK67" s="15"/>
      <c r="AL67" s="15" t="s">
        <v>651</v>
      </c>
      <c r="AM67" s="207">
        <f>IF($A$25="mm",200*10^9,29000*10^3)</f>
        <v>29000000</v>
      </c>
      <c r="AN67" s="26" t="str" cm="1">
        <f t="array" aca="1" ref="AN67" ca="1">IF(ISREF(INDIRECT("'"&amp;AN$56&amp;"'!$AK$82")),INDIRECT("'"&amp;AN$56&amp;"'!$AK$82")*IF($A$25="mm",1,1/6894.76),"Layup")</f>
        <v>Layup</v>
      </c>
      <c r="AO67" s="25" t="str">
        <f>IF($A$25="mm","Pa","psi")</f>
        <v>psi</v>
      </c>
      <c r="AP67" s="11" t="str">
        <f>IF(AL54="Tube","N/A",IF(AN67="Layup","BLANK","EQ"))</f>
        <v>N/A</v>
      </c>
      <c r="AR67" s="12"/>
      <c r="AS67" s="124" t="s">
        <v>1031</v>
      </c>
      <c r="AT67" s="175"/>
      <c r="AU67" s="15"/>
      <c r="AV67" s="11"/>
      <c r="AW67" s="124" t="s">
        <v>1032</v>
      </c>
      <c r="AX67" s="175"/>
      <c r="AY67" s="25" t="str">
        <f t="shared" si="11"/>
        <v>in</v>
      </c>
      <c r="AZ67" s="181" t="str">
        <f>IF(OR(AND(NOT(AD50="Bolted"),NOT(AX41="Bolted")),AL54="Tube"),"N/A",IF(OR(AT67="",AX67=""),"BLANK","EQ"))</f>
        <v>N/A</v>
      </c>
      <c r="BB67" s="257" t="s">
        <v>1033</v>
      </c>
      <c r="BC67" s="125" t="s">
        <v>1034</v>
      </c>
      <c r="BD67" s="30"/>
      <c r="BE67" s="30"/>
      <c r="BF67" s="30"/>
      <c r="BG67" s="30"/>
      <c r="BH67" s="30"/>
      <c r="BI67" s="30"/>
      <c r="BJ67" s="30"/>
      <c r="BL67" s="296" t="str">
        <f>IF(OR(BT64="REJECT",BT64="CHECK"),"CHECK: Make sure to use stepwise integration: force*(disp_2-disp_1)+previous","EQ")</f>
        <v>EQ</v>
      </c>
      <c r="BM67" s="296"/>
      <c r="BN67" s="296"/>
      <c r="BO67" s="296"/>
      <c r="BP67" s="296"/>
      <c r="BQ67" s="296"/>
      <c r="BR67" s="296"/>
      <c r="BS67" s="296"/>
      <c r="BT67" s="296"/>
      <c r="BX67" s="214" t="e">
        <f t="shared" si="1"/>
        <v>#DIV/0!</v>
      </c>
      <c r="BY67" s="215">
        <f t="shared" si="2"/>
        <v>0</v>
      </c>
      <c r="CD67" s="223"/>
      <c r="CE67" s="225"/>
    </row>
    <row r="68" spans="3:83" ht="15" customHeight="1" thickBot="1" x14ac:dyDescent="0.25">
      <c r="D68" s="236" t="s">
        <v>932</v>
      </c>
      <c r="E68" s="12" t="s">
        <v>935</v>
      </c>
      <c r="F68" s="170"/>
      <c r="G68" s="170"/>
      <c r="H68" s="170" t="str">
        <f>IF($J59="Steel",$A$13,IF($J59="6061-T6",$B$13,$C$13))&amp;"(S):"</f>
        <v>Su(S):</v>
      </c>
      <c r="I68" s="207">
        <f>IF($J59="Steel",$A$14,IF($J59="6061-T6",$B$14,$C$14))</f>
        <v>52900</v>
      </c>
      <c r="J68" s="207">
        <f>IF($J59="Steel",$A$15,IF($J59="6061-T6",$B$15,$C$15))</f>
        <v>52900</v>
      </c>
      <c r="K68" s="185" t="str">
        <f>IF($A$25="mm","Pa","psi")</f>
        <v>psi</v>
      </c>
      <c r="L68" s="228" t="str">
        <f>IF(OR(NOT(J57="Tube Diagonal"),L57="N/A"),"N/A",IF(J68=0,"BLANK","EQ"))</f>
        <v>EQ</v>
      </c>
      <c r="N68" s="11"/>
      <c r="O68" s="11"/>
      <c r="Q68" s="15"/>
      <c r="R68" s="22"/>
      <c r="S68" s="170" t="s">
        <v>1035</v>
      </c>
      <c r="T68" s="53" t="str">
        <f ca="1">IF(OR(T66="",T62="Name"),"",T62/MAX(T66:T67))</f>
        <v/>
      </c>
      <c r="V68" s="11" t="str">
        <f>IF(NOT(S47="Composite"),"N/A",IF(T68&gt;=1,"EQ",IF(T68&gt;=0.95,"Check",IF(T48="120kN Physical Test","CHECK","REJECT"))))</f>
        <v>N/A</v>
      </c>
      <c r="X68" s="11"/>
      <c r="Z68" s="32"/>
      <c r="AA68" s="32" t="s">
        <v>1036</v>
      </c>
      <c r="AB68" s="304" t="s">
        <v>1245</v>
      </c>
      <c r="AC68" s="305"/>
      <c r="AD68" s="305"/>
      <c r="AE68" s="306"/>
      <c r="AF68" s="11" t="str">
        <f>IF(AB68="","BLANK",IF(AB68="No Front Wing","N/A","EQ"))</f>
        <v>N/A</v>
      </c>
      <c r="AG68" s="138"/>
      <c r="AH68" s="124"/>
      <c r="AI68" s="22"/>
      <c r="AJ68" s="15"/>
      <c r="AK68" s="15"/>
      <c r="AL68" s="15" t="s">
        <v>1005</v>
      </c>
      <c r="AM68" s="26">
        <f>IF($A$25="mm",365*10^6,52.9*10^3)</f>
        <v>52900</v>
      </c>
      <c r="AN68" s="26" t="str" cm="1">
        <f t="array" aca="1" ref="AN68" ca="1">IF(ISREF(INDIRECT("'"&amp;AN56&amp;"'!$AK$85")),INDIRECT("'"&amp;AN56&amp;"'!$AK$85")*IF($A$25="mm",1,1/6894.76),"Name")</f>
        <v>Name</v>
      </c>
      <c r="AO68" s="25" t="str">
        <f>IF($A$25="mm","Pa","psi")</f>
        <v>psi</v>
      </c>
      <c r="AP68" s="11" t="str">
        <f>IF(AL54="Tube","N/A",IF(AN68="Name","BLANK","EQ"))</f>
        <v>N/A</v>
      </c>
      <c r="AS68" s="22"/>
      <c r="AT68" s="15"/>
      <c r="AU68" s="15"/>
      <c r="AV68" s="26"/>
      <c r="AW68" s="124" t="s">
        <v>1037</v>
      </c>
      <c r="AX68" s="175"/>
      <c r="AY68" s="25" t="str">
        <f t="shared" si="11"/>
        <v>in</v>
      </c>
      <c r="AZ68" s="181" t="str">
        <f>IF(OR(AND(NOT(AD50="Bolted"),NOT(AX41="Bolted")),AL54="Tube"),"N/A",IF(AX68="","BLANK","EQ"))</f>
        <v>N/A</v>
      </c>
      <c r="BB68" s="125" t="s">
        <v>1038</v>
      </c>
      <c r="BC68" s="15"/>
      <c r="BD68" s="30"/>
      <c r="BE68" s="30"/>
      <c r="BF68" s="30"/>
      <c r="BG68" s="30"/>
      <c r="BH68" s="30"/>
      <c r="BI68" s="30"/>
      <c r="BJ68" s="30"/>
      <c r="BL68" s="296" t="str">
        <f>IF(OR(BT64="REJECT",BT64="CHECK"),"CHECK INCORRECT: FInal_force*final_displacement ","EQ")</f>
        <v>EQ</v>
      </c>
      <c r="BM68" s="296"/>
      <c r="BN68" s="296"/>
      <c r="BO68" s="296"/>
      <c r="BP68" s="296"/>
      <c r="BQ68" s="296"/>
      <c r="BR68" s="296"/>
      <c r="BS68" s="296"/>
      <c r="BT68" s="296"/>
      <c r="BX68" s="214" t="e">
        <f t="shared" si="1"/>
        <v>#DIV/0!</v>
      </c>
      <c r="BY68" s="215">
        <f t="shared" si="2"/>
        <v>0</v>
      </c>
      <c r="CD68" s="223"/>
      <c r="CE68" s="225"/>
    </row>
    <row r="69" spans="3:83" ht="15" customHeight="1" x14ac:dyDescent="0.2">
      <c r="D69" s="229" t="s">
        <v>742</v>
      </c>
      <c r="E69" s="229"/>
      <c r="G69" s="230"/>
      <c r="H69" s="230" t="s">
        <v>743</v>
      </c>
      <c r="I69" s="240">
        <f>I67*I66</f>
        <v>466459.25333514751</v>
      </c>
      <c r="J69" s="240">
        <f>IF(OR(S84="Composite",J61="",J62=""),"",J67*J66)</f>
        <v>466459.25333514751</v>
      </c>
      <c r="K69" s="241">
        <f>IF(OR(I69="",J69=""),"",J69/I69)</f>
        <v>1</v>
      </c>
      <c r="L69" s="242" t="str">
        <f>IF(OR(NOT(J57="Tube Diagonal"),L57="N/A"),"N/A",
IF(K69="","EQ",IF(K69&gt;=1,"EQ",IF(K69&gt;=0.95,"CHECK","REJECT"))))</f>
        <v>EQ</v>
      </c>
      <c r="N69" s="11"/>
      <c r="O69" s="11"/>
      <c r="Q69" s="15"/>
      <c r="R69" s="22"/>
      <c r="S69" s="170" t="s">
        <v>1039</v>
      </c>
      <c r="T69" s="26" t="str">
        <f ca="1">IF(R78="","",IF($A$25="mm",1,0.2248)*120000/(2*(T58+T57)*T51*IF($A$25="mm",1/10^6,1)))</f>
        <v/>
      </c>
      <c r="U69" s="25" t="str">
        <f>IF($A$25="mm","Pa","psi")</f>
        <v>psi</v>
      </c>
      <c r="V69" s="11" t="str">
        <f>IF(OR(NOT(S47="Composite"),T48="120kN Physical Test"),"N/A","EQ")</f>
        <v>N/A</v>
      </c>
      <c r="X69" s="15" t="str">
        <f>IF(AB68="Fastener Shear Dialogue","Shear Diameter:","")</f>
        <v/>
      </c>
      <c r="Y69" s="16"/>
      <c r="Z69" s="25" t="str">
        <f>IF(AB68="Fastener Shear Dialogue",IF($A$25="mm","mm","in"),"")</f>
        <v/>
      </c>
      <c r="AB69" s="12"/>
      <c r="AC69" s="15" t="str">
        <f>IF(AB68="Front Wing Physically Tested Without IA","Tested failure force:",
IF(AB68="Fastener Shear Dialogue","Fastener UTS (Screenshot):",
IF(AB68="Wing Support Hand Calc","Failure force for one mount:","")))</f>
        <v/>
      </c>
      <c r="AD69" s="79"/>
      <c r="AE69" s="25" t="str">
        <f>IF(AB68="Fastener Shear Dialogue",IF($A$25="mm","MPa","psi"),IF($A$25="mm","N","lbs"))</f>
        <v>lbs</v>
      </c>
      <c r="AF69" s="11" t="str">
        <f>IF(AC69="","N/A",IF(AD69="","BLANK","EQ"))</f>
        <v>N/A</v>
      </c>
      <c r="AG69" s="138"/>
      <c r="AH69" s="124"/>
      <c r="AI69" s="22"/>
      <c r="AJ69" s="15"/>
      <c r="AK69" s="15"/>
      <c r="AL69" s="15" t="s">
        <v>659</v>
      </c>
      <c r="AM69" s="83">
        <f>0.577*AM68</f>
        <v>30523.3</v>
      </c>
      <c r="AN69" s="26" cm="1">
        <f t="array" aca="1" ref="AN69" ca="1">IF(AN35="Tube",0.577*IF(AN37="Steel",$A$5,IF(AN37="6061-T6",$B$5,$C$5)),
IF(ISREF(INDIRECT("'"&amp;AN56&amp;"'!$AY$62")),INDIRECT("'"&amp;AN56&amp;"'!$AY$62")*IF($A$25="mm",1,1/6894.76),"Typo"))</f>
        <v>30523.3</v>
      </c>
      <c r="AO69" s="25" t="str">
        <f>IF($A$25="mm","Pa","psi")</f>
        <v>psi</v>
      </c>
      <c r="AP69" s="128" t="str">
        <f>IF(AL54="Tube","N/A",IF(AN69="TYpo","BLANK","EQ"))</f>
        <v>N/A</v>
      </c>
      <c r="AR69" s="12"/>
      <c r="AS69" s="22"/>
      <c r="AT69" s="15"/>
      <c r="AU69" s="15"/>
      <c r="AV69" s="26"/>
      <c r="AW69" s="15" t="s">
        <v>1040</v>
      </c>
      <c r="AX69" s="175"/>
      <c r="AY69" s="25" t="str">
        <f t="shared" si="11"/>
        <v>in</v>
      </c>
      <c r="AZ69" s="181" t="str">
        <f>IF(OR(AND(NOT(AD50="Bolted"),NOT(AX41="Bolted")),AL54="Tube"),"N/A",IF(AX69="","BLANK","EQ"))</f>
        <v>N/A</v>
      </c>
      <c r="BB69" s="125" t="s">
        <v>1041</v>
      </c>
      <c r="BC69" s="15"/>
      <c r="BD69" s="30"/>
      <c r="BE69" s="30"/>
      <c r="BF69" s="30"/>
      <c r="BG69" s="30"/>
      <c r="BH69" s="30"/>
      <c r="BI69" s="30"/>
      <c r="BJ69" s="30"/>
      <c r="BL69" s="37"/>
      <c r="BM69" s="37"/>
      <c r="BN69" s="37"/>
      <c r="BO69" s="37"/>
      <c r="BP69" s="37"/>
      <c r="BQ69" s="37"/>
      <c r="BR69" s="37"/>
      <c r="BS69" s="37"/>
      <c r="BT69" s="37"/>
      <c r="BX69" s="214" t="e">
        <f t="shared" si="1"/>
        <v>#DIV/0!</v>
      </c>
      <c r="BY69" s="215">
        <f t="shared" si="2"/>
        <v>0</v>
      </c>
      <c r="CD69" s="223"/>
      <c r="CE69" s="225"/>
    </row>
    <row r="70" spans="3:83" ht="15" customHeight="1" x14ac:dyDescent="0.2">
      <c r="D70" s="236" t="str">
        <f>H68</f>
        <v>Su(S):</v>
      </c>
      <c r="F70" s="230"/>
      <c r="G70" s="230"/>
      <c r="H70" s="230" t="s">
        <v>747</v>
      </c>
      <c r="I70" s="240">
        <f>I68*I65</f>
        <v>7461.5599231198457</v>
      </c>
      <c r="J70" s="240">
        <f>IF(OR(S84="Composite",J61="",J62=""),"",J68*J65)</f>
        <v>7707.5454150908299</v>
      </c>
      <c r="K70" s="241">
        <f t="shared" ref="K70" si="12">IF(OR(I70="",J70=""),"",J70/I70)</f>
        <v>1.0329670329670331</v>
      </c>
      <c r="L70" s="242" t="str">
        <f>IF(OR(NOT(J57="Tube Diagonal"),L57="N/A"),"N/A",
IF(K70="","EQ",IF(K70&gt;=1,"EQ",IF(K70&gt;=0.95,"CHECK","REJECT"))))</f>
        <v>EQ</v>
      </c>
      <c r="N70" s="11"/>
      <c r="O70" s="11"/>
      <c r="Q70" s="15"/>
      <c r="R70" s="22"/>
      <c r="S70" s="170" t="s">
        <v>1042</v>
      </c>
      <c r="T70" s="53" t="str">
        <f ca="1">IF(OR(T63="Typo",T69=""),"",T63/T69)</f>
        <v/>
      </c>
      <c r="V70" s="11" t="str">
        <f>IF(NOT(S47="Composite"),"N/A",IF(T70&gt;=1,"EQ",IF(T70&gt;=0.95,"CHECK",IF(T48="120kN Physical Test","CHECK","REJECT"))))</f>
        <v>N/A</v>
      </c>
      <c r="X70" s="11"/>
      <c r="Y70" s="32"/>
      <c r="Z70" s="32"/>
      <c r="AA70" s="32"/>
      <c r="AB70" s="12"/>
      <c r="AC70" s="15" t="str">
        <f>IF(AB68="Front Wing Physically Tested Without IA","Which column has the front wing force data?",
IF(AB68="Fastener Shear Dialogue","Total number of fasteners:",
IF(AB68="Wing Support Hand Calc","Number of wing to chassis mounts:","")))</f>
        <v/>
      </c>
      <c r="AD70" s="16"/>
      <c r="AE70" s="12"/>
      <c r="AF70" s="11" t="str">
        <f>IF(AC70="","N/A",IF(AD70="","BLANK","EQ"))</f>
        <v>N/A</v>
      </c>
      <c r="AG70" s="138"/>
      <c r="AH70" s="37" t="s">
        <v>1043</v>
      </c>
      <c r="AI70" s="15"/>
      <c r="AJ70" s="15"/>
      <c r="AK70" s="15"/>
      <c r="AL70" s="345" t="str">
        <f>IF($A$25="mm","25mm FBHS Section", "0.984in FBHS Section")</f>
        <v>0.984in FBHS Section</v>
      </c>
      <c r="AM70" s="345"/>
      <c r="AN70" s="346"/>
      <c r="AO70" s="346"/>
      <c r="AP70" s="11" t="str">
        <f>IF(AL54="Tube","N/A","EQ")</f>
        <v>N/A</v>
      </c>
      <c r="AR70" s="15"/>
      <c r="AS70" s="22"/>
      <c r="AT70" s="15"/>
      <c r="AU70" s="15"/>
      <c r="AV70" s="11"/>
      <c r="AW70" s="15" t="s">
        <v>1044</v>
      </c>
      <c r="AX70" s="181">
        <f ca="1">IF(AN69="Typo",0,AN69)</f>
        <v>30523.3</v>
      </c>
      <c r="AY70" s="25" t="str">
        <f>IF($A$25="mm","Pa","psi")</f>
        <v>psi</v>
      </c>
      <c r="AZ70" s="181" t="str">
        <f>IF(OR(AND(NOT(AD50="Bolted"),NOT(AX41="Bolted")),AL54="Tube"),"N/A",IF(AX70=0,"BLANK","EQ"))</f>
        <v>N/A</v>
      </c>
      <c r="BB70" s="125" t="s">
        <v>1045</v>
      </c>
      <c r="BC70" s="25"/>
      <c r="BD70" s="30"/>
      <c r="BE70" s="30"/>
      <c r="BF70" s="30"/>
      <c r="BG70" s="30"/>
      <c r="BH70" s="30"/>
      <c r="BI70" s="30"/>
      <c r="BJ70" s="30"/>
      <c r="BL70" s="369" t="s">
        <v>1046</v>
      </c>
      <c r="BM70" s="369"/>
      <c r="BN70" s="369"/>
      <c r="BO70" s="369"/>
      <c r="BP70" s="369"/>
      <c r="BQ70" s="369"/>
      <c r="BR70" s="369"/>
      <c r="BS70" s="369"/>
      <c r="BT70" s="369"/>
      <c r="BX70" s="214" t="e">
        <f t="shared" si="1"/>
        <v>#DIV/0!</v>
      </c>
      <c r="BY70" s="215">
        <f t="shared" si="2"/>
        <v>0</v>
      </c>
      <c r="CD70" s="223"/>
      <c r="CE70" s="225"/>
    </row>
    <row r="71" spans="3:83" ht="15" customHeight="1" x14ac:dyDescent="0.2">
      <c r="D71" s="236" t="s">
        <v>748</v>
      </c>
      <c r="F71" s="230"/>
      <c r="G71" s="230"/>
      <c r="H71" s="230" t="s">
        <v>749</v>
      </c>
      <c r="I71" s="240">
        <f>4*I68*I66/IF($A$25="mm",0.0127,0.5)</f>
        <v>6807.0881383253254</v>
      </c>
      <c r="J71" s="240">
        <f>IF(OR(S84="Composite",J61="",J62=""),"",4*J68*J66/(J64/2))</f>
        <v>6807.0881383253254</v>
      </c>
      <c r="K71" s="241">
        <f>IF(OR(I71="",J71=""),"",J71/I71)</f>
        <v>1</v>
      </c>
      <c r="L71" s="242" t="str">
        <f>IF(OR(NOT(J57="Tube Diagonal"),L57="N/A"),"N/A",
IF(K71="","EQ",IF(K71&gt;=1,"EQ",IF(K71&gt;=0.95,"CHECK","REJECT"))))</f>
        <v>EQ</v>
      </c>
      <c r="N71" s="11"/>
      <c r="O71" s="12" t="s">
        <v>1047</v>
      </c>
      <c r="P71" s="12"/>
      <c r="Q71" s="12" t="s">
        <v>1048</v>
      </c>
      <c r="R71" s="37"/>
      <c r="S71" s="183" t="s">
        <v>1049</v>
      </c>
      <c r="T71" s="258"/>
      <c r="U71" s="12" t="s">
        <v>1050</v>
      </c>
      <c r="V71" s="11"/>
      <c r="Y71" s="15"/>
      <c r="Z71" s="15"/>
      <c r="AA71" s="15"/>
      <c r="AB71" s="15"/>
      <c r="AC71" s="15" t="str">
        <f>IF(OR(AB68="No Front Wing",AB68="Front Wing Physically Tested With IA"),"",
IF(AB68="Fastener Shear Dialogue","Number_of_fasteners * 0.577 * UTS * pi * OD^2 / 4:","Wing support failure:"))</f>
        <v/>
      </c>
      <c r="AD71" s="29">
        <f>IF(AB68="Front Wing Physically Tested Without IA",AD69,
IF(AB68="Fastener Shear Dialogue",AD70*0.577*AD69*PI()*(Y69^2)/4,
AD69*AD70))</f>
        <v>0</v>
      </c>
      <c r="AE71" s="25" t="str">
        <f>IF($A$25="mm","N","lbs")</f>
        <v>lbs</v>
      </c>
      <c r="AF71" s="11" t="str">
        <f>IF(AF69="N/A","N/A",IF(AD71=0,"BLANK","EQ"))</f>
        <v>N/A</v>
      </c>
      <c r="AG71" s="138"/>
      <c r="AH71" s="22"/>
      <c r="AI71" s="15"/>
      <c r="AJ71" s="15"/>
      <c r="AK71" s="15"/>
      <c r="AL71" s="15"/>
      <c r="AM71" s="124" t="s">
        <v>690</v>
      </c>
      <c r="AN71" s="128" cm="1">
        <f t="array" aca="1" ref="AN71" ca="1">IF(ISREF(INDIRECT("'F.7 Composite Chassis'!$G$65")),INDIRECT("'F.7 Composite Chassis'!$G$65"),0)</f>
        <v>0</v>
      </c>
      <c r="AO71" s="25" t="str">
        <f>IF($A$25="mm","mm","in")</f>
        <v>in</v>
      </c>
      <c r="AP71" s="11" t="str">
        <f>IF(AL54="Tube","N/A","EQ")</f>
        <v>N/A</v>
      </c>
      <c r="AR71" s="37" t="s">
        <v>872</v>
      </c>
      <c r="AS71" s="22"/>
      <c r="AT71" s="15"/>
      <c r="AU71" s="124"/>
      <c r="AV71" s="126"/>
      <c r="AW71" s="124" t="str">
        <f>IF($A$25="mm","Perimeter shear strength &gt;15000N:","Perimeter shear strength &gt;3371lbs:")</f>
        <v>Perimeter shear strength &gt;3371lbs:</v>
      </c>
      <c r="AX71" s="128" t="e">
        <f ca="1">((AX64*AX66/AT66)+(AX65*AX68/AT67))*AX70*IF($A$25="mm",10^-6,1)</f>
        <v>#VALUE!</v>
      </c>
      <c r="AY71" s="25" t="str">
        <f>IF($A$25="mm","N","lbs")</f>
        <v>lbs</v>
      </c>
      <c r="AZ71" s="181" t="str">
        <f>IF(OR(AND(NOT(AD50="Bolted"),NOT(AX41="Bolted")),AL54="Tube"),"N/A",IF(OR(AND($A$25="mm",AX71&gt;=15000),AND($A$25="Inch",AX71&gt;=3371)),"EQ","REJECT"))</f>
        <v>N/A</v>
      </c>
      <c r="BL71" s="369"/>
      <c r="BM71" s="369"/>
      <c r="BN71" s="369"/>
      <c r="BO71" s="369"/>
      <c r="BP71" s="369"/>
      <c r="BQ71" s="369"/>
      <c r="BR71" s="369"/>
      <c r="BS71" s="369"/>
      <c r="BT71" s="369"/>
      <c r="BX71" s="214" t="e">
        <f t="shared" si="1"/>
        <v>#DIV/0!</v>
      </c>
      <c r="BY71" s="215">
        <f t="shared" si="2"/>
        <v>0</v>
      </c>
      <c r="CD71" s="223"/>
      <c r="CE71" s="225"/>
    </row>
    <row r="72" spans="3:83" ht="15" customHeight="1" x14ac:dyDescent="0.2">
      <c r="D72" s="183" t="s">
        <v>753</v>
      </c>
      <c r="F72" s="170"/>
      <c r="G72" s="170"/>
      <c r="H72" s="170" t="s">
        <v>754</v>
      </c>
      <c r="I72" s="240">
        <f>I71/(48*I67*I66)</f>
        <v>3.0402298850574713E-4</v>
      </c>
      <c r="J72" s="240">
        <f>IF(J71="","",I71/(48*(J67*J66)))</f>
        <v>3.0402298850574718E-4</v>
      </c>
      <c r="K72" s="241">
        <f>IF(OR(I72="",J72=""),"",J72/I72)</f>
        <v>1.0000000000000002</v>
      </c>
      <c r="L72" s="242" t="str">
        <f>IF(OR(NOT(J57="Tube Diagonal"),L57="N/A"),"N/A",
IF(K72="","EQ",IF(K72&lt;=1,"EQ",IF(K72&lt;=1.05,"CHECK","REJECT"))))</f>
        <v>EQ</v>
      </c>
      <c r="N72" s="11"/>
      <c r="O72" s="11">
        <f>T54-T56-T57</f>
        <v>-3.94</v>
      </c>
      <c r="P72" s="25" t="str">
        <f>IF($A$25="mm","mm","in")</f>
        <v>in</v>
      </c>
      <c r="Q72" s="11">
        <f>T54-T56</f>
        <v>0</v>
      </c>
      <c r="R72" s="25" t="str">
        <f>IF($A$25="mm","mm","in")</f>
        <v>in</v>
      </c>
      <c r="S72" s="11">
        <f>(T55-T58)/2</f>
        <v>-3.9350000000000001</v>
      </c>
      <c r="T72" s="25" t="str">
        <f>IF($A$25="mm","mm","in")</f>
        <v>in</v>
      </c>
      <c r="U72" s="11">
        <f>S72+T58</f>
        <v>3.9350000000000001</v>
      </c>
      <c r="V72" s="25" t="str">
        <f>IF($A$25="mm","mm","in")</f>
        <v>in</v>
      </c>
      <c r="X72" s="12"/>
      <c r="Y72" s="15"/>
      <c r="Z72" s="15"/>
      <c r="AA72" s="15"/>
      <c r="AB72" s="15"/>
      <c r="AC72" s="15" t="s">
        <v>1051</v>
      </c>
      <c r="AD72" s="11">
        <f>IF(LEFT(H48,8)="Standard",IF($A$25="mm",1,2.20462/9.81)*IF(H48="Standard Honeycomb",60000,95000),BR59)</f>
        <v>13483.914373088683</v>
      </c>
      <c r="AE72" s="25" t="str">
        <f>IF($A$25="mm","N","lbs")</f>
        <v>lbs</v>
      </c>
      <c r="AF72" s="11" t="s">
        <v>56</v>
      </c>
      <c r="AG72" s="231"/>
      <c r="AH72" s="22"/>
      <c r="AI72" s="15"/>
      <c r="AJ72" s="15"/>
      <c r="AK72" s="15"/>
      <c r="AL72" s="15"/>
      <c r="AM72" s="15" t="s">
        <v>695</v>
      </c>
      <c r="AN72" s="11" cm="1">
        <f t="array" aca="1" ref="AN72" ca="1">IF(ISREF(INDIRECT("'F.7 Composite Chassis'!$G$66")),INDIRECT("'F.7 Composite Chassis'!$G$66"),0)</f>
        <v>0</v>
      </c>
      <c r="AO72" s="25" t="str">
        <f>IF($A$25="mm","mm","in")</f>
        <v>in</v>
      </c>
      <c r="AP72" s="11" t="str">
        <f>IF(AL54="Tube","N/A","EQ")</f>
        <v>N/A</v>
      </c>
      <c r="AR72" s="12"/>
      <c r="AS72" s="22"/>
      <c r="AT72" s="124"/>
      <c r="AU72" s="124"/>
      <c r="AV72" s="126"/>
      <c r="AW72" s="124" t="str">
        <f>IF($A$25="mm","Tearout strength &gt;15000N:","Tearout shear strength &gt;3371lbs:")</f>
        <v>Tearout shear strength &gt;3371lbs:</v>
      </c>
      <c r="AX72" s="181" t="e">
        <f ca="1">AX70*2*AX69*(AX64+AX65)*IF($A$25="mm",10^-6,1)</f>
        <v>#VALUE!</v>
      </c>
      <c r="AY72" s="25" t="str">
        <f>IF($A$25="mm","N","lbs")</f>
        <v>lbs</v>
      </c>
      <c r="AZ72" s="181" t="str">
        <f>IF(OR(AND(NOT(AD50="Bolted"),NOT(AX41="Bolted")),AL54="Tube"),"N/A",IF(OR(AND($A$25="mm",AX72&gt;=15000),AND($A$25="Inch",AX72&gt;=3371)),"EQ","REJECT"))</f>
        <v>N/A</v>
      </c>
      <c r="BL72" s="234"/>
      <c r="BM72" s="234"/>
      <c r="BN72" s="234"/>
      <c r="BO72" s="234"/>
      <c r="BP72" s="234"/>
      <c r="BQ72" s="234"/>
      <c r="BR72" s="234"/>
      <c r="BS72" s="234"/>
      <c r="BT72" s="234"/>
      <c r="BX72" s="214" t="e">
        <f t="shared" si="1"/>
        <v>#DIV/0!</v>
      </c>
      <c r="BY72" s="215">
        <f t="shared" si="2"/>
        <v>0</v>
      </c>
      <c r="CD72" s="223"/>
      <c r="CE72" s="225"/>
    </row>
    <row r="73" spans="3:83" ht="15" customHeight="1" x14ac:dyDescent="0.2">
      <c r="D73" s="183" t="s">
        <v>756</v>
      </c>
      <c r="F73" s="170"/>
      <c r="G73" s="170"/>
      <c r="H73" s="170" t="s">
        <v>757</v>
      </c>
      <c r="I73" s="240">
        <f>0.5*I71^2/(48*I67*I66)</f>
        <v>1.0347556394178441</v>
      </c>
      <c r="J73" s="240">
        <f>IF(J71="","",0.5*J71^2/(48*(J67*J66)))</f>
        <v>1.0347556394178441</v>
      </c>
      <c r="K73" s="241">
        <f t="shared" ref="K73" si="13">IF(OR(I73="",J73=""),"",J73/I73)</f>
        <v>1</v>
      </c>
      <c r="L73" s="242" t="str">
        <f>IF(OR(NOT(J57="Tube Diagonal"),L57="N/A"),"N/A",IF(K73="","EQ",IF(K73&gt;=1,"EQ",IF(K73&gt;=0.95,"CHECK","REJECT"))))</f>
        <v>EQ</v>
      </c>
      <c r="N73" s="337" t="s">
        <v>1052</v>
      </c>
      <c r="O73" s="337"/>
      <c r="P73" s="337"/>
      <c r="Q73" s="338" t="s">
        <v>1052</v>
      </c>
      <c r="R73" s="337"/>
      <c r="S73" s="339"/>
      <c r="T73" s="338" t="s">
        <v>1052</v>
      </c>
      <c r="U73" s="337"/>
      <c r="V73" s="339"/>
      <c r="X73" s="12" t="s">
        <v>1053</v>
      </c>
      <c r="Y73" s="15"/>
      <c r="Z73" s="15"/>
      <c r="AA73" s="15"/>
      <c r="AB73" s="15"/>
      <c r="AC73" s="15" t="str">
        <f>IF($A$25="mm","Peak deceleration force &lt;= 120000N","Peak deceleration force &lt;= 26968lbs")</f>
        <v>Peak deceleration force &lt;= 26968lbs</v>
      </c>
      <c r="AD73" s="11">
        <f>AD71+AD72</f>
        <v>13483.914373088683</v>
      </c>
      <c r="AE73" s="25" t="str">
        <f>IF($A$25="mm","N","lbs")</f>
        <v>lbs</v>
      </c>
      <c r="AF73" s="11" t="str">
        <f>IF(OR(AND($A$25="mm",AD73&gt;120000),AND($A$25="Inch",AD73&gt;120000*2.20462/9.81)),"REJECT","EQ")</f>
        <v>EQ</v>
      </c>
      <c r="AG73" s="231"/>
      <c r="AH73" s="22"/>
      <c r="AI73" s="15"/>
      <c r="AJ73" s="15"/>
      <c r="AK73" s="15"/>
      <c r="AL73" s="15"/>
      <c r="AM73" s="15" t="s">
        <v>697</v>
      </c>
      <c r="AN73" s="11" cm="1">
        <f t="array" aca="1" ref="AN73" ca="1">IF(ISREF(INDIRECT("'F.7 Composite Chassis'!$G$67")),INDIRECT("'F.7 Composite Chassis'!$G$67"),0)</f>
        <v>0</v>
      </c>
      <c r="AO73" s="25" t="str">
        <f>IF($A$25="mm","mm","in")</f>
        <v>in</v>
      </c>
      <c r="AP73" s="11" t="str">
        <f>IF(AL54="Tube","N/A","EQ")</f>
        <v>N/A</v>
      </c>
      <c r="AR73" s="12"/>
      <c r="AS73" s="22"/>
      <c r="AT73" s="124"/>
      <c r="AU73" s="124"/>
      <c r="AV73" s="37" t="str">
        <f>IF(AND(AX60="Quick Release",NOT(AZ60="N/A")),"Shear Calculation for Positive Locking required below.","")</f>
        <v/>
      </c>
      <c r="AW73" s="124"/>
      <c r="AX73" s="181"/>
      <c r="AZ73" s="181"/>
      <c r="BL73" s="25" t="s">
        <v>1054</v>
      </c>
      <c r="BM73" s="11"/>
      <c r="BO73" s="259"/>
      <c r="BP73" s="181"/>
      <c r="BR73" s="259"/>
      <c r="BS73" s="181"/>
      <c r="BX73" s="214" t="e">
        <f t="shared" si="1"/>
        <v>#DIV/0!</v>
      </c>
      <c r="BY73" s="215">
        <f t="shared" si="2"/>
        <v>0</v>
      </c>
      <c r="CD73" s="223"/>
      <c r="CE73" s="225"/>
    </row>
    <row r="74" spans="3:83" ht="15" customHeight="1" x14ac:dyDescent="0.2">
      <c r="N74" s="11" t="s">
        <v>701</v>
      </c>
      <c r="O74" s="11">
        <f>IF($A$25="mm",T54/1000,T54)</f>
        <v>0</v>
      </c>
      <c r="P74" s="25" t="str">
        <f>IF($A$25="mm","m","in")</f>
        <v>in</v>
      </c>
      <c r="Q74" s="180" t="s">
        <v>702</v>
      </c>
      <c r="R74" s="181" t="e">
        <f ca="1">O74*O75</f>
        <v>#VALUE!</v>
      </c>
      <c r="S74" s="50" t="str">
        <f>IF($A$25="mm","m^2","in^2")</f>
        <v>in^2</v>
      </c>
      <c r="T74" s="180" t="s">
        <v>703</v>
      </c>
      <c r="U74" s="181" t="e">
        <f ca="1">(O74*O75^3)/12</f>
        <v>#VALUE!</v>
      </c>
      <c r="V74" s="50" t="str">
        <f>IF($A$25="mm","m^4","in^4")</f>
        <v>in^4</v>
      </c>
      <c r="X74" s="12"/>
      <c r="Y74" s="12"/>
      <c r="Z74" s="12"/>
      <c r="AA74" s="12"/>
      <c r="AB74" s="12"/>
      <c r="AC74" s="15" t="s">
        <v>1055</v>
      </c>
      <c r="AD74" s="28">
        <f>IF($A$25="mm",AD73/(9.81*300),AD73*(9.81/2.2046)/(9.81*300))</f>
        <v>20.387544789816264</v>
      </c>
      <c r="AE74" s="25" t="s">
        <v>658</v>
      </c>
      <c r="AF74" s="11" t="str">
        <f>IF(OR(H48="Standard Foam",H48="Standard Honeycomb"),
IF(AD74&gt;120000/(9.81*300),"REJECT","EQ"),
IF(AD74&lt;BR60,"CHECK","EQ"))</f>
        <v>EQ</v>
      </c>
      <c r="AG74" s="232"/>
      <c r="AH74" s="22"/>
      <c r="AI74" s="15"/>
      <c r="AJ74" s="15"/>
      <c r="AK74" s="15"/>
      <c r="AL74" s="15"/>
      <c r="AM74" s="15" t="s">
        <v>964</v>
      </c>
      <c r="AN74" s="128">
        <f ca="1">AN71+AN73+AN72</f>
        <v>0</v>
      </c>
      <c r="AO74" s="25" t="str">
        <f>IF($A$25="mm","mm","in")</f>
        <v>in</v>
      </c>
      <c r="AP74" s="11" t="str">
        <f>IF(AL54="Tube","N/A","EQ")</f>
        <v>N/A</v>
      </c>
      <c r="AR74" s="295" t="str" cm="1">
        <f t="array" ref="AR74">IF(COUNTIF(AZ75:AZ81,"BLANK"),"BLANK",IF(OR(SUMPRODUCT(--ISERROR(AZ75:AZ81))&gt;0,COUNTIF(AZ75:AZ81,"REJECT")),"REJECT",IF(COUNTIF(AZ75:AZ81,"CHECK"),"CHECK","EQ")))</f>
        <v>EQ</v>
      </c>
      <c r="AS74" s="295"/>
      <c r="AT74" s="295"/>
      <c r="AU74" s="295"/>
      <c r="AV74" s="295"/>
      <c r="AW74" s="295"/>
      <c r="AX74" s="295"/>
      <c r="AY74" s="295"/>
      <c r="AZ74" s="295"/>
      <c r="BL74" s="22" t="s">
        <v>1056</v>
      </c>
      <c r="BM74" s="11"/>
      <c r="BO74" s="259"/>
      <c r="BP74" s="181"/>
      <c r="BR74" s="259"/>
      <c r="BS74" s="181"/>
      <c r="BX74" s="214" t="e">
        <f t="shared" si="1"/>
        <v>#DIV/0!</v>
      </c>
      <c r="BY74" s="215">
        <f t="shared" si="2"/>
        <v>0</v>
      </c>
      <c r="CD74" s="223"/>
      <c r="CE74" s="225"/>
    </row>
    <row r="75" spans="3:83" ht="15" customHeight="1" thickBot="1" x14ac:dyDescent="0.25">
      <c r="C75" s="22"/>
      <c r="D75" s="35" t="s">
        <v>1057</v>
      </c>
      <c r="E75" s="25" t="s">
        <v>1058</v>
      </c>
      <c r="N75" s="22" t="s">
        <v>706</v>
      </c>
      <c r="O75" s="11" t="str">
        <f ca="1">IF($A$25="mm",T51/1000,T51)</f>
        <v>Layup</v>
      </c>
      <c r="P75" s="25" t="str">
        <f>IF($A$25="mm","m","in")</f>
        <v>in</v>
      </c>
      <c r="Q75" s="180" t="s">
        <v>707</v>
      </c>
      <c r="R75" s="181" t="e">
        <f ca="1">O77*O78</f>
        <v>#VALUE!</v>
      </c>
      <c r="S75" s="50" t="str">
        <f>IF($A$25="mm","m^2","in^2")</f>
        <v>in^2</v>
      </c>
      <c r="T75" s="180" t="s">
        <v>708</v>
      </c>
      <c r="U75" s="181" t="e">
        <f ca="1">(O77*O78^3)/12</f>
        <v>#VALUE!</v>
      </c>
      <c r="V75" s="50" t="str">
        <f>IF($A$25="mm","m^4","in^4")</f>
        <v>in^4</v>
      </c>
      <c r="AG75" s="232"/>
      <c r="AH75" s="12" t="s">
        <v>1030</v>
      </c>
      <c r="AI75" s="22"/>
      <c r="AJ75" s="15"/>
      <c r="AK75" s="15"/>
      <c r="AL75" s="15" t="s">
        <v>651</v>
      </c>
      <c r="AM75" s="207">
        <f>IF($A$25="mm",200*10^9,29000*10^3)</f>
        <v>29000000</v>
      </c>
      <c r="AN75" s="26" cm="1">
        <f t="array" aca="1" ref="AN75" ca="1">IF(ISREF(INDIRECT("'F.7 Composite Chassis'!$F$81")),IF(ISERROR(INDIRECT("'F.7 Composite Chassis'!$F$81")),0,INDIRECT("'F.7 Composite Chassis'!$F$81")),0)</f>
        <v>0</v>
      </c>
      <c r="AO75" s="25" t="str">
        <f>IF($A$25="mm","Pa","psi")</f>
        <v>psi</v>
      </c>
      <c r="AP75" s="11" t="str">
        <f>IF(AL54="Tube","N/A","EQ")</f>
        <v>N/A</v>
      </c>
      <c r="AR75" s="11"/>
      <c r="AS75" s="11"/>
      <c r="AT75" s="11"/>
      <c r="AU75" s="11"/>
      <c r="AV75" s="12" t="s">
        <v>1059</v>
      </c>
      <c r="AX75" s="12"/>
      <c r="AY75" s="12"/>
      <c r="AZ75" s="11" t="str">
        <f>IF(NOT($AX$41="Bonded"),"N/A","EQ")</f>
        <v>N/A</v>
      </c>
      <c r="BL75" s="22"/>
      <c r="BM75" s="11"/>
      <c r="BO75" s="259"/>
      <c r="BP75" s="128"/>
      <c r="BR75" s="259"/>
      <c r="BS75" s="181"/>
      <c r="BX75" s="214" t="e">
        <f t="shared" si="1"/>
        <v>#DIV/0!</v>
      </c>
      <c r="BY75" s="215">
        <f t="shared" si="2"/>
        <v>0</v>
      </c>
      <c r="CD75" s="223"/>
      <c r="CE75" s="225"/>
    </row>
    <row r="76" spans="3:83" ht="15" customHeight="1" thickBot="1" x14ac:dyDescent="0.25">
      <c r="C76" s="22"/>
      <c r="D76" s="35" t="s">
        <v>1057</v>
      </c>
      <c r="E76" s="25" t="s">
        <v>1060</v>
      </c>
      <c r="N76" s="22" t="s">
        <v>711</v>
      </c>
      <c r="O76" s="11" t="e">
        <f ca="1">IF($A$25="mm",T53/1000,T53)</f>
        <v>#VALUE!</v>
      </c>
      <c r="P76" s="25" t="str">
        <f>IF($A$25="mm","m","in")</f>
        <v>in</v>
      </c>
      <c r="Q76" s="180" t="s">
        <v>712</v>
      </c>
      <c r="R76" s="128" t="e">
        <f ca="1">O75/2</f>
        <v>#VALUE!</v>
      </c>
      <c r="S76" s="50" t="str">
        <f>IF($A$25="mm","m","in")</f>
        <v>in</v>
      </c>
      <c r="T76" s="180" t="s">
        <v>713</v>
      </c>
      <c r="U76" s="181" t="str">
        <f ca="1">IF(R78="","",U74+(R74*(R78-R76)^2))</f>
        <v/>
      </c>
      <c r="V76" s="50" t="str">
        <f>IF($A$25="mm","m^4","in^4")</f>
        <v>in^4</v>
      </c>
      <c r="X76" s="42"/>
      <c r="Y76" s="42"/>
      <c r="Z76" s="42"/>
      <c r="AA76" s="42"/>
      <c r="AB76" s="42"/>
      <c r="AC76" s="42"/>
      <c r="AD76" s="42"/>
      <c r="AE76" s="42"/>
      <c r="AF76" s="42"/>
      <c r="AG76" s="44"/>
      <c r="AH76" s="124"/>
      <c r="AI76" s="22"/>
      <c r="AJ76" s="15"/>
      <c r="AK76" s="15"/>
      <c r="AL76" s="15" t="s">
        <v>1005</v>
      </c>
      <c r="AM76" s="26">
        <f>IF($A$25="mm",365*10^6,52.9*10^3)</f>
        <v>52900</v>
      </c>
      <c r="AN76" s="26" cm="1">
        <f t="array" aca="1" ref="AN76" ca="1">IF(ISREF(INDIRECT("'F.7 Composite Chassis'!$F$82")),IF(ISERROR(INDIRECT("'F.7 Composite Chassis'!$F$82")),0,INDIRECT("'F.7 Composite Chassis'!$F$82")),0)</f>
        <v>0</v>
      </c>
      <c r="AO76" s="25" t="str">
        <f>IF($A$25="mm","Pa","psi")</f>
        <v>psi</v>
      </c>
      <c r="AP76" s="11" t="str">
        <f>IF(AL54="Tube","N/A","EQ")</f>
        <v>N/A</v>
      </c>
      <c r="AR76" s="12" t="s">
        <v>880</v>
      </c>
      <c r="AT76" s="15"/>
      <c r="AU76" s="15"/>
      <c r="AV76" s="15"/>
      <c r="AW76" s="15" t="s">
        <v>1061</v>
      </c>
      <c r="AX76" s="80"/>
      <c r="AZ76" s="11" t="str">
        <f>IF(NOT($AX$41="Bonded"),"N/A",IF(AX76="Yes","REJECT","EQ"))</f>
        <v>N/A</v>
      </c>
      <c r="BL76" s="295" t="str" cm="1">
        <f t="array" ref="BL76">IF(COUNTIF(BT77:BT83,"BLANK"),"BLANK",IF(OR(SUMPRODUCT(--ISERROR(BT77:BT83))&gt;0,COUNTIF(BT77:BT83,"REJECT")),"REJECT",IF(COUNTIF(BT77:BT83,"CHECK"),"CHECK","EQ")))</f>
        <v>EQ</v>
      </c>
      <c r="BM76" s="295"/>
      <c r="BN76" s="295"/>
      <c r="BO76" s="295"/>
      <c r="BP76" s="295"/>
      <c r="BQ76" s="295"/>
      <c r="BR76" s="295"/>
      <c r="BS76" s="295"/>
      <c r="BT76" s="295"/>
      <c r="BX76" s="214" t="e">
        <f t="shared" si="1"/>
        <v>#DIV/0!</v>
      </c>
      <c r="BY76" s="215">
        <f t="shared" si="2"/>
        <v>0</v>
      </c>
      <c r="CD76" s="223"/>
      <c r="CE76" s="225"/>
    </row>
    <row r="77" spans="3:83" ht="15" customHeight="1" thickBot="1" x14ac:dyDescent="0.25">
      <c r="C77" s="22"/>
      <c r="D77" s="35"/>
      <c r="E77" s="25" t="s">
        <v>1062</v>
      </c>
      <c r="N77" s="11" t="s">
        <v>717</v>
      </c>
      <c r="O77" s="11">
        <f>IF($A$25="mm",T54/1000,T54)</f>
        <v>0</v>
      </c>
      <c r="P77" s="25" t="str">
        <f>IF($A$25="mm","m","in")</f>
        <v>in</v>
      </c>
      <c r="Q77" s="180" t="s">
        <v>718</v>
      </c>
      <c r="R77" s="128" t="e">
        <f ca="1">(O76-0.5*O78)</f>
        <v>#VALUE!</v>
      </c>
      <c r="S77" s="50" t="str">
        <f>IF($A$25="mm","m","in")</f>
        <v>in</v>
      </c>
      <c r="T77" s="180" t="s">
        <v>719</v>
      </c>
      <c r="U77" s="181" t="str">
        <f ca="1">IF(R78="","",U75+(R75*(R78-R77)^2))</f>
        <v/>
      </c>
      <c r="V77" s="50" t="str">
        <f>IF($A$25="mm","m^4","in^4")</f>
        <v>in^4</v>
      </c>
      <c r="X77" s="42"/>
      <c r="Y77" s="42"/>
      <c r="Z77" s="42"/>
      <c r="AA77" s="42"/>
      <c r="AB77" s="42"/>
      <c r="AC77" s="42"/>
      <c r="AD77" s="42"/>
      <c r="AE77" s="42"/>
      <c r="AF77" s="42"/>
      <c r="AG77" s="44"/>
      <c r="AH77" s="124"/>
      <c r="AI77" s="22"/>
      <c r="AJ77" s="15"/>
      <c r="AK77" s="15"/>
      <c r="AL77" s="15" t="s">
        <v>659</v>
      </c>
      <c r="AM77" s="83">
        <f>0.577*AM76</f>
        <v>30523.3</v>
      </c>
      <c r="AN77" s="26" cm="1">
        <f t="array" aca="1" ref="AN77" ca="1">IF(ISREF(INDIRECT("'F.7 Composite Chassis'!$F$83")),IF(ISERROR(INDIRECT("'F.7 Composite Chassis'!$F$83")),0,INDIRECT("'F.7 Composite Chassis'!$F$83")),0)</f>
        <v>0</v>
      </c>
      <c r="AO77" s="25" t="str">
        <f>IF($A$25="mm","Pa","psi")</f>
        <v>psi</v>
      </c>
      <c r="AP77" s="128" t="str">
        <f>IF(AL54="Tube","N/A","EQ")</f>
        <v>N/A</v>
      </c>
      <c r="AR77" s="12"/>
      <c r="AS77" s="11"/>
      <c r="AT77" s="11"/>
      <c r="AU77" s="11"/>
      <c r="AV77" s="11"/>
      <c r="AW77" s="15" t="s">
        <v>1063</v>
      </c>
      <c r="AX77" s="364"/>
      <c r="AY77" s="319"/>
      <c r="AZ77" s="11" t="str">
        <f>IF(NOT($AX$41="Bonded"),"N/A","EQ")</f>
        <v>N/A</v>
      </c>
      <c r="BC77" s="15"/>
      <c r="BD77" s="15"/>
      <c r="BE77" s="15"/>
      <c r="BF77" s="15"/>
      <c r="BG77" s="11"/>
      <c r="BH77" s="11"/>
      <c r="BJ77" s="11"/>
      <c r="BL77" s="54"/>
      <c r="BN77" s="32"/>
      <c r="BO77" s="15" t="s">
        <v>913</v>
      </c>
      <c r="BP77" s="304"/>
      <c r="BQ77" s="305"/>
      <c r="BR77" s="305"/>
      <c r="BS77" s="306"/>
      <c r="BT77" s="11" t="str">
        <f>IF(OR(NOT(T37="Composite"),NOT(T48="120kN Physical Test")),"N/A",
IF(BP77="","BLANK","EQ"))</f>
        <v>N/A</v>
      </c>
      <c r="BX77" s="214" t="e">
        <f t="shared" ref="BX77:BX140" si="14">BY77/BV77</f>
        <v>#DIV/0!</v>
      </c>
      <c r="BY77" s="215">
        <f t="shared" si="2"/>
        <v>0</v>
      </c>
      <c r="CD77" s="223"/>
      <c r="CE77" s="225"/>
    </row>
    <row r="78" spans="3:83" ht="15" customHeight="1" x14ac:dyDescent="0.2">
      <c r="C78" s="22"/>
      <c r="D78" s="35"/>
      <c r="E78" s="25" t="s">
        <v>1064</v>
      </c>
      <c r="N78" s="11" t="s">
        <v>723</v>
      </c>
      <c r="O78" s="11" t="str">
        <f ca="1">IF($A$25="mm",T52/1000,T52)</f>
        <v>Typo</v>
      </c>
      <c r="P78" s="25" t="str">
        <f>IF($A$25="mm","m","in")</f>
        <v>in</v>
      </c>
      <c r="Q78" s="180" t="s">
        <v>724</v>
      </c>
      <c r="R78" s="128" t="str">
        <f ca="1">IF(OR(T54="",T51="",T52=""),"",(R74*R76+R75*R77)/(R74+R75))</f>
        <v/>
      </c>
      <c r="S78" s="50" t="str">
        <f>IF($A$25="mm","m","in")</f>
        <v>in</v>
      </c>
      <c r="T78" s="180" t="s">
        <v>725</v>
      </c>
      <c r="U78" s="181" t="str">
        <f ca="1">IF(R78="","",U76+U77)</f>
        <v/>
      </c>
      <c r="V78" s="50" t="str">
        <f>IF($A$25="mm","m^4","in^4")</f>
        <v>in^4</v>
      </c>
      <c r="X78" s="42"/>
      <c r="Y78" s="42"/>
      <c r="Z78" s="42"/>
      <c r="AA78" s="42"/>
      <c r="AB78" s="42"/>
      <c r="AC78" s="42"/>
      <c r="AD78" s="42"/>
      <c r="AE78" s="42"/>
      <c r="AF78" s="42"/>
      <c r="AG78" s="44"/>
      <c r="AH78" s="11"/>
      <c r="AI78" s="11"/>
      <c r="AK78" s="183"/>
      <c r="AL78" s="187"/>
      <c r="AM78" s="260" t="str">
        <f>CONCATENATE((AL55+AO55)," x Steel Tube")</f>
        <v>0 x Steel Tube</v>
      </c>
      <c r="AN78" s="37" t="s">
        <v>1065</v>
      </c>
      <c r="AO78" s="12"/>
      <c r="AP78" s="11" t="str">
        <f>IF(AL54="Tube","N/A","EQ")</f>
        <v>N/A</v>
      </c>
      <c r="AR78" s="15"/>
      <c r="AS78" s="124"/>
      <c r="AT78" s="124"/>
      <c r="AU78" s="124"/>
      <c r="AV78" s="124"/>
      <c r="AW78" s="188" t="s">
        <v>1066</v>
      </c>
      <c r="AX78" s="175"/>
      <c r="AY78" s="25" t="str">
        <f>IF($A$25="mm","N/mm^2","psi")</f>
        <v>psi</v>
      </c>
      <c r="AZ78" s="128" t="str">
        <f>IF(NOT($AX$41="Bonded"),"N/A",IF(AX78="","BLANK","EQ"))</f>
        <v>N/A</v>
      </c>
      <c r="BB78" s="11"/>
      <c r="BC78" s="11"/>
      <c r="BE78" s="259"/>
      <c r="BF78" s="181"/>
      <c r="BH78" s="259"/>
      <c r="BI78" s="181"/>
      <c r="BM78" s="32"/>
      <c r="BN78" s="32"/>
      <c r="BO78" s="15" t="s">
        <v>916</v>
      </c>
      <c r="BP78" s="366"/>
      <c r="BQ78" s="367"/>
      <c r="BR78" s="367"/>
      <c r="BS78" s="368"/>
      <c r="BT78" s="11" t="str">
        <f>IF(OR(NOT(T37="Composite"),NOT(T48="120kN Physical Test")),"N/A",IF(BP78="","BLANK","EQ"))</f>
        <v>N/A</v>
      </c>
      <c r="BX78" s="214" t="e">
        <f t="shared" si="14"/>
        <v>#DIV/0!</v>
      </c>
      <c r="BY78" s="215">
        <f t="shared" ref="BY78:BY141" si="15">BY77+BW78*(BV78-BV77)</f>
        <v>0</v>
      </c>
      <c r="CD78" s="223"/>
      <c r="CE78" s="225"/>
    </row>
    <row r="79" spans="3:83" ht="15" customHeight="1" x14ac:dyDescent="0.2">
      <c r="C79" s="22"/>
      <c r="D79" s="35"/>
      <c r="E79" s="25" t="s">
        <v>1067</v>
      </c>
      <c r="N79" s="337" t="s">
        <v>1068</v>
      </c>
      <c r="O79" s="337"/>
      <c r="P79" s="337"/>
      <c r="Q79" s="338" t="s">
        <v>1068</v>
      </c>
      <c r="R79" s="337"/>
      <c r="S79" s="339"/>
      <c r="T79" s="338" t="s">
        <v>1068</v>
      </c>
      <c r="U79" s="337"/>
      <c r="V79" s="339"/>
      <c r="X79" s="42"/>
      <c r="Y79" s="42"/>
      <c r="Z79" s="42"/>
      <c r="AA79" s="42"/>
      <c r="AB79" s="42"/>
      <c r="AC79" s="42"/>
      <c r="AD79" s="42"/>
      <c r="AE79" s="42"/>
      <c r="AF79" s="42"/>
      <c r="AG79" s="11"/>
      <c r="AH79" s="12" t="s">
        <v>214</v>
      </c>
      <c r="AI79" s="22"/>
      <c r="AL79" s="15" t="s">
        <v>1069</v>
      </c>
      <c r="AM79" s="11">
        <f>IF(AL55&gt;0,IF($A$25="mm",1.6/1000,0.063),IF($A$25="mm",1.2/1000,0.047))</f>
        <v>4.7E-2</v>
      </c>
      <c r="AN79" s="11">
        <f>IF(AN35="Tube",2*AN39,
MIN(AN59,AN60)*IF($A$25="mm",0.001,1))</f>
        <v>9.8000000000000004E-2</v>
      </c>
      <c r="AO79" s="25" t="str">
        <f>IF($A$25="mm","m","in")</f>
        <v>in</v>
      </c>
      <c r="AP79" s="11" t="str">
        <f>IF(AL54="Tube","N/A","EQ")</f>
        <v>N/A</v>
      </c>
      <c r="AR79" s="12" t="str">
        <f>IF($AD$50="Bonded","F.5.5.3","")</f>
        <v>F.5.5.3</v>
      </c>
      <c r="AS79" s="47"/>
      <c r="AT79" s="124"/>
      <c r="AU79" s="124"/>
      <c r="AV79" s="124"/>
      <c r="AW79" s="188" t="s">
        <v>1070</v>
      </c>
      <c r="AX79" s="128">
        <f>AX78/2</f>
        <v>0</v>
      </c>
      <c r="AY79" s="25" t="str">
        <f>IF($A$25="mm","N/mm^2","psi")</f>
        <v>psi</v>
      </c>
      <c r="AZ79" s="128" t="str">
        <f>IF(NOT($AX$41="Bonded"),"N/A","EQ")</f>
        <v>N/A</v>
      </c>
      <c r="BB79" s="22"/>
      <c r="BC79" s="11"/>
      <c r="BE79" s="259"/>
      <c r="BF79" s="181"/>
      <c r="BH79" s="259"/>
      <c r="BI79" s="181"/>
      <c r="BM79" s="32"/>
      <c r="BN79" s="32"/>
      <c r="BO79" s="15" t="s">
        <v>923</v>
      </c>
      <c r="BP79" s="366"/>
      <c r="BQ79" s="367"/>
      <c r="BR79" s="367"/>
      <c r="BS79" s="368"/>
      <c r="BT79" s="11" t="str">
        <f>IF(OR(NOT(T37="Composite"),NOT(T48="120kN Physical Test")),"N/A",IF(BP79="","BLANK","EQ"))</f>
        <v>N/A</v>
      </c>
      <c r="BX79" s="214" t="e">
        <f t="shared" si="14"/>
        <v>#DIV/0!</v>
      </c>
      <c r="BY79" s="215">
        <f t="shared" si="15"/>
        <v>0</v>
      </c>
      <c r="CD79" s="223"/>
      <c r="CE79" s="225"/>
    </row>
    <row r="80" spans="3:83" ht="15" customHeight="1" x14ac:dyDescent="0.2">
      <c r="C80" s="22"/>
      <c r="D80" s="35"/>
      <c r="N80" s="11" t="s">
        <v>701</v>
      </c>
      <c r="O80" s="11">
        <f>IF($A$25="mm",T55/1000,T55)</f>
        <v>0</v>
      </c>
      <c r="P80" s="25" t="str">
        <f>IF($A$25="mm","m","in")</f>
        <v>in</v>
      </c>
      <c r="Q80" s="180" t="s">
        <v>702</v>
      </c>
      <c r="R80" s="181" t="e">
        <f ca="1">O80*O81</f>
        <v>#VALUE!</v>
      </c>
      <c r="S80" s="50" t="str">
        <f>IF($A$25="mm","m^2","in^2")</f>
        <v>in^2</v>
      </c>
      <c r="T80" s="180" t="s">
        <v>703</v>
      </c>
      <c r="U80" s="181" t="e">
        <f ca="1">(O80*O81^3)/12</f>
        <v>#VALUE!</v>
      </c>
      <c r="V80" s="50" t="str">
        <f>IF($A$25="mm","m^4","in^4")</f>
        <v>in^4</v>
      </c>
      <c r="X80" s="42"/>
      <c r="Y80" s="42"/>
      <c r="Z80" s="42"/>
      <c r="AA80" s="42"/>
      <c r="AB80" s="42"/>
      <c r="AC80" s="42"/>
      <c r="AD80" s="42"/>
      <c r="AE80" s="42"/>
      <c r="AF80" s="42"/>
      <c r="AG80" s="11"/>
      <c r="AH80" s="12"/>
      <c r="AI80" s="22"/>
      <c r="AK80" s="11"/>
      <c r="AL80" s="15" t="s">
        <v>1071</v>
      </c>
      <c r="AM80" s="11">
        <f>IF($A$25="mm",25/1000,0.984)</f>
        <v>0.98399999999999999</v>
      </c>
      <c r="AN80" s="11" t="e">
        <f ca="1">IF($A$25="mm",AN61/1000,AN61)</f>
        <v>#VALUE!</v>
      </c>
      <c r="AO80" s="25" t="str">
        <f>IF($A$25="mm","m","in")</f>
        <v>in</v>
      </c>
      <c r="AP80" s="11" t="str">
        <f>IF(AL54="Tube","N/A","EQ")</f>
        <v>N/A</v>
      </c>
      <c r="AR80" s="37"/>
      <c r="AS80" s="124"/>
      <c r="AT80" s="124"/>
      <c r="AU80" s="124"/>
      <c r="AV80" s="124"/>
      <c r="AW80" s="193" t="s">
        <v>1072</v>
      </c>
      <c r="AX80" s="175"/>
      <c r="AY80" s="25" t="str">
        <f>IF($A$25="mm","mm^2","in^2")</f>
        <v>in^2</v>
      </c>
      <c r="AZ80" s="128" t="str">
        <f>IF(NOT($AX$41="Bonded"),"N/A",IF(AX80="","BLANK",
IF(AB71="Standard Foam",IF($A$25="mm",IF(AX80&gt;=100000,"EQ","REJECT"),IF(AX80&gt;=160,"EQ","REJECT")),
IF(AB71="Standard Honeycomb",IF($A$25="mm",IF(AX80&lt;10000,"EQ","REJECT"),IF(AX80&lt;16,"EQ","REJECT")),"EQ"))))</f>
        <v>N/A</v>
      </c>
      <c r="BB80" s="22"/>
      <c r="BC80" s="11"/>
      <c r="BE80" s="259"/>
      <c r="BF80" s="128"/>
      <c r="BH80" s="259"/>
      <c r="BI80" s="181"/>
      <c r="BL80" s="12"/>
      <c r="BM80" s="32"/>
      <c r="BN80" s="32"/>
      <c r="BO80" s="32"/>
      <c r="BP80" s="32"/>
      <c r="BQ80" s="15" t="s">
        <v>930</v>
      </c>
      <c r="BR80" s="81"/>
      <c r="BS80" s="25" t="str">
        <f>IF($A$25="mm","mm","in")</f>
        <v>in</v>
      </c>
      <c r="BT80" s="11" t="str">
        <f>IF(OR(NOT(T37="Composite"),NOT(T48="120kN Physical Test")),"N/A",IF(BR80="","BLANK","EQ"))</f>
        <v>N/A</v>
      </c>
      <c r="BX80" s="214" t="e">
        <f t="shared" si="14"/>
        <v>#DIV/0!</v>
      </c>
      <c r="BY80" s="215">
        <f t="shared" si="15"/>
        <v>0</v>
      </c>
      <c r="CD80" s="223"/>
      <c r="CE80" s="225"/>
    </row>
    <row r="81" spans="3:83" ht="15" customHeight="1" x14ac:dyDescent="0.2">
      <c r="C81" s="22"/>
      <c r="H81" s="12" t="s">
        <v>1073</v>
      </c>
      <c r="N81" s="22" t="s">
        <v>706</v>
      </c>
      <c r="O81" s="11" t="str">
        <f ca="1">IF($A$25="mm",T51/1000,T51)</f>
        <v>Layup</v>
      </c>
      <c r="P81" s="25" t="str">
        <f>IF($A$25="mm","m","in")</f>
        <v>in</v>
      </c>
      <c r="Q81" s="180" t="s">
        <v>707</v>
      </c>
      <c r="R81" s="181" t="e">
        <f ca="1">O83*O84</f>
        <v>#VALUE!</v>
      </c>
      <c r="S81" s="50" t="str">
        <f>IF($A$25="mm","m^2","in^2")</f>
        <v>in^2</v>
      </c>
      <c r="T81" s="180" t="s">
        <v>708</v>
      </c>
      <c r="U81" s="181" t="e">
        <f ca="1">(O83*O84^3)/12</f>
        <v>#VALUE!</v>
      </c>
      <c r="V81" s="50" t="str">
        <f>IF($A$25="mm","m^4","in^4")</f>
        <v>in^4</v>
      </c>
      <c r="X81" s="42"/>
      <c r="Y81" s="42"/>
      <c r="Z81" s="42"/>
      <c r="AA81" s="42"/>
      <c r="AB81" s="42"/>
      <c r="AC81" s="42"/>
      <c r="AD81" s="42"/>
      <c r="AE81" s="42"/>
      <c r="AF81" s="42"/>
      <c r="AG81" s="11"/>
      <c r="AH81" s="12" t="s">
        <v>213</v>
      </c>
      <c r="AI81" s="22"/>
      <c r="AK81" s="26"/>
      <c r="AL81" s="15" t="s">
        <v>1074</v>
      </c>
      <c r="AM81" s="26">
        <f>114*IF($A$25="mm",1/10^6,1/25.4^2)*AL55
+91*IF($A$25="mm",1/10^6,1/25.4^2)*AO55</f>
        <v>0</v>
      </c>
      <c r="AN81" s="26" t="e">
        <f ca="1">(AN61-AN58)*AN66*IF($A$25="mm",1/10^6,1)</f>
        <v>#VALUE!</v>
      </c>
      <c r="AO81" s="25" t="str">
        <f>IF($A$25="mm","m^2","in^2")</f>
        <v>in^2</v>
      </c>
      <c r="AP81" s="11" t="str">
        <f>IF(AL54="Tube","N/A","EQ")</f>
        <v>N/A</v>
      </c>
      <c r="AR81" s="12"/>
      <c r="AS81" s="15"/>
      <c r="AT81" s="15"/>
      <c r="AU81" s="15"/>
      <c r="AV81" s="15"/>
      <c r="AW81" s="15" t="s">
        <v>1075</v>
      </c>
      <c r="AX81" s="181" t="str">
        <f>IF(AX80="","",AX79*AX80)</f>
        <v/>
      </c>
      <c r="AY81" s="84" t="str">
        <f>IF(OR(NOT(AX41="Bonded"),AX81=""),"",AX81/IF($A$25="mm",120000,26977))</f>
        <v/>
      </c>
      <c r="AZ81" s="128" t="str">
        <f>IF(NOT($AX$41="Bonded"),"N/A",IF(AY81&lt;1,"REJECT","EQ"))</f>
        <v>N/A</v>
      </c>
      <c r="BB81" s="11"/>
      <c r="BC81" s="11"/>
      <c r="BE81" s="259"/>
      <c r="BF81" s="182"/>
      <c r="BH81" s="259"/>
      <c r="BI81" s="181"/>
      <c r="BL81" s="12"/>
      <c r="BM81" s="15"/>
      <c r="BN81" s="15"/>
      <c r="BO81" s="15"/>
      <c r="BP81" s="15"/>
      <c r="BQ81" s="15" t="s">
        <v>934</v>
      </c>
      <c r="BR81" s="16"/>
      <c r="BS81" s="25" t="str">
        <f>IF($A$25="mm","mm","in")</f>
        <v>in</v>
      </c>
      <c r="BT81" s="11" t="str">
        <f>IF(OR(NOT(T37="Composite"),NOT(T48="120kN Physical Test")),"N/A",IF(BR81="","BLANK","EQ"))</f>
        <v>N/A</v>
      </c>
      <c r="BX81" s="214" t="e">
        <f t="shared" si="14"/>
        <v>#DIV/0!</v>
      </c>
      <c r="BY81" s="215">
        <f t="shared" si="15"/>
        <v>0</v>
      </c>
      <c r="CD81" s="223"/>
      <c r="CE81" s="225"/>
    </row>
    <row r="82" spans="3:83" ht="15" customHeight="1" thickBot="1" x14ac:dyDescent="0.25">
      <c r="C82" s="22"/>
      <c r="D82" s="295" t="str" cm="1">
        <f t="array" ref="D82">IF(OR(COUNTIF(L83:L110,"BLANK"),COUNTIF(C85:C98,"BLANK")),"BLANK",IF(OR(SUMPRODUCT(--ISERROR(L83:L110))&gt;0,COUNTIF(L83:L110,"REJECT")),"REJECT",IF(COUNTIF(L83:L110,"CHECK"),"CHECK","EQ")))</f>
        <v>EQ</v>
      </c>
      <c r="E82" s="295"/>
      <c r="F82" s="295"/>
      <c r="G82" s="295"/>
      <c r="H82" s="295"/>
      <c r="I82" s="295"/>
      <c r="J82" s="295"/>
      <c r="K82" s="295"/>
      <c r="L82" s="295"/>
      <c r="N82" s="22" t="s">
        <v>711</v>
      </c>
      <c r="O82" s="11" t="e">
        <f ca="1">IF($A$25="mm",T53/1000,T53)</f>
        <v>#VALUE!</v>
      </c>
      <c r="P82" s="25" t="str">
        <f>IF($A$25="mm","m","in")</f>
        <v>in</v>
      </c>
      <c r="Q82" s="180" t="s">
        <v>712</v>
      </c>
      <c r="R82" s="128" t="e">
        <f ca="1">O81/2</f>
        <v>#VALUE!</v>
      </c>
      <c r="S82" s="50" t="str">
        <f>IF($A$25="mm","m","in")</f>
        <v>in</v>
      </c>
      <c r="T82" s="180" t="s">
        <v>713</v>
      </c>
      <c r="U82" s="181" t="str">
        <f ca="1">IF(R84="","",U80+(R80*(R84-R82)^2))</f>
        <v/>
      </c>
      <c r="V82" s="50" t="str">
        <f>IF($A$25="mm","m^4","in^4")</f>
        <v>in^4</v>
      </c>
      <c r="X82" s="42"/>
      <c r="Y82" s="42"/>
      <c r="Z82" s="42"/>
      <c r="AA82" s="42"/>
      <c r="AB82" s="42"/>
      <c r="AC82" s="42"/>
      <c r="AD82" s="42"/>
      <c r="AE82" s="42"/>
      <c r="AF82" s="42"/>
      <c r="AG82" s="11"/>
      <c r="AH82" s="11"/>
      <c r="AI82" s="11"/>
      <c r="AK82" s="26"/>
      <c r="AL82" s="170" t="s">
        <v>1076</v>
      </c>
      <c r="AM82" s="26">
        <f>8509*IF($A$25="mm",1/10^12,1/25.4^4)*AL55
+6695*IF($A$25="mm",1/10^12,1/25.4^4)*AO55</f>
        <v>0</v>
      </c>
      <c r="AN82" s="26" t="str">
        <f ca="1">IF(AL100="","",2*(AO94+AO100))</f>
        <v/>
      </c>
      <c r="AO82" s="25" t="str">
        <f>IF($A$25="mm","m^4","in^4")</f>
        <v>in^4</v>
      </c>
      <c r="AP82" s="11" t="str">
        <f>IF(AL54="Tube","N/A","EQ")</f>
        <v>N/A</v>
      </c>
      <c r="BB82" s="11"/>
      <c r="BC82" s="11"/>
      <c r="BE82" s="259"/>
      <c r="BF82" s="194"/>
      <c r="BH82" s="259"/>
      <c r="BI82" s="181"/>
      <c r="BL82" s="12"/>
      <c r="BM82" s="15"/>
      <c r="BN82" s="15"/>
      <c r="BO82" s="15"/>
      <c r="BP82" s="15"/>
      <c r="BQ82" s="15" t="s">
        <v>941</v>
      </c>
      <c r="BR82" s="16"/>
      <c r="BS82" s="25" t="str">
        <f>IF($A$25="mm","mm","in")</f>
        <v>in</v>
      </c>
      <c r="BT82" s="11" t="str">
        <f>IF(OR(NOT(T37="Composite"),NOT(T48="120kN Physical Test")),"N/A",IF(BR82="","BLANK","EQ"))</f>
        <v>N/A</v>
      </c>
      <c r="BX82" s="214" t="e">
        <f t="shared" si="14"/>
        <v>#DIV/0!</v>
      </c>
      <c r="BY82" s="215">
        <f t="shared" si="15"/>
        <v>0</v>
      </c>
      <c r="CD82" s="223"/>
      <c r="CE82" s="225"/>
    </row>
    <row r="83" spans="3:83" ht="15" customHeight="1" thickBot="1" x14ac:dyDescent="0.25">
      <c r="C83" s="128" t="str">
        <f>IF(J57="Tube Diagonal",J60,"")</f>
        <v>Round</v>
      </c>
      <c r="D83" s="12" t="s">
        <v>1077</v>
      </c>
      <c r="E83" s="295" t="str">
        <f>IF(J57="Tube Diagonal",J59,"Composite")</f>
        <v>Steel</v>
      </c>
      <c r="F83" s="365"/>
      <c r="G83" s="80" t="s">
        <v>1222</v>
      </c>
      <c r="H83" s="11" t="s">
        <v>1078</v>
      </c>
      <c r="I83" s="261" t="s">
        <v>84</v>
      </c>
      <c r="J83" s="346" t="str">
        <f>IF(I83="AIP",T37,IF(AN35="Tube",AN37,"Composite"))</f>
        <v>Steel</v>
      </c>
      <c r="K83" s="346"/>
      <c r="L83" s="11" t="str">
        <f>IF(OR(AO55=1,J57="Physical Test",L57="N/A"),"N/A",IF(OR(G83="",I83=""),"BLANK",
IF(AND(G83="Welded",OR(J83="Composite",NOT(E83=J83),AND(I83="AIP",C83="Round"))),"REJECT",
IF(AND(G83="Bonded",C83="Round"),"REJECT","EQ"))))</f>
        <v>EQ</v>
      </c>
      <c r="N83" s="11" t="s">
        <v>717</v>
      </c>
      <c r="O83" s="11">
        <f>IF($A$25="mm",T55/1000,T55)</f>
        <v>0</v>
      </c>
      <c r="P83" s="25" t="str">
        <f>IF($A$25="mm","m","in")</f>
        <v>in</v>
      </c>
      <c r="Q83" s="180" t="s">
        <v>718</v>
      </c>
      <c r="R83" s="128" t="e">
        <f ca="1">(O82-0.5*O84)</f>
        <v>#VALUE!</v>
      </c>
      <c r="S83" s="50" t="str">
        <f>IF($A$25="mm","m","in")</f>
        <v>in</v>
      </c>
      <c r="T83" s="180" t="s">
        <v>719</v>
      </c>
      <c r="U83" s="181" t="str">
        <f ca="1">IF(R84="","",U81+(R81*(R84-R83)^2))</f>
        <v/>
      </c>
      <c r="V83" s="50" t="str">
        <f>IF($A$25="mm","m^4","in^4")</f>
        <v>in^4</v>
      </c>
      <c r="X83" s="42"/>
      <c r="Y83" s="42"/>
      <c r="Z83" s="42"/>
      <c r="AA83" s="42"/>
      <c r="AB83" s="42"/>
      <c r="AC83" s="42"/>
      <c r="AD83" s="42"/>
      <c r="AE83" s="42"/>
      <c r="AF83" s="42"/>
      <c r="AG83" s="11"/>
      <c r="AH83" s="47" t="s">
        <v>742</v>
      </c>
      <c r="AI83" s="47"/>
      <c r="AJ83" s="22"/>
      <c r="AK83" s="124"/>
      <c r="AL83" s="124" t="s">
        <v>1079</v>
      </c>
      <c r="AM83" s="181">
        <f>AM67*AM82</f>
        <v>0</v>
      </c>
      <c r="AN83" s="181" t="str">
        <f ca="1">IF(OR(AL54="Tube",AL100="",AN67=""),"",AN67*AO94+AN75*AO100)</f>
        <v/>
      </c>
      <c r="AO83" s="127" t="str">
        <f t="shared" ref="AO83:AO88" ca="1" si="16">IF(OR(AM83=0,AN83=""),"",AN83/AM83)</f>
        <v/>
      </c>
      <c r="AP83" s="128" t="str">
        <f>IF(AL54="Tube","N/A",IF(AO83="","EQ",IF(AO83&gt;=1,"EQ",IF(AO83&gt;=0.95,"CHECK","REJECT"))))</f>
        <v>N/A</v>
      </c>
      <c r="AR83" s="295" t="str" cm="1">
        <f t="array" ref="AR83">IF(COUNTIF(AZ84:AZ97,"BLANK"),"BLANK",IF(OR(SUMPRODUCT(--ISERROR(AZ84:AZ97))&gt;0,COUNTIF(AZ84:AZ97,"REJECT")),"REJECT",IF(COUNTIF(AZ84:AZ97,"CHECK"),"CHECK","EQ")))</f>
        <v>EQ</v>
      </c>
      <c r="AS83" s="295"/>
      <c r="AT83" s="295"/>
      <c r="AU83" s="295"/>
      <c r="AV83" s="295"/>
      <c r="AW83" s="295"/>
      <c r="AX83" s="295"/>
      <c r="AY83" s="295"/>
      <c r="AZ83" s="295"/>
      <c r="BB83" s="11"/>
      <c r="BC83" s="11"/>
      <c r="BE83" s="34"/>
      <c r="BF83" s="187"/>
      <c r="BG83" s="187"/>
      <c r="BH83" s="262"/>
      <c r="BI83" s="262"/>
      <c r="BL83" s="12" t="s">
        <v>1080</v>
      </c>
      <c r="BM83" s="11"/>
      <c r="BO83" s="15"/>
      <c r="BP83" s="194"/>
      <c r="BQ83" s="15" t="str">
        <f>IF($A$25="mm","Maximum AIP force &gt; 120kN:","Maximum AIP force &gt; 26977lb:")</f>
        <v>Maximum AIP force &gt; 26977lb:</v>
      </c>
      <c r="BR83" s="164"/>
      <c r="BS83" s="25" t="str">
        <f>IF($A$25="mm","N","lbs")</f>
        <v>lbs</v>
      </c>
      <c r="BT83" s="11" t="str">
        <f>IF(OR(NOT(T37="Composite"),NOT(T48="120kN Physical Test")),"N/A",IF(BR83="","BLANK",IF(OR(AND($A$25="mm",BR83&lt;120000),AND($A$25="Inch",BR83&lt;26977)),"REJECT","EQ")))</f>
        <v>N/A</v>
      </c>
      <c r="BV83" s="224"/>
      <c r="BX83" s="214" t="e">
        <f t="shared" si="14"/>
        <v>#DIV/0!</v>
      </c>
      <c r="BY83" s="215">
        <f t="shared" si="15"/>
        <v>0</v>
      </c>
    </row>
    <row r="84" spans="3:83" ht="15" customHeight="1" thickBot="1" x14ac:dyDescent="0.25">
      <c r="C84" s="22"/>
      <c r="D84" s="11"/>
      <c r="E84" s="11"/>
      <c r="F84" s="11"/>
      <c r="G84" s="11"/>
      <c r="H84" s="11"/>
      <c r="I84" s="15" t="str">
        <f>IF(G83="Laminated","Diagonal Lamination:","")</f>
        <v/>
      </c>
      <c r="J84" s="298"/>
      <c r="K84" s="300"/>
      <c r="L84" s="11" t="str">
        <f>IF(OR(NOT(G83="Laminated"),L83="N/A"),"N/A","EQ")</f>
        <v>N/A</v>
      </c>
      <c r="N84" s="11" t="s">
        <v>723</v>
      </c>
      <c r="O84" s="11" t="str">
        <f ca="1">IF($A$25="mm",T52/1000,T52)</f>
        <v>Typo</v>
      </c>
      <c r="P84" s="25" t="str">
        <f>IF($A$25="mm","m","in")</f>
        <v>in</v>
      </c>
      <c r="Q84" s="180" t="s">
        <v>724</v>
      </c>
      <c r="R84" s="128" t="str">
        <f ca="1">IF(OR(T55="",T51="",T52=""),"",(R80*R82+R81*R83)/(R80+R81))</f>
        <v/>
      </c>
      <c r="S84" s="50" t="str">
        <f>IF($A$25="mm","m","in")</f>
        <v>in</v>
      </c>
      <c r="T84" s="180" t="s">
        <v>725</v>
      </c>
      <c r="U84" s="181" t="str">
        <f ca="1">IF(R84="","",U82+U83)</f>
        <v/>
      </c>
      <c r="V84" s="50" t="str">
        <f>IF($A$25="mm","m^4","in^4")</f>
        <v>in^4</v>
      </c>
      <c r="X84" s="294" t="s">
        <v>1081</v>
      </c>
      <c r="Y84" s="294"/>
      <c r="Z84" s="294"/>
      <c r="AA84" s="294"/>
      <c r="AB84" s="294"/>
      <c r="AC84" s="294"/>
      <c r="AD84" s="294"/>
      <c r="AE84" s="294"/>
      <c r="AF84" s="294"/>
      <c r="AG84" s="11"/>
      <c r="AH84" s="37" t="s">
        <v>746</v>
      </c>
      <c r="AI84" s="22"/>
      <c r="AJ84" s="124"/>
      <c r="AK84" s="124"/>
      <c r="AL84" s="124" t="s">
        <v>1082</v>
      </c>
      <c r="AM84" s="181">
        <f>AM68*AM81</f>
        <v>0</v>
      </c>
      <c r="AN84" s="181" t="str">
        <f ca="1">IF(OR(AL54="Tube",AL100="",AN67=""),"",AN68*AN81+AN76*(AL96+AL97))</f>
        <v/>
      </c>
      <c r="AO84" s="127" t="str">
        <f t="shared" ca="1" si="16"/>
        <v/>
      </c>
      <c r="AP84" s="128" t="str">
        <f>IF(AL54="Tube","N/A",IF(AO84="","EQ",IF(AO84&gt;=1,"EQ",IF(AO84&gt;=0.95,"CHECK","REJECT"))))</f>
        <v>N/A</v>
      </c>
      <c r="AR84" s="12" t="s">
        <v>896</v>
      </c>
      <c r="AS84" s="22"/>
      <c r="AT84" s="32"/>
      <c r="AU84" s="32"/>
      <c r="AV84" s="12" t="s">
        <v>1083</v>
      </c>
      <c r="AX84" s="12"/>
      <c r="AY84" s="12"/>
      <c r="AZ84" s="11" t="str">
        <f>IF(NOT($AX$41="Laminated"),"N/A","EQ")</f>
        <v>N/A</v>
      </c>
      <c r="BC84" s="15"/>
      <c r="BD84" s="15"/>
      <c r="BE84" s="15"/>
      <c r="BF84" s="15"/>
      <c r="BG84" s="11"/>
      <c r="BH84" s="11"/>
      <c r="BJ84" s="11"/>
      <c r="BL84" s="11"/>
      <c r="BM84" s="11"/>
      <c r="BO84" s="34"/>
      <c r="BP84" s="187"/>
      <c r="BQ84" s="187"/>
      <c r="BR84" s="262"/>
      <c r="BS84" s="262"/>
      <c r="BV84" s="224"/>
      <c r="BX84" s="214" t="e">
        <f t="shared" si="14"/>
        <v>#DIV/0!</v>
      </c>
      <c r="BY84" s="215">
        <f t="shared" si="15"/>
        <v>0</v>
      </c>
    </row>
    <row r="85" spans="3:83" ht="15" customHeight="1" thickBot="1" x14ac:dyDescent="0.25">
      <c r="C85" s="128" t="str">
        <f>IF(AND(G$83="Bolted",NOT(E83="Composite")),IF(D85="","BLANK","EQ"),"N/A")</f>
        <v>N/A</v>
      </c>
      <c r="D85" s="16"/>
      <c r="E85" s="25" t="str">
        <f>IF($A$25="mm","mm","in")</f>
        <v>in</v>
      </c>
      <c r="F85" s="15"/>
      <c r="G85" s="15"/>
      <c r="H85" s="15"/>
      <c r="I85" s="15" t="str">
        <f>IF(G83="Bolted",IF(AND(NOT(E83="Composite"),NOT(J83="Composite")),"Left, diag face thick. Right, "&amp;I83&amp;" face thick.",IF(NOT(E83="Composite"),"Left, diagonal mounting face thickness:",IF(NOT(J83="Composite"),"Right, "&amp;I83&amp;" mounting face thickness:",""))),"")</f>
        <v/>
      </c>
      <c r="J85" s="16"/>
      <c r="K85" s="25" t="str">
        <f>IF($A$25="mm","mm","in")</f>
        <v>in</v>
      </c>
      <c r="L85" s="11" t="str">
        <f>IF(AND(G$83="Bolted",NOT(J83="Composite")),IF(J85="","BLANK","EQ"),"N/A")</f>
        <v>N/A</v>
      </c>
      <c r="X85" s="294"/>
      <c r="Y85" s="294"/>
      <c r="Z85" s="294"/>
      <c r="AA85" s="294"/>
      <c r="AB85" s="294"/>
      <c r="AC85" s="294"/>
      <c r="AD85" s="294"/>
      <c r="AE85" s="294"/>
      <c r="AF85" s="294"/>
      <c r="AG85" s="263"/>
      <c r="AH85" s="37" t="s">
        <v>748</v>
      </c>
      <c r="AI85" s="22"/>
      <c r="AJ85" s="124"/>
      <c r="AK85" s="124"/>
      <c r="AL85" s="124" t="s">
        <v>1084</v>
      </c>
      <c r="AM85" s="181">
        <f>4*AM68*AM82/IF($A$25="mm",0.0127,0.5)</f>
        <v>0</v>
      </c>
      <c r="AN85" s="181" t="str">
        <f ca="1">IF(OR(AL54="Tube",AL100="",AN67=""),"",4*(AN68*AO94+AN76*AO100)/MAX(ABS(AL100-AL92),ABS(AL100-AL93)))</f>
        <v/>
      </c>
      <c r="AO85" s="127" t="str">
        <f t="shared" ca="1" si="16"/>
        <v/>
      </c>
      <c r="AP85" s="128" t="str">
        <f>IF(AL54="Tube","N/A",IF(AO85="","EQ",IF(AO85&gt;=1,"EQ",IF(AO85&gt;=0.95,"CHECK","REJECT"))))</f>
        <v>N/A</v>
      </c>
      <c r="AR85" s="12"/>
      <c r="AS85" s="22"/>
      <c r="AT85" s="32"/>
      <c r="AU85" s="32"/>
      <c r="AV85" s="12"/>
      <c r="AW85" s="15" t="s">
        <v>1085</v>
      </c>
      <c r="AX85" s="80"/>
      <c r="AY85" s="263"/>
      <c r="AZ85" s="11" t="str">
        <f>IF(NOT($AX$41="Laminated"),"N/A",IF(AND(NOT(T37="Composite"),AX85="Yes"),"REJECT","EQ"))</f>
        <v>N/A</v>
      </c>
      <c r="BC85" s="15"/>
      <c r="BD85" s="15"/>
      <c r="BE85" s="15"/>
      <c r="BF85" s="15"/>
      <c r="BG85" s="11"/>
      <c r="BH85" s="11"/>
      <c r="BJ85" s="11"/>
      <c r="BL85" s="12"/>
      <c r="BM85" s="15"/>
      <c r="BN85" s="15"/>
      <c r="BO85" s="15"/>
      <c r="BP85" s="15"/>
      <c r="BQ85" s="11"/>
      <c r="BR85" s="11"/>
      <c r="BT85" s="11"/>
      <c r="BV85" s="224"/>
      <c r="BX85" s="214" t="e">
        <f t="shared" si="14"/>
        <v>#DIV/0!</v>
      </c>
      <c r="BY85" s="215">
        <f t="shared" si="15"/>
        <v>0</v>
      </c>
    </row>
    <row r="86" spans="3:83" ht="15" customHeight="1" thickBot="1" x14ac:dyDescent="0.25">
      <c r="C86" s="128" t="str">
        <f>IF(AND(G$83="Bolted",E$83="Composite"),IF(D86="","BLANK","EQ"),"N/A")</f>
        <v>N/A</v>
      </c>
      <c r="D86" s="319"/>
      <c r="E86" s="319"/>
      <c r="G86" s="11"/>
      <c r="H86" s="11"/>
      <c r="I86" s="15" t="str">
        <f>IF(G83="Laminated","Type Tab Name Of Enclosing Layup Used:",IF(G83="Bolted",IF(AND(E83="Composite",J83="Composite"),"Left, diagonal. Right, "&amp;I83&amp;" composite.",IF(E83="Composite","Left, composite diagonal:",IF(J83="Composite","Right, "&amp;I83&amp;" composite:",""))),""))</f>
        <v/>
      </c>
      <c r="J86" s="319"/>
      <c r="K86" s="319"/>
      <c r="L86" s="11" t="str">
        <f>IF(OR(G83="Welded",G83="Bonded",NOT(J83="Composite"),L83="N/A"),"N/A",IF(J86="","BLANK","EQ"))</f>
        <v>N/A</v>
      </c>
      <c r="N86" s="12" t="s">
        <v>1086</v>
      </c>
      <c r="O86" s="25" t="s">
        <v>1087</v>
      </c>
      <c r="X86" s="42"/>
      <c r="Y86" s="42"/>
      <c r="Z86" s="42"/>
      <c r="AA86" s="42"/>
      <c r="AB86" s="42"/>
      <c r="AC86" s="42"/>
      <c r="AD86" s="42"/>
      <c r="AE86" s="42"/>
      <c r="AF86" s="42"/>
      <c r="AG86" s="11"/>
      <c r="AH86" s="12" t="s">
        <v>753</v>
      </c>
      <c r="AI86" s="22"/>
      <c r="AJ86" s="15"/>
      <c r="AK86" s="15"/>
      <c r="AL86" s="15" t="s">
        <v>754</v>
      </c>
      <c r="AM86" s="181">
        <f>IF(AM82=0,0,AM85/(48*AM67*AM82))</f>
        <v>0</v>
      </c>
      <c r="AN86" s="181" t="str">
        <f ca="1">IF(OR(AN85="",AN67=0),"",AM85/(48*(AN67*AO94+AN75*AO100)))</f>
        <v/>
      </c>
      <c r="AO86" s="127" t="str">
        <f t="shared" ca="1" si="16"/>
        <v/>
      </c>
      <c r="AP86" s="128" t="str">
        <f>IF(AL54="Tube","N/A",IF(AO86="","EQ",IF(AO86&lt;=1,"EQ",IF(AO86&lt;=1.05,"CHECK","REJECT"))))</f>
        <v>N/A</v>
      </c>
      <c r="AT86" s="11"/>
      <c r="AU86" s="11"/>
      <c r="AV86" s="11"/>
      <c r="AW86" s="15" t="s">
        <v>1088</v>
      </c>
      <c r="AX86" s="364"/>
      <c r="AY86" s="319"/>
      <c r="AZ86" s="11" t="str">
        <f>IF(OR(NOT($AX$41="Laminated"),$AX$85="Yes"),"N/A",IF(AX86="","BLANK","EQ"))</f>
        <v>N/A</v>
      </c>
      <c r="BB86" s="15"/>
      <c r="BC86" s="15"/>
      <c r="BD86" s="15"/>
      <c r="BE86" s="15"/>
      <c r="BF86" s="15"/>
      <c r="BG86" s="26"/>
      <c r="BH86" s="26"/>
      <c r="BJ86" s="11"/>
      <c r="BL86" s="12"/>
      <c r="BM86" s="15"/>
      <c r="BN86" s="15"/>
      <c r="BO86" s="15"/>
      <c r="BP86" s="15"/>
      <c r="BQ86" s="11"/>
      <c r="BR86" s="11"/>
      <c r="BT86" s="11"/>
      <c r="BV86" s="224"/>
      <c r="BX86" s="214" t="e">
        <f t="shared" si="14"/>
        <v>#DIV/0!</v>
      </c>
      <c r="BY86" s="215">
        <f t="shared" si="15"/>
        <v>0</v>
      </c>
    </row>
    <row r="87" spans="3:83" ht="15" customHeight="1" thickBot="1" x14ac:dyDescent="0.25">
      <c r="C87" s="128" t="str">
        <f>IF(AND(G$83="Bolted",E$83="Composite"),IF(D87="","BLANK","EQ"),"N/A")</f>
        <v>N/A</v>
      </c>
      <c r="D87" s="26" cm="1">
        <f t="array" aca="1" ref="D87" ca="1">IF(AND(G83="Bolted",E83="Composite"),IF(ISREF(INDIRECT("'"&amp;D86&amp;"'!$AY$62")),INDIRECT("'"&amp;D86&amp;"'!$AY$62")*IF($A$25="mm",1,1/6894.76),"Typo"),
0.577*INDEX($A$7:$C$7,1,IF($E$83="Steel",1,IF($E$83="6061-T6",2,3))))</f>
        <v>25099.499999999996</v>
      </c>
      <c r="E87" s="25" t="str">
        <f>IF($A$25="mm","Pa","psi")</f>
        <v>psi</v>
      </c>
      <c r="F87" s="25" t="str">
        <f>IF(G$83="Bolted","Left, diagonal shear.","")</f>
        <v/>
      </c>
      <c r="G87" s="11"/>
      <c r="H87" s="11"/>
      <c r="I87" s="15" t="str">
        <f>IF(G$83="Laminated","Laminate shear:",IF(G$83="Bolted","Right "&amp;I$83&amp;" shear:",""))</f>
        <v/>
      </c>
      <c r="J87" s="26" cm="1">
        <f t="array" aca="1" ref="J87" ca="1">IF(J83="Composite",IF(ISREF(INDIRECT("'"&amp;J86&amp;"'!$AY$62")),INDIRECT("'"&amp;J86&amp;"'!$AY$62")*IF($A$25="mm",1,1/6894.76),"Typo"),
0.577*INDEX($A$7:$C$7,1,IF($E$83="Steel",1,IF($E$83="6061-T6",2,3))))</f>
        <v>25099.499999999996</v>
      </c>
      <c r="K87" s="25" t="str">
        <f>IF($A$25="mm","Pa","psi")</f>
        <v>psi</v>
      </c>
      <c r="L87" s="11" t="str">
        <f>IF(OR(G83="Welded",G83="Bonded",NOT(J83="Composite"),L83="N/A"),"N/A",IF(J87="","BLANK","EQ"))</f>
        <v>N/A</v>
      </c>
      <c r="X87" s="294" t="s">
        <v>1089</v>
      </c>
      <c r="Y87" s="294"/>
      <c r="Z87" s="294"/>
      <c r="AA87" s="294"/>
      <c r="AB87" s="294"/>
      <c r="AC87" s="294"/>
      <c r="AD87" s="294"/>
      <c r="AE87" s="294"/>
      <c r="AF87" s="294"/>
      <c r="AG87" s="11"/>
      <c r="AH87" s="12" t="s">
        <v>756</v>
      </c>
      <c r="AI87" s="22"/>
      <c r="AJ87" s="15"/>
      <c r="AK87" s="15"/>
      <c r="AL87" s="15" t="s">
        <v>1090</v>
      </c>
      <c r="AM87" s="181">
        <f ca="1">IF(AL55=0,0,AL55*_xlfn.AGGREGATE(4,6,INDIRECT("'F.7 Composite Chassis'!CM4:CM20"))+AO55*_xlfn.AGGREGATE(4,6,INDIRECT("'F.7 Composite Chassis'!CN4:CN20")))</f>
        <v>0</v>
      </c>
      <c r="AN87" s="181" t="str" cm="1">
        <f t="array" aca="1" ref="AN87" ca="1">IF(OR(AN85="",AN67=0),"",
INDIRECT("'"&amp;AN56&amp;"'!$AK$71")*
(AN82/(IF($A$25="mm",1/10^12,1/25.4^4)*INDIRECT("'"&amp;AN56&amp;"'!$AK$64")))/
((MAX(ABS(AL100-AL92),ABS(AL100-AL93))/((IF($A$25="mm",1/1000,1/25.4)*INDIRECT("'"&amp;AN56&amp;"'!$AG$61"))))^2))</f>
        <v/>
      </c>
      <c r="AO87" s="127" t="str">
        <f t="shared" ca="1" si="16"/>
        <v/>
      </c>
      <c r="AP87" s="128" t="str">
        <f>IF(AL54="Tube","N/A",IF(AO87="","EQ",IF(AO87&gt;=1,"EQ",IF(AO87&gt;=0.95,"CHECK","REJECT"))))</f>
        <v>N/A</v>
      </c>
      <c r="AR87" s="15"/>
      <c r="AS87" s="11"/>
      <c r="AT87" s="11"/>
      <c r="AU87" s="11"/>
      <c r="AV87" s="11"/>
      <c r="AW87" s="15" t="s">
        <v>1091</v>
      </c>
      <c r="AX87" s="80"/>
      <c r="AY87" s="11"/>
      <c r="AZ87" s="11" t="str">
        <f>IF(OR(NOT($AX$41="Laminated"),$AX$85="Yes"),"N/A",IF(AX87="","BLANK","EQ"))</f>
        <v>N/A</v>
      </c>
      <c r="BB87" s="124"/>
      <c r="BC87" s="15"/>
      <c r="BD87" s="15"/>
      <c r="BE87" s="15"/>
      <c r="BF87" s="15"/>
      <c r="BG87" s="26"/>
      <c r="BH87" s="26"/>
      <c r="BJ87" s="11"/>
      <c r="BL87" s="15"/>
      <c r="BM87" s="15"/>
      <c r="BN87" s="15"/>
      <c r="BO87" s="15"/>
      <c r="BP87" s="15"/>
      <c r="BQ87" s="26"/>
      <c r="BR87" s="26"/>
      <c r="BT87" s="11"/>
      <c r="BV87" s="224"/>
      <c r="BX87" s="214" t="e">
        <f t="shared" si="14"/>
        <v>#DIV/0!</v>
      </c>
      <c r="BY87" s="215">
        <f t="shared" si="15"/>
        <v>0</v>
      </c>
    </row>
    <row r="88" spans="3:83" ht="15" customHeight="1" x14ac:dyDescent="0.2">
      <c r="C88" s="128" t="str">
        <f>IF(AND(G$83="Bolted",E$83="Composite"),IF(MOD(D88,1)=0,"EQ","REJECT"),"N/A")</f>
        <v>N/A</v>
      </c>
      <c r="D88" s="16"/>
      <c r="E88" s="11" t="str" cm="1">
        <f t="array" aca="1" ref="E88" ca="1">IF(ISREF(INDIRECT("'"&amp;D$86&amp;"'!$AK$62")),D88*ROUND(IF($A$25="mm",1,1/25.4)*INDIRECT("'"&amp;D$86&amp;"'!$AK$62"),3),"Typo")</f>
        <v>Typo</v>
      </c>
      <c r="F88" s="25" t="str">
        <f>IF($A$25="mm","mm","in")</f>
        <v>in</v>
      </c>
      <c r="G88" s="11"/>
      <c r="H88" s="116" t="str">
        <f>IF(OR(G83="Laminated",AND(G83="Bolted",OR(E83="Composite",J83="Composite"))),"Scale outer layup:","")</f>
        <v/>
      </c>
      <c r="I88" s="16"/>
      <c r="J88" s="11" t="str" cm="1">
        <f t="array" aca="1" ref="J88" ca="1">IF(ISREF(INDIRECT("'"&amp;J$86&amp;"'!$AK$62")),I88*ROUND(IF($A$25="mm",1,1/25.4)*INDIRECT("'"&amp;J$86&amp;"'!$AK$62"),3),"Typo")</f>
        <v>Typo</v>
      </c>
      <c r="K88" s="25" t="str">
        <f>IF($A$25="mm","mm","in")</f>
        <v>in</v>
      </c>
      <c r="L88" s="11" t="str">
        <f>IF(OR(G83="Welded",G83="Bonded",NOT(J83="Composite"),L83="N/A"),"N/A",IF(MOD(I88,1)=0,"EQ","REJECT"))</f>
        <v>N/A</v>
      </c>
      <c r="X88" s="294"/>
      <c r="Y88" s="294"/>
      <c r="Z88" s="294"/>
      <c r="AA88" s="294"/>
      <c r="AB88" s="294"/>
      <c r="AC88" s="294"/>
      <c r="AD88" s="294"/>
      <c r="AE88" s="294"/>
      <c r="AF88" s="294"/>
      <c r="AG88" s="11"/>
      <c r="AH88" s="12" t="s">
        <v>1092</v>
      </c>
      <c r="AL88" s="15" t="str">
        <f>IF($A$25="mm","1.5mm Steel Shear Equivalence:","0.59in Steel Shear Equivalence:")</f>
        <v>0.59in Steel Shear Equivalence:</v>
      </c>
      <c r="AM88" s="26">
        <f>IF($A$25="mm",1.5,0.059)*AM77</f>
        <v>1800.8746999999998</v>
      </c>
      <c r="AN88" s="181" t="str">
        <f ca="1">IF(OR(AN86="",AN68=0),"",(AN59+AN60)*AN69)</f>
        <v/>
      </c>
      <c r="AO88" s="127" t="str">
        <f t="shared" ca="1" si="16"/>
        <v/>
      </c>
      <c r="AP88" s="128" t="str">
        <f>IF(AL54="Tube","N/A",IF(AO88="","EQ",IF(AO88&gt;=1,"EQ",IF(AO88&gt;=0.95,"CHECK","REJECT"))))</f>
        <v>N/A</v>
      </c>
      <c r="AQ88" s="181"/>
      <c r="AR88" s="11"/>
      <c r="AS88" s="11"/>
      <c r="AT88" s="11"/>
      <c r="AU88" s="11"/>
      <c r="AV88" s="11"/>
      <c r="AW88" s="15" t="s">
        <v>1093</v>
      </c>
      <c r="AX88" s="264"/>
      <c r="AY88" s="25" t="str">
        <f>IF($A$25="mm","mm","in")</f>
        <v>in</v>
      </c>
      <c r="AZ88" s="11" t="str">
        <f>IF(OR(NOT($AX$41="Laminated"),$AX$85="Yes"),"N/A",IF(AX88="","BLANK","EQ"))</f>
        <v>N/A</v>
      </c>
      <c r="BC88" s="15"/>
      <c r="BD88" s="15"/>
      <c r="BE88" s="15"/>
      <c r="BF88" s="15"/>
      <c r="BG88" s="26"/>
      <c r="BH88" s="26"/>
      <c r="BJ88" s="11"/>
      <c r="BL88" s="124"/>
      <c r="BM88" s="15"/>
      <c r="BN88" s="15"/>
      <c r="BO88" s="15"/>
      <c r="BP88" s="15"/>
      <c r="BQ88" s="26"/>
      <c r="BR88" s="26"/>
      <c r="BT88" s="11"/>
      <c r="BV88" s="224"/>
      <c r="BX88" s="214" t="e">
        <f t="shared" si="14"/>
        <v>#DIV/0!</v>
      </c>
      <c r="BY88" s="215">
        <f t="shared" si="15"/>
        <v>0</v>
      </c>
    </row>
    <row r="89" spans="3:83" ht="15" customHeight="1" x14ac:dyDescent="0.2">
      <c r="C89" s="128" t="str">
        <f>IF(AND(G$83="Bolted",E$83="Composite"),IF(MOD(D88,1)=0,"EQ","REJECT"),"N/A")</f>
        <v>N/A</v>
      </c>
      <c r="D89" s="16"/>
      <c r="E89" s="11" t="str" cm="1">
        <f t="array" aca="1" ref="E89" ca="1">IF(ISREF(INDIRECT("'"&amp;D$86&amp;"'!$AK$63")),D89*ROUND(IF($A$25="mm",1,1/25.4)*INDIRECT("'"&amp;D$86&amp;"'!$AK$63"),3),"Typo")</f>
        <v>Typo</v>
      </c>
      <c r="F89" s="25" t="str">
        <f>IF($A$25="mm","mm","in")</f>
        <v>in</v>
      </c>
      <c r="G89" s="11"/>
      <c r="H89" s="15" t="str">
        <f>IF(OR(G83="Laminated",AND(G83="Bolted",OR(E83="Composite",J83="Composite"))),"Scale inner layup:","")</f>
        <v/>
      </c>
      <c r="I89" s="16"/>
      <c r="J89" s="11" t="str" cm="1">
        <f t="array" aca="1" ref="J89" ca="1">IF(ISREF(INDIRECT("'"&amp;J$86&amp;"'!$AK$63")),I89*ROUND(IF($A$25="mm",1/1,25.4)*INDIRECT("'"&amp;J$86&amp;"'!$AK$63"),3),"Typo")</f>
        <v>Typo</v>
      </c>
      <c r="K89" s="25" t="str">
        <f>IF($A$25="mm","mm","in")</f>
        <v>in</v>
      </c>
      <c r="L89" s="11" t="str">
        <f>IF(OR(G83="Welded",G83="Bonded",NOT(J83="Composite"),L83="N/A"),"N/A",IF(MOD(I89,1)=0,"EQ","REJECT"))</f>
        <v>N/A</v>
      </c>
      <c r="X89" s="294"/>
      <c r="Y89" s="294"/>
      <c r="Z89" s="294"/>
      <c r="AA89" s="294"/>
      <c r="AB89" s="294"/>
      <c r="AC89" s="294"/>
      <c r="AD89" s="294"/>
      <c r="AE89" s="294"/>
      <c r="AF89" s="294"/>
      <c r="AG89" s="11"/>
      <c r="AH89" s="22"/>
      <c r="AI89" s="37" t="s">
        <v>1094</v>
      </c>
      <c r="AJ89" s="37"/>
      <c r="AK89" s="37"/>
      <c r="AL89" s="178" t="s">
        <v>1094</v>
      </c>
      <c r="AM89" s="37"/>
      <c r="AN89" s="179"/>
      <c r="AO89" s="178" t="s">
        <v>1094</v>
      </c>
      <c r="AP89" s="179"/>
      <c r="AR89" s="11"/>
      <c r="AS89" s="11"/>
      <c r="AT89" s="15" t="s">
        <v>694</v>
      </c>
      <c r="AU89" s="16"/>
      <c r="AV89" s="11"/>
      <c r="AW89" s="124" t="s">
        <v>1095</v>
      </c>
      <c r="AX89" s="11" t="str" cm="1">
        <f t="array" aca="1" ref="AX89" ca="1">IF(ISREF(INDIRECT("'"&amp;AX86&amp;"'!$AK$62")),IF(AU89="",1,AU89)*ROUND(IF($A$25="mm",1,25.4)*
IF(AX87="Outer",INDIRECT("'"&amp;AX86&amp;"'!$AK$62"),
IF(AX87="Inner",INDIRECT("'"&amp;AX86&amp;"'!$AK$63"),
INDIRECT("'"&amp;AX86&amp;"'!$AK$62")+INDIRECT("'"&amp;AX86&amp;"'!$AK$63"))),3),"Typo")</f>
        <v>Typo</v>
      </c>
      <c r="AY89" s="25" t="str">
        <f>IF($A$25="mm","mm","in")</f>
        <v>in</v>
      </c>
      <c r="AZ89" s="11" t="str">
        <f>IF(OR(NOT($AX$41="Laminated"),$AX$85="Yes"),"N/A",IF(MOD(BD55,1)=0,"EQ","REJECT"))</f>
        <v>N/A</v>
      </c>
      <c r="BB89" s="124"/>
      <c r="BC89" s="15"/>
      <c r="BD89" s="15"/>
      <c r="BE89" s="15"/>
      <c r="BF89" s="15"/>
      <c r="BG89" s="26"/>
      <c r="BH89" s="26"/>
      <c r="BJ89" s="11"/>
      <c r="BL89" s="12"/>
      <c r="BM89" s="15"/>
      <c r="BN89" s="15"/>
      <c r="BO89" s="15"/>
      <c r="BP89" s="15"/>
      <c r="BQ89" s="26"/>
      <c r="BR89" s="26"/>
      <c r="BT89" s="11"/>
      <c r="BV89" s="224"/>
      <c r="BX89" s="214" t="e">
        <f t="shared" si="14"/>
        <v>#DIV/0!</v>
      </c>
      <c r="BY89" s="215">
        <f t="shared" si="15"/>
        <v>0</v>
      </c>
    </row>
    <row r="90" spans="3:83" ht="15" customHeight="1" x14ac:dyDescent="0.2">
      <c r="C90" s="128" t="str">
        <f>IF(G$83="Bolted",IF(D90="","BLANK","EQ"),"N/A")</f>
        <v>N/A</v>
      </c>
      <c r="D90" s="16"/>
      <c r="E90" s="25" t="str">
        <f>IF($A$25="mm","mm","in")</f>
        <v>in</v>
      </c>
      <c r="F90" s="15"/>
      <c r="G90" s="15"/>
      <c r="H90" s="15"/>
      <c r="I90" s="15" t="str">
        <f>IF(L83="N/A","",IF(NOT(G83="Bolted"),"","Minimum tearout distance:"))</f>
        <v/>
      </c>
      <c r="J90" s="16"/>
      <c r="K90" s="25" t="str">
        <f>IF($A$25="mm","mm","in")</f>
        <v>in</v>
      </c>
      <c r="L90" s="11" t="str">
        <f>IF(L83="N/A","N/A",IF(NOT(G83="Bolted"),"N/A",IF(J90="","BLANK","EQ")))</f>
        <v>N/A</v>
      </c>
      <c r="X90" s="294"/>
      <c r="Y90" s="294"/>
      <c r="Z90" s="294"/>
      <c r="AA90" s="294"/>
      <c r="AB90" s="294"/>
      <c r="AC90" s="294"/>
      <c r="AD90" s="294"/>
      <c r="AE90" s="294"/>
      <c r="AF90" s="294"/>
      <c r="AG90" s="11"/>
      <c r="AH90" s="11" t="s">
        <v>701</v>
      </c>
      <c r="AI90" s="11">
        <f>IF($A$25="mm",AN66/2000,AN66/2)</f>
        <v>0</v>
      </c>
      <c r="AJ90" s="25" t="str">
        <f>IF($A$25="mm","m","in")</f>
        <v>in</v>
      </c>
      <c r="AK90" s="180" t="s">
        <v>702</v>
      </c>
      <c r="AL90" s="181" t="e">
        <f ca="1">AI90*AI91</f>
        <v>#VALUE!</v>
      </c>
      <c r="AM90" s="50" t="str">
        <f>IF($A$25="mm","m^2","in^2")</f>
        <v>in^2</v>
      </c>
      <c r="AN90" s="180" t="s">
        <v>703</v>
      </c>
      <c r="AO90" s="181" t="e">
        <f ca="1">(AI90*AI91^3)/12</f>
        <v>#VALUE!</v>
      </c>
      <c r="AP90" s="50" t="str">
        <f>IF($A$25="mm","m^4","in^4")</f>
        <v>in^4</v>
      </c>
      <c r="AR90" s="11"/>
      <c r="AS90" s="11"/>
      <c r="AT90" s="11"/>
      <c r="AU90" s="11"/>
      <c r="AV90" s="11"/>
      <c r="AW90" s="124" t="s">
        <v>1096</v>
      </c>
      <c r="AX90" s="128" t="e">
        <f ca="1">AX88*AX89*(IF($A$25="mm",1/(10^6),1))</f>
        <v>#VALUE!</v>
      </c>
      <c r="AY90" s="25" t="str">
        <f>IF($A$25="mm","m^2","in^2")</f>
        <v>in^2</v>
      </c>
      <c r="AZ90" s="11" t="str">
        <f>IF(OR(NOT($AX$41="Laminated"),$AX$85="Yes"),"N/A","EQ")</f>
        <v>N/A</v>
      </c>
      <c r="BB90" s="124"/>
      <c r="BC90" s="15"/>
      <c r="BD90" s="15"/>
      <c r="BE90" s="15"/>
      <c r="BF90" s="15"/>
      <c r="BG90" s="26"/>
      <c r="BH90" s="26"/>
      <c r="BJ90" s="128"/>
      <c r="BL90" s="124"/>
      <c r="BM90" s="15"/>
      <c r="BN90" s="15"/>
      <c r="BO90" s="15"/>
      <c r="BP90" s="15"/>
      <c r="BQ90" s="26"/>
      <c r="BR90" s="26"/>
      <c r="BT90" s="11"/>
      <c r="BV90" s="224"/>
      <c r="BX90" s="214" t="e">
        <f t="shared" si="14"/>
        <v>#DIV/0!</v>
      </c>
      <c r="BY90" s="215">
        <f t="shared" si="15"/>
        <v>0</v>
      </c>
    </row>
    <row r="91" spans="3:83" ht="15" customHeight="1" x14ac:dyDescent="0.2">
      <c r="C91" s="128" t="str">
        <f>IF(G$83="Bolted",IF(D91="","BLANK","EQ"),"N/A")</f>
        <v>N/A</v>
      </c>
      <c r="D91" s="16"/>
      <c r="E91" s="25" t="str">
        <f>IF($A$25="mm","mm","in")</f>
        <v>in</v>
      </c>
      <c r="F91" s="15"/>
      <c r="G91" s="15"/>
      <c r="H91" s="15"/>
      <c r="I91" s="15" t="str">
        <f>IF(L83="N/A","",IF(NOT(G83="Bolted"),"","Min shear perimeter on one surface:"))</f>
        <v/>
      </c>
      <c r="J91" s="16"/>
      <c r="K91" s="25" t="str">
        <f>IF($A$25="mm","mm","in")</f>
        <v>in</v>
      </c>
      <c r="L91" s="11" t="str">
        <f>IF(L83="N/A","N/A",IF(NOT(G83="Bolted"),"N/A",IF(J91="","BLANK","EQ")))</f>
        <v>N/A</v>
      </c>
      <c r="X91" s="294" t="s">
        <v>1097</v>
      </c>
      <c r="Y91" s="294"/>
      <c r="Z91" s="294"/>
      <c r="AA91" s="294"/>
      <c r="AB91" s="294"/>
      <c r="AC91" s="294"/>
      <c r="AD91" s="294"/>
      <c r="AE91" s="294"/>
      <c r="AF91" s="294"/>
      <c r="AG91" s="11"/>
      <c r="AH91" s="22" t="s">
        <v>706</v>
      </c>
      <c r="AI91" s="11" t="str">
        <f ca="1">IF($A$25="mm",AN59/1000,AN59)</f>
        <v>Layup</v>
      </c>
      <c r="AJ91" s="25" t="str">
        <f>IF($A$25="mm","m","in")</f>
        <v>in</v>
      </c>
      <c r="AK91" s="180" t="s">
        <v>707</v>
      </c>
      <c r="AL91" s="181" t="e">
        <f ca="1">AI93*AI94</f>
        <v>#VALUE!</v>
      </c>
      <c r="AM91" s="50" t="str">
        <f>IF($A$25="mm","m^2","in^2")</f>
        <v>in^2</v>
      </c>
      <c r="AN91" s="180" t="s">
        <v>708</v>
      </c>
      <c r="AO91" s="181" t="e">
        <f ca="1">(AI93*AI94^3)/12</f>
        <v>#VALUE!</v>
      </c>
      <c r="AP91" s="50" t="str">
        <f>IF($A$25="mm","m^4","in^4")</f>
        <v>in^4</v>
      </c>
      <c r="AR91" s="11"/>
      <c r="AS91" s="11"/>
      <c r="AT91" s="11"/>
      <c r="AU91" s="11"/>
      <c r="AV91" s="11"/>
      <c r="AW91" s="15" t="s">
        <v>1044</v>
      </c>
      <c r="AX91" s="26" t="str" cm="1">
        <f t="array" aca="1" ref="AX91" ca="1">IF(ISREF(INDIRECT("'"&amp;AX86&amp;"'!$AY$62")),INDIRECT("'"&amp;AX86&amp;"'!$AY$62")*IF($A$25="mm",1,1/6894.76),"Typo")</f>
        <v>Typo</v>
      </c>
      <c r="AY91" s="25" t="str">
        <f>IF($A$25="mm","Pa","psi")</f>
        <v>psi</v>
      </c>
      <c r="AZ91" s="11" t="str">
        <f>IF(OR(NOT($AX$41="Laminated"),$AX$85="Yes"),"N/A",IF(AX91=0,"BLANK","EQ"))</f>
        <v>N/A</v>
      </c>
      <c r="BB91" s="47"/>
      <c r="BC91" s="47"/>
      <c r="BD91" s="124"/>
      <c r="BE91" s="124"/>
      <c r="BF91" s="124"/>
      <c r="BG91" s="181"/>
      <c r="BH91" s="126"/>
      <c r="BI91" s="127"/>
      <c r="BJ91" s="128"/>
      <c r="BL91" s="124"/>
      <c r="BM91" s="15"/>
      <c r="BN91" s="15"/>
      <c r="BO91" s="15"/>
      <c r="BP91" s="15"/>
      <c r="BQ91" s="26"/>
      <c r="BR91" s="26"/>
      <c r="BT91" s="128"/>
      <c r="BV91" s="224"/>
      <c r="BX91" s="214" t="e">
        <f t="shared" si="14"/>
        <v>#DIV/0!</v>
      </c>
      <c r="BY91" s="215">
        <f t="shared" si="15"/>
        <v>0</v>
      </c>
    </row>
    <row r="92" spans="3:83" ht="15" customHeight="1" thickBot="1" x14ac:dyDescent="0.25">
      <c r="C92" s="33"/>
      <c r="D92" s="35"/>
      <c r="E92" s="124"/>
      <c r="F92" s="15"/>
      <c r="G92" s="15"/>
      <c r="H92" s="15"/>
      <c r="I92" s="15" t="str">
        <f>IF(L83="N/A","",IF(NOT(G83="Bolted"),"","Total number of fasteners used:"))</f>
        <v/>
      </c>
      <c r="J92" s="16"/>
      <c r="L92" s="11" t="str">
        <f>IF(L83="N/A","N/A",IF(NOT(G83="Bolted"),"N/A",IF(OR(J92="",J92=0),"BLANK","EQ")))</f>
        <v>N/A</v>
      </c>
      <c r="X92" s="294"/>
      <c r="Y92" s="294"/>
      <c r="Z92" s="294"/>
      <c r="AA92" s="294"/>
      <c r="AB92" s="294"/>
      <c r="AC92" s="294"/>
      <c r="AD92" s="294"/>
      <c r="AE92" s="294"/>
      <c r="AF92" s="294"/>
      <c r="AG92" s="11"/>
      <c r="AH92" s="22" t="s">
        <v>711</v>
      </c>
      <c r="AI92" s="11" t="e">
        <f ca="1">IF($A$25="mm",AN61/1000,AN61)</f>
        <v>#VALUE!</v>
      </c>
      <c r="AJ92" s="25" t="str">
        <f>IF($A$25="mm","m","in")</f>
        <v>in</v>
      </c>
      <c r="AK92" s="180" t="s">
        <v>712</v>
      </c>
      <c r="AL92" s="128" t="e">
        <f ca="1">AI91/2</f>
        <v>#VALUE!</v>
      </c>
      <c r="AM92" s="50" t="str">
        <f>IF($A$25="mm","m","in")</f>
        <v>in</v>
      </c>
      <c r="AN92" s="180" t="s">
        <v>713</v>
      </c>
      <c r="AO92" s="181" t="str">
        <f ca="1">IF(AL100="","",AO90+(AL90*(AL100-AL92)^2))</f>
        <v/>
      </c>
      <c r="AP92" s="50" t="str">
        <f>IF($A$25="mm","m^4","in^4")</f>
        <v>in^4</v>
      </c>
      <c r="AR92" s="12" t="s">
        <v>896</v>
      </c>
      <c r="AS92" s="11"/>
      <c r="AT92" s="11"/>
      <c r="AU92" s="11"/>
      <c r="AV92" s="11"/>
      <c r="AW92" s="15" t="str">
        <f>IF($A$25="mm","Single tearout path &gt;=120000N:","Single tearout path &gt;=26977lbs:")</f>
        <v>Single tearout path &gt;=26977lbs:</v>
      </c>
      <c r="AX92" s="26" t="str">
        <f ca="1">IF(OR(AX88="",AX89=""),"",AX91*AX90)</f>
        <v/>
      </c>
      <c r="AY92" s="84">
        <f ca="1">IF(AX92="",0,AX92)/IF($A$25="mm",180000,40466)</f>
        <v>0</v>
      </c>
      <c r="AZ92" s="11" t="str">
        <f>IF(OR(NOT($AX$41="Laminated"),$AX$85="Yes"),"N/A",
IF(OR(AX88="",AX89=""),"EQ",
IF(AND($A$25="mm",AX92&gt;=120000),"EQ",IF(AND($A$25="Inch",AX92&gt;=26977),"EQ","REJECT"))))</f>
        <v>N/A</v>
      </c>
      <c r="BB92" s="37"/>
      <c r="BC92" s="124"/>
      <c r="BD92" s="124"/>
      <c r="BE92" s="124"/>
      <c r="BF92" s="124"/>
      <c r="BG92" s="181"/>
      <c r="BH92" s="126"/>
      <c r="BI92" s="127"/>
      <c r="BJ92" s="128"/>
      <c r="BL92" s="47"/>
      <c r="BM92" s="47"/>
      <c r="BN92" s="124"/>
      <c r="BO92" s="124"/>
      <c r="BP92" s="124"/>
      <c r="BQ92" s="181"/>
      <c r="BR92" s="126"/>
      <c r="BS92" s="127"/>
      <c r="BT92" s="128"/>
      <c r="BV92" s="224"/>
      <c r="BX92" s="214" t="e">
        <f t="shared" si="14"/>
        <v>#DIV/0!</v>
      </c>
      <c r="BY92" s="215">
        <f t="shared" si="15"/>
        <v>0</v>
      </c>
    </row>
    <row r="93" spans="3:83" ht="15" customHeight="1" thickBot="1" x14ac:dyDescent="0.25">
      <c r="C93" s="33"/>
      <c r="D93" s="35"/>
      <c r="E93" s="124"/>
      <c r="F93" s="15"/>
      <c r="G93" s="15"/>
      <c r="H93" s="15"/>
      <c r="I93" s="15" t="str">
        <f>IF(L83="N/A","",IF(NOT(G83="Bolted"),"","Fastener shear diameter:"))</f>
        <v/>
      </c>
      <c r="J93" s="81"/>
      <c r="K93" s="25" t="str">
        <f>IF($A$25="mm","mm","in")</f>
        <v>in</v>
      </c>
      <c r="L93" s="11" t="str">
        <f>IF(L83="N/A","N/A",IF(NOT(G83="Bolted"),"N/A",IF(J93="","BLANK","EQ")))</f>
        <v>N/A</v>
      </c>
      <c r="X93" s="294" t="s">
        <v>1098</v>
      </c>
      <c r="Y93" s="294"/>
      <c r="Z93" s="294"/>
      <c r="AA93" s="294"/>
      <c r="AB93" s="294"/>
      <c r="AC93" s="294"/>
      <c r="AD93" s="294"/>
      <c r="AE93" s="294"/>
      <c r="AF93" s="294"/>
      <c r="AG93" s="11"/>
      <c r="AH93" s="11" t="s">
        <v>717</v>
      </c>
      <c r="AI93" s="11">
        <f ca="1">IF($A$25="mm",AN66/2000-AI98,AN66/2-AI98)</f>
        <v>0</v>
      </c>
      <c r="AJ93" s="25" t="str">
        <f>IF($A$25="mm","m","in")</f>
        <v>in</v>
      </c>
      <c r="AK93" s="180" t="s">
        <v>718</v>
      </c>
      <c r="AL93" s="128" t="e">
        <f ca="1">(AI92-0.5*AI94)</f>
        <v>#VALUE!</v>
      </c>
      <c r="AM93" s="50" t="str">
        <f>IF($A$25="mm","m","in")</f>
        <v>in</v>
      </c>
      <c r="AN93" s="180" t="s">
        <v>719</v>
      </c>
      <c r="AO93" s="181" t="str">
        <f ca="1">IF(AL100="","",AO91+(AL91*(AL100-AL93)^2))</f>
        <v/>
      </c>
      <c r="AP93" s="50" t="str">
        <f>IF($A$25="mm","m^4","in^4")</f>
        <v>in^4</v>
      </c>
      <c r="AR93" s="11"/>
      <c r="AS93" s="11"/>
      <c r="AT93" s="11"/>
      <c r="AU93" s="11"/>
      <c r="AV93" s="11"/>
      <c r="AW93" s="15" t="s">
        <v>1099</v>
      </c>
      <c r="AX93" s="298"/>
      <c r="AY93" s="300"/>
      <c r="AZ93" s="11" t="str">
        <f>IF(OR(NOT($AX$41="Laminated"),$AX$85="Yes"),"N/A",IF(AX93="","BLANK","EQ"))</f>
        <v>N/A</v>
      </c>
      <c r="BB93" s="37"/>
      <c r="BC93" s="124"/>
      <c r="BD93" s="124"/>
      <c r="BE93" s="124"/>
      <c r="BF93" s="124"/>
      <c r="BG93" s="181"/>
      <c r="BH93" s="126"/>
      <c r="BI93" s="127"/>
      <c r="BJ93" s="128"/>
      <c r="BL93" s="37"/>
      <c r="BM93" s="124"/>
      <c r="BN93" s="124"/>
      <c r="BO93" s="124"/>
      <c r="BP93" s="124"/>
      <c r="BQ93" s="181"/>
      <c r="BR93" s="126"/>
      <c r="BS93" s="127"/>
      <c r="BT93" s="128"/>
      <c r="BV93" s="224"/>
      <c r="BX93" s="214" t="e">
        <f t="shared" si="14"/>
        <v>#DIV/0!</v>
      </c>
      <c r="BY93" s="215">
        <f t="shared" si="15"/>
        <v>0</v>
      </c>
    </row>
    <row r="94" spans="3:83" ht="15" customHeight="1" thickBot="1" x14ac:dyDescent="0.25">
      <c r="C94" s="22"/>
      <c r="D94" s="35"/>
      <c r="E94" s="124"/>
      <c r="F94" s="15"/>
      <c r="G94" s="15"/>
      <c r="H94" s="15"/>
      <c r="I94" s="15" t="str">
        <f>IF(L83="N/A","",IF(NOT(G83="Bolted"),"","Fastener UTS:"))</f>
        <v/>
      </c>
      <c r="J94" s="81"/>
      <c r="K94" s="25" t="str">
        <f>IF($A$25="mm","N","lbs")</f>
        <v>lbs</v>
      </c>
      <c r="L94" s="11" t="str">
        <f>IF(L83="N/A","N/A",IF(NOT(G83="Bolted"),"N/A",IF(OR(J94="",J94=0),"BLANK","EQ")))</f>
        <v>N/A</v>
      </c>
      <c r="X94" s="294"/>
      <c r="Y94" s="294"/>
      <c r="Z94" s="294"/>
      <c r="AA94" s="294"/>
      <c r="AB94" s="294"/>
      <c r="AC94" s="294"/>
      <c r="AD94" s="294"/>
      <c r="AE94" s="294"/>
      <c r="AF94" s="294"/>
      <c r="AG94" s="11"/>
      <c r="AH94" s="11" t="s">
        <v>723</v>
      </c>
      <c r="AI94" s="11" t="str">
        <f ca="1">IF($A$25="mm",AN60/1000,AN60)</f>
        <v>Typo</v>
      </c>
      <c r="AJ94" s="25" t="str">
        <f>IF($A$25="mm","m","in")</f>
        <v>in</v>
      </c>
      <c r="AK94" s="180"/>
      <c r="AL94" s="194"/>
      <c r="AM94" s="50"/>
      <c r="AN94" s="180" t="s">
        <v>725</v>
      </c>
      <c r="AO94" s="181" t="str">
        <f ca="1">IF(AL100="","",AO92+AO93)</f>
        <v/>
      </c>
      <c r="AP94" s="50" t="str">
        <f>IF($A$25="mm","m^4","in^4")</f>
        <v>in^4</v>
      </c>
      <c r="AR94" s="12"/>
      <c r="AS94" s="11"/>
      <c r="AT94" s="11"/>
      <c r="AU94" s="11"/>
      <c r="AV94" s="11"/>
      <c r="AW94" s="15" t="s">
        <v>1100</v>
      </c>
      <c r="AX94" s="181" t="str" cm="1">
        <f t="array" aca="1" ref="AX94" ca="1">IF(ISREF(INDIRECT("'"&amp;AX86&amp;"'!$BM$76")),INDIRECT("'"&amp;AX86&amp;"'!$BM$76")*IF($A$25="mm",1,1/6894.76),"Typo")</f>
        <v>Typo</v>
      </c>
      <c r="AY94" s="25" t="str">
        <f>IF($A$25="mm","Pa","psi")</f>
        <v>psi</v>
      </c>
      <c r="AZ94" s="11" t="str">
        <f>IF(OR(NOT($AX$41="Laminated"),$AX$85="Yes",AX93="Pre-Cure"),"N/A",IF(AX94=0,"BLANK","EQ"))</f>
        <v>N/A</v>
      </c>
      <c r="BC94" s="15"/>
      <c r="BD94" s="15"/>
      <c r="BE94" s="15"/>
      <c r="BF94" s="15"/>
      <c r="BG94" s="181"/>
      <c r="BH94" s="126"/>
      <c r="BI94" s="127"/>
      <c r="BJ94" s="128"/>
      <c r="BL94" s="37"/>
      <c r="BM94" s="124"/>
      <c r="BN94" s="124"/>
      <c r="BO94" s="124"/>
      <c r="BP94" s="124"/>
      <c r="BQ94" s="181"/>
      <c r="BR94" s="126"/>
      <c r="BS94" s="127"/>
      <c r="BT94" s="128"/>
      <c r="BV94" s="224"/>
      <c r="BX94" s="214" t="e">
        <f t="shared" si="14"/>
        <v>#DIV/0!</v>
      </c>
      <c r="BY94" s="215">
        <f t="shared" si="15"/>
        <v>0</v>
      </c>
    </row>
    <row r="95" spans="3:83" ht="15" customHeight="1" thickBot="1" x14ac:dyDescent="0.25">
      <c r="C95" s="22"/>
      <c r="D95" s="35"/>
      <c r="E95" s="124"/>
      <c r="F95" s="15"/>
      <c r="G95" s="15"/>
      <c r="H95" s="15"/>
      <c r="I95" s="15" t="str">
        <f>IF(L83="N/A","",IF(NOT(G83="Bolted"),"","Threads in shear:"))</f>
        <v/>
      </c>
      <c r="J95" s="173"/>
      <c r="L95" s="11" t="str">
        <f>IF(L83="N/A","N/A",IF(NOT(G83="Bolted"),"N/A",IF(J95="Yes","CHECK","EQ")))</f>
        <v>N/A</v>
      </c>
      <c r="X95" s="42"/>
      <c r="Y95" s="352"/>
      <c r="Z95" s="352"/>
      <c r="AA95" s="352"/>
      <c r="AB95" s="352"/>
      <c r="AC95" s="352"/>
      <c r="AD95" s="352"/>
      <c r="AE95" s="352"/>
      <c r="AF95" s="42"/>
      <c r="AG95" s="11"/>
      <c r="AH95" s="22"/>
      <c r="AI95" s="37" t="str">
        <f>IF($A$25="mm","FBHS 25mm Properties","FBHS 1in Properties")</f>
        <v>FBHS 1in Properties</v>
      </c>
      <c r="AJ95" s="37"/>
      <c r="AK95" s="37"/>
      <c r="AL95" s="178" t="str">
        <f>IF($A$25="mm","FBHS 25mm Properties","FBHS 1in Properties")</f>
        <v>FBHS 1in Properties</v>
      </c>
      <c r="AM95" s="37"/>
      <c r="AN95" s="179"/>
      <c r="AO95" s="178" t="str">
        <f>IF($A$25="mm","FBHS 25mm Properties","FBHS 1in Properties")</f>
        <v>FBHS 1in Properties</v>
      </c>
      <c r="AP95" s="179"/>
      <c r="AR95" s="11"/>
      <c r="AS95" s="11"/>
      <c r="AT95" s="11"/>
      <c r="AU95" s="11"/>
      <c r="AV95" s="11"/>
      <c r="AW95" s="15" t="s">
        <v>1101</v>
      </c>
      <c r="AX95" s="16"/>
      <c r="AY95" s="25" t="str">
        <f>IF($A$25="mm","mm","in")</f>
        <v>in</v>
      </c>
      <c r="AZ95" s="11" t="str">
        <f>IF(OR(NOT($AX$41="Laminated"),$AX$85="Yes",AX93="Pre-Cure"),"N/A",IF(AX95="","BLANK","EQ"))</f>
        <v>N/A</v>
      </c>
      <c r="BC95" s="15"/>
      <c r="BD95" s="15"/>
      <c r="BE95" s="15"/>
      <c r="BF95" s="15"/>
      <c r="BG95" s="181"/>
      <c r="BH95" s="126"/>
      <c r="BI95" s="127"/>
      <c r="BJ95" s="128"/>
      <c r="BL95" s="12"/>
      <c r="BM95" s="15"/>
      <c r="BN95" s="15"/>
      <c r="BO95" s="15"/>
      <c r="BP95" s="15"/>
      <c r="BQ95" s="181"/>
      <c r="BR95" s="126"/>
      <c r="BS95" s="127"/>
      <c r="BT95" s="128"/>
      <c r="BV95" s="224"/>
      <c r="BX95" s="214" t="e">
        <f t="shared" si="14"/>
        <v>#DIV/0!</v>
      </c>
      <c r="BY95" s="215">
        <f t="shared" si="15"/>
        <v>0</v>
      </c>
    </row>
    <row r="96" spans="3:83" ht="15" customHeight="1" x14ac:dyDescent="0.2">
      <c r="C96" s="128"/>
      <c r="D96" s="26"/>
      <c r="E96" s="177" t="str">
        <f>IF(D96=0,"",D96/(60000/IF($A$25="mm",1,9.81/2.2046)))</f>
        <v/>
      </c>
      <c r="F96" s="15"/>
      <c r="G96" s="15"/>
      <c r="H96" s="15"/>
      <c r="I96" s="15" t="str">
        <f>IF(L83="N/A","",IF(NOT(G83="Bolted"),"",IF($A$25="mm","Fastener shear &gt;= 60000N:","Fastener shear &gt;= 13484lbs:")))</f>
        <v/>
      </c>
      <c r="J96" s="26">
        <f>0.577*J92*J94*PI()*((J93/2)^2)</f>
        <v>0</v>
      </c>
      <c r="K96" s="177" t="str">
        <f>IF(J96=0,"",J96/(60000/IF($A$25="mm",1,9.81/2.2046)))</f>
        <v/>
      </c>
      <c r="L96" s="11" t="str">
        <f>IF(L83="N/A","N/A",IF(NOT(G83="Bolted"),"N/A",IF(K96&lt;1,"REJECT","EQ")))</f>
        <v>N/A</v>
      </c>
      <c r="X96" s="42"/>
      <c r="Y96" s="352"/>
      <c r="Z96" s="352"/>
      <c r="AA96" s="352"/>
      <c r="AB96" s="352"/>
      <c r="AC96" s="352"/>
      <c r="AD96" s="352"/>
      <c r="AE96" s="352"/>
      <c r="AF96" s="42"/>
      <c r="AG96" s="11"/>
      <c r="AH96" s="11" t="s">
        <v>701</v>
      </c>
      <c r="AI96" s="11">
        <f ca="1">IF($A$25="mm",AN72/1000,AN72)</f>
        <v>0</v>
      </c>
      <c r="AJ96" s="25" t="str">
        <f>IF($A$25="mm","m","in")</f>
        <v>in</v>
      </c>
      <c r="AK96" s="180" t="s">
        <v>702</v>
      </c>
      <c r="AL96" s="181" t="e">
        <f ca="1">AI96*AI97</f>
        <v>#VALUE!</v>
      </c>
      <c r="AM96" s="50" t="str">
        <f>IF($A$25="mm","m^2","in^2")</f>
        <v>in^2</v>
      </c>
      <c r="AN96" s="180" t="s">
        <v>703</v>
      </c>
      <c r="AO96" s="181" t="e">
        <f ca="1">(AI96*AI97^3)/12</f>
        <v>#VALUE!</v>
      </c>
      <c r="AP96" s="50" t="str">
        <f>IF($A$25="mm","m^4","in^4")</f>
        <v>in^4</v>
      </c>
      <c r="AR96" s="11"/>
      <c r="AS96" s="11"/>
      <c r="AT96" s="11"/>
      <c r="AU96" s="11"/>
      <c r="AV96" s="11"/>
      <c r="AW96" s="15" t="s">
        <v>1102</v>
      </c>
      <c r="AX96" s="11">
        <f>IF($A$25="mm",AX88*AX95/10^6,AX88*AX95)</f>
        <v>0</v>
      </c>
      <c r="AY96" s="25" t="str">
        <f>IF($A$25="mm","m^2","in^2")</f>
        <v>in^2</v>
      </c>
      <c r="AZ96" s="11" t="str">
        <f>IF(OR(NOT($AX$41="Laminated"),$AX$85="Yes",AX93="Pre-Cure"),"N/A","EQ")</f>
        <v>N/A</v>
      </c>
      <c r="BC96" s="15"/>
      <c r="BD96" s="15"/>
      <c r="BE96" s="15"/>
      <c r="BF96" s="15"/>
      <c r="BG96" s="26"/>
      <c r="BH96" s="26"/>
      <c r="BI96" s="127"/>
      <c r="BJ96" s="11"/>
      <c r="BL96" s="12"/>
      <c r="BM96" s="15"/>
      <c r="BN96" s="15"/>
      <c r="BO96" s="15"/>
      <c r="BP96" s="15"/>
      <c r="BQ96" s="181"/>
      <c r="BR96" s="126"/>
      <c r="BS96" s="127"/>
      <c r="BT96" s="128"/>
      <c r="BV96" s="224"/>
      <c r="BX96" s="214" t="e">
        <f t="shared" si="14"/>
        <v>#DIV/0!</v>
      </c>
      <c r="BY96" s="215">
        <f t="shared" si="15"/>
        <v>0</v>
      </c>
    </row>
    <row r="97" spans="3:77" ht="15" customHeight="1" x14ac:dyDescent="0.2">
      <c r="C97" s="128" t="str">
        <f t="shared" ref="C97:C98" si="17">IF(L$83="N/A","N/A",IF(NOT(G$83="Bolted"),"N/A",IF(E97&lt;1,"REJECT","EQ")))</f>
        <v>N/A</v>
      </c>
      <c r="D97" s="26">
        <f ca="1">D87*IF(E83="Composite",D88+D89,D85)*D91*IF($A$25="mm",1/10^6,1)</f>
        <v>0</v>
      </c>
      <c r="E97" s="177" t="str">
        <f ca="1">IF(D97=0,"",D97/(60000/IF($A$25="mm",1,9.81/2.2046)))</f>
        <v/>
      </c>
      <c r="F97" s="15"/>
      <c r="G97" s="15"/>
      <c r="H97" s="15"/>
      <c r="I97" s="15" t="str">
        <f>IF(L83="N/A","",IF(NOT(G83="Bolted"),"",IF($A$25="mm","Pullout &gt;= 60000N:","Pullout &gt;= 13484N:")))</f>
        <v/>
      </c>
      <c r="J97" s="26">
        <f ca="1">J87*IF(J83="Composite",J88+J89,J85)*J91*IF($A$25="mm",1/10^6,1)</f>
        <v>0</v>
      </c>
      <c r="K97" s="177" t="str">
        <f ca="1">IF(J97=0,"",J97/(60000/IF($A$25="mm",1,9.81/2.2046)))</f>
        <v/>
      </c>
      <c r="L97" s="11" t="str">
        <f>IF(L83="N/A","N/A",IF(NOT(G83="Bolted"),"N/A",IF(K97&lt;1,"REJECT","EQ")))</f>
        <v>N/A</v>
      </c>
      <c r="X97" s="294" t="s">
        <v>1103</v>
      </c>
      <c r="Y97" s="294"/>
      <c r="Z97" s="294"/>
      <c r="AA97" s="294"/>
      <c r="AB97" s="294"/>
      <c r="AC97" s="294"/>
      <c r="AD97" s="294"/>
      <c r="AE97" s="294"/>
      <c r="AF97" s="294"/>
      <c r="AH97" s="22" t="s">
        <v>706</v>
      </c>
      <c r="AI97" s="11" t="e">
        <f ca="1">IF($A$25="mm",0.025,0.984)+AI92</f>
        <v>#VALUE!</v>
      </c>
      <c r="AJ97" s="25" t="str">
        <f>IF($A$25="mm","m","in")</f>
        <v>in</v>
      </c>
      <c r="AK97" s="180" t="s">
        <v>707</v>
      </c>
      <c r="AL97" s="181">
        <f ca="1">AI99*AI100</f>
        <v>0</v>
      </c>
      <c r="AM97" s="50" t="str">
        <f>IF($A$25="mm","m^2","in^2")</f>
        <v>in^2</v>
      </c>
      <c r="AN97" s="180" t="s">
        <v>708</v>
      </c>
      <c r="AO97" s="181">
        <f ca="1">(AI99*AI100^3)/12</f>
        <v>0</v>
      </c>
      <c r="AP97" s="50" t="str">
        <f>IF($A$25="mm","m^4","in^4")</f>
        <v>in^4</v>
      </c>
      <c r="AR97" s="12" t="s">
        <v>896</v>
      </c>
      <c r="AS97" s="11"/>
      <c r="AT97" s="11"/>
      <c r="AU97" s="11"/>
      <c r="AV97" s="11"/>
      <c r="AW97" s="15" t="str">
        <f>IF($A$25="mm","Bond failure &gt;=120000N:","Bond failure &gt;=26977lbs:")</f>
        <v>Bond failure &gt;=26977lbs:</v>
      </c>
      <c r="AX97" s="11" t="e">
        <f ca="1">AX94*AX96</f>
        <v>#VALUE!</v>
      </c>
      <c r="AY97" s="84" t="e">
        <f ca="1">IF(AX97="",0,AX97)/IF($A$25="mm",120000,26977)</f>
        <v>#VALUE!</v>
      </c>
      <c r="AZ97" s="11" t="str">
        <f>IF(OR(NOT($AX$41="Laminated"),$AX$85="Yes",AX93="Pre-Cure"),"N/A",
IF(OR(AX88="",AX94="",AX95=""),"EQ",
IF(AND($A$25="mm",AX97&gt;=120000),"EQ",IF(AND($A$25="Inch",AX97&gt;=26977),"EQ","REJECT"))))</f>
        <v>N/A</v>
      </c>
      <c r="BC97" s="15"/>
      <c r="BD97" s="15"/>
      <c r="BE97" s="15"/>
      <c r="BF97" s="15"/>
      <c r="BG97" s="15"/>
      <c r="BH97" s="26"/>
      <c r="BJ97" s="11"/>
      <c r="BL97" s="12"/>
      <c r="BM97" s="15"/>
      <c r="BN97" s="15"/>
      <c r="BO97" s="15"/>
      <c r="BP97" s="15"/>
      <c r="BQ97" s="26"/>
      <c r="BR97" s="26"/>
      <c r="BS97" s="127"/>
      <c r="BT97" s="11"/>
      <c r="BV97" s="224"/>
      <c r="BX97" s="214" t="e">
        <f t="shared" si="14"/>
        <v>#DIV/0!</v>
      </c>
      <c r="BY97" s="215">
        <f t="shared" si="15"/>
        <v>0</v>
      </c>
    </row>
    <row r="98" spans="3:77" ht="15" customHeight="1" x14ac:dyDescent="0.2">
      <c r="C98" s="128" t="str">
        <f t="shared" si="17"/>
        <v>N/A</v>
      </c>
      <c r="D98" s="26">
        <f ca="1">2*D87*IF(E83="Composite",D88+D89,D85)*J92*D90*IF($A$25="mm",1/10^6,1)</f>
        <v>0</v>
      </c>
      <c r="E98" s="177" t="str">
        <f ca="1">IF(D98=0,"",D98/(60000/IF($A$25="mm",1,9.81/2.2046)))</f>
        <v/>
      </c>
      <c r="F98" s="15"/>
      <c r="G98" s="15"/>
      <c r="H98" s="15"/>
      <c r="I98" s="15" t="str">
        <f>IF(L83="N/A","",IF(NOT(G83="Bolted"),"",IF($A$25="mm","Tearout &gt;= 60000N:","Tearout &gt;= 13484N:")))</f>
        <v/>
      </c>
      <c r="J98" s="26">
        <f ca="1">2*J87*IF(J83="Composite",J88+J89,J85)*J92*J90*IF($A$25="mm",1/10^6,1)</f>
        <v>0</v>
      </c>
      <c r="K98" s="177" t="str">
        <f ca="1">IF(J98=0,"",J98/(60000/IF($A$25="mm",1,9.81/2.2046)))</f>
        <v/>
      </c>
      <c r="L98" s="11" t="str">
        <f>IF(L83="N/A","N/A",IF(NOT(G83="Bolted"),"N/A",IF(K98&lt;1,"REJECT","EQ")))</f>
        <v>N/A</v>
      </c>
      <c r="X98" s="294"/>
      <c r="Y98" s="294"/>
      <c r="Z98" s="294"/>
      <c r="AA98" s="294"/>
      <c r="AB98" s="294"/>
      <c r="AC98" s="294"/>
      <c r="AD98" s="294"/>
      <c r="AE98" s="294"/>
      <c r="AF98" s="294"/>
      <c r="AH98" s="22" t="s">
        <v>711</v>
      </c>
      <c r="AI98" s="11">
        <f ca="1">IF($A$25="mm",AN74/1000,AN74)</f>
        <v>0</v>
      </c>
      <c r="AJ98" s="25" t="str">
        <f>IF($A$25="mm","m","in")</f>
        <v>in</v>
      </c>
      <c r="AK98" s="180" t="s">
        <v>712</v>
      </c>
      <c r="AL98" s="128" t="e">
        <f ca="1">AI92+AI100/2</f>
        <v>#VALUE!</v>
      </c>
      <c r="AM98" s="50" t="str">
        <f>IF($A$25="mm","m","in")</f>
        <v>in</v>
      </c>
      <c r="AN98" s="180" t="s">
        <v>713</v>
      </c>
      <c r="AO98" s="181" t="str">
        <f ca="1">IF(AL100="","",AO96+(AL96*(AL100-AL98)^2))</f>
        <v/>
      </c>
      <c r="AP98" s="50" t="str">
        <f>IF($A$25="mm","m^4","in^4")</f>
        <v>in^4</v>
      </c>
      <c r="BL98" s="12"/>
      <c r="BM98" s="15"/>
      <c r="BN98" s="15"/>
      <c r="BO98" s="15"/>
      <c r="BP98" s="15"/>
      <c r="BQ98" s="15"/>
      <c r="BR98" s="26"/>
      <c r="BT98" s="11"/>
      <c r="BV98" s="224"/>
      <c r="BX98" s="214" t="e">
        <f t="shared" si="14"/>
        <v>#DIV/0!</v>
      </c>
      <c r="BY98" s="215">
        <f t="shared" si="15"/>
        <v>0</v>
      </c>
    </row>
    <row r="99" spans="3:77" ht="15" customHeight="1" x14ac:dyDescent="0.2">
      <c r="C99" s="22"/>
      <c r="D99" s="35"/>
      <c r="E99" s="124"/>
      <c r="F99" s="15"/>
      <c r="G99" s="15"/>
      <c r="H99" s="11"/>
      <c r="I99" s="15" t="str">
        <f>IF(L83="N/A","",IF(OR(AND(G83="Welded",I83="FB"),NOT(G83="Welded")),"","Welded Shear Strength:"))</f>
        <v/>
      </c>
      <c r="J99" s="26" cm="1">
        <f t="array" ref="J99">0.577*INDEX(A7:C7,1,IF(E83="Steel",1,IF(E83="6061-T6",2,3)))</f>
        <v>25099.499999999996</v>
      </c>
      <c r="K99" s="25" t="str">
        <f>IF($A$25="mm","Pa","psi")</f>
        <v>psi</v>
      </c>
      <c r="L99" s="11" t="str">
        <f>IF(L83="N/A","N/A",IF(OR(AND(G83="Welded",I83="FB"),NOT(G83="Welded")),"N/A",IF(J99=0,"BLANK","EQ")))</f>
        <v>N/A</v>
      </c>
      <c r="X99" s="42"/>
      <c r="Y99" s="42"/>
      <c r="Z99" s="42"/>
      <c r="AA99" s="42"/>
      <c r="AB99" s="42"/>
      <c r="AC99" s="42"/>
      <c r="AD99" s="42"/>
      <c r="AE99" s="42"/>
      <c r="AF99" s="42"/>
      <c r="AH99" s="11" t="s">
        <v>717</v>
      </c>
      <c r="AI99" s="11">
        <f ca="1">IF($A$25="mm",AN73/1000,AN73)</f>
        <v>0</v>
      </c>
      <c r="AJ99" s="25" t="str">
        <f>IF($A$25="mm","m","in")</f>
        <v>in</v>
      </c>
      <c r="AK99" s="180" t="s">
        <v>718</v>
      </c>
      <c r="AL99" s="128" t="e">
        <f ca="1">AL98</f>
        <v>#VALUE!</v>
      </c>
      <c r="AM99" s="50" t="str">
        <f>IF($A$25="mm","m","in")</f>
        <v>in</v>
      </c>
      <c r="AN99" s="180" t="s">
        <v>719</v>
      </c>
      <c r="AO99" s="181" t="str">
        <f ca="1">IF(AL100="","",AO97+(AL97*(AL100-AL99)^2))</f>
        <v/>
      </c>
      <c r="AP99" s="50" t="str">
        <f>IF($A$25="mm","m^4","in^4")</f>
        <v>in^4</v>
      </c>
      <c r="AR99" s="295" t="str" cm="1">
        <f t="array" ref="AR99">IF(COUNTIF(AZ100:AZ108,"BLANK"),"BLANK",IF(OR(SUMPRODUCT(--ISERROR(AZ100:AZ108))&gt;0,COUNTIF(AZ100:AZ108,"REJECT")),"REJECT",IF(COUNTIF(AZ100:AZ108,"CHECK"),"CHECK","EQ")))</f>
        <v>EQ</v>
      </c>
      <c r="AS99" s="295"/>
      <c r="AT99" s="295"/>
      <c r="AU99" s="295"/>
      <c r="AV99" s="295"/>
      <c r="AW99" s="295"/>
      <c r="AX99" s="295"/>
      <c r="AY99" s="295"/>
      <c r="AZ99" s="295"/>
      <c r="BL99" s="12"/>
      <c r="BM99" s="35"/>
      <c r="BV99" s="224"/>
      <c r="BX99" s="214" t="e">
        <f t="shared" si="14"/>
        <v>#DIV/0!</v>
      </c>
      <c r="BY99" s="215">
        <f t="shared" si="15"/>
        <v>0</v>
      </c>
    </row>
    <row r="100" spans="3:77" ht="15" customHeight="1" x14ac:dyDescent="0.2">
      <c r="C100" s="22"/>
      <c r="D100" s="15"/>
      <c r="E100" s="124"/>
      <c r="F100" s="124"/>
      <c r="G100" s="124"/>
      <c r="H100" s="124"/>
      <c r="I100" s="188" t="str">
        <f>IF(L83="N/A","",IF(OR(AND(G83="Welded",I83="FB"),NOT(G83="Welded")),"","Total weld perimeter:"))</f>
        <v/>
      </c>
      <c r="J100" s="192"/>
      <c r="K100" s="25" t="str">
        <f>IF($A$25="mm","mm","in")</f>
        <v>in</v>
      </c>
      <c r="L100" s="128" t="str">
        <f>IF(L83="N/A","N/A",IF(OR(AND(G83="Welded",I83="FB"),NOT(G83="Welded")),"N/A",IF(J100="","BLANK","EQ")))</f>
        <v>N/A</v>
      </c>
      <c r="X100" s="42"/>
      <c r="Y100" s="42"/>
      <c r="Z100" s="42"/>
      <c r="AA100" s="42"/>
      <c r="AB100" s="42"/>
      <c r="AC100" s="42"/>
      <c r="AD100" s="42"/>
      <c r="AE100" s="42"/>
      <c r="AF100" s="42"/>
      <c r="AH100" s="11" t="s">
        <v>723</v>
      </c>
      <c r="AI100" s="11">
        <f>IF($A$25="mm",0.025,0.984)</f>
        <v>0.98399999999999999</v>
      </c>
      <c r="AJ100" s="25" t="str">
        <f>IF($A$25="mm","m","in")</f>
        <v>in</v>
      </c>
      <c r="AK100" s="180" t="s">
        <v>724</v>
      </c>
      <c r="AL100" s="194" t="str">
        <f ca="1">IF(OR(AN63="",AN59="",AN60=""),"",(AL90*AL92+AL91*AL93+AL96*AL98+AL97*AL99)/(AL90+AL91+AL96+AL97))</f>
        <v/>
      </c>
      <c r="AM100" s="50" t="str">
        <f>IF($A$25="mm","m","in")</f>
        <v>in</v>
      </c>
      <c r="AN100" s="180" t="s">
        <v>725</v>
      </c>
      <c r="AO100" s="181" t="str">
        <f ca="1">IF(AL100="","",AO98+AO99)</f>
        <v/>
      </c>
      <c r="AP100" s="50" t="str">
        <f>IF($A$25="mm","m^4","in^4")</f>
        <v>in^4</v>
      </c>
      <c r="AR100" s="11"/>
      <c r="AS100" s="11"/>
      <c r="AT100" s="11"/>
      <c r="AU100" s="11"/>
      <c r="AV100" s="12" t="s">
        <v>1104</v>
      </c>
      <c r="AX100" s="12"/>
      <c r="AY100" s="12"/>
      <c r="AZ100" s="11" t="str">
        <f>IF(AND(AV58="",AV73=""),"N/A","EQ")</f>
        <v>N/A</v>
      </c>
      <c r="BL100" s="11"/>
      <c r="BM100" s="11"/>
      <c r="BN100" s="11"/>
      <c r="BO100" s="11"/>
      <c r="BP100" s="11"/>
      <c r="BQ100" s="11"/>
      <c r="BR100" s="11"/>
      <c r="BS100" s="11"/>
      <c r="BT100" s="11"/>
      <c r="BV100" s="224"/>
      <c r="BX100" s="214" t="e">
        <f t="shared" si="14"/>
        <v>#DIV/0!</v>
      </c>
      <c r="BY100" s="215">
        <f t="shared" si="15"/>
        <v>0</v>
      </c>
    </row>
    <row r="101" spans="3:77" ht="15" customHeight="1" x14ac:dyDescent="0.2">
      <c r="C101" s="22"/>
      <c r="D101" s="15"/>
      <c r="E101" s="124"/>
      <c r="F101" s="124"/>
      <c r="G101" s="124"/>
      <c r="H101" s="124"/>
      <c r="I101" s="188" t="str">
        <f>IF(L83="N/A","",IF(OR(AND(G83="Welded",I83="FB"),NOT(G83="Welded")),"","Thickness is assumed = skin thickness:"))</f>
        <v/>
      </c>
      <c r="J101" s="128">
        <f>J61</f>
        <v>4.9000000000000002E-2</v>
      </c>
      <c r="K101" s="25" t="str">
        <f>IF($A$25="mm","mm","in")</f>
        <v>in</v>
      </c>
      <c r="L101" s="128" t="str">
        <f>IF(L83="N/A","N/A",IF(OR(AND(G83="Welded",I83="FB"),NOT(G83="Welded")),"N/A",IF(J101="","BLANK","EQ")))</f>
        <v>N/A</v>
      </c>
      <c r="X101" s="42"/>
      <c r="Y101" s="42"/>
      <c r="Z101" s="42"/>
      <c r="AA101" s="42"/>
      <c r="AB101" s="42"/>
      <c r="AC101" s="42"/>
      <c r="AD101" s="42"/>
      <c r="AE101" s="42"/>
      <c r="AF101" s="42"/>
      <c r="AW101" s="15" t="str">
        <f>IF(AZ100="EQ","Positive Locking Shear Requirement","")</f>
        <v/>
      </c>
      <c r="AX101" s="27">
        <f>IF(AND(NOT(H48="Custom - Non-Composite"),NOT(H48="Custom - Composite")),IF($A$25="mm",1,2.20462/9.81)*IF(H48="Standard Honeycomb",38500,95000),BR59)</f>
        <v>8652.1783893985703</v>
      </c>
      <c r="AY101" s="25" t="str">
        <f>IF($A$25="mm","N","lbs")</f>
        <v>lbs</v>
      </c>
      <c r="AZ101" s="11" t="str">
        <f>IF(AZ100="N/A","N/A","EQ")</f>
        <v>N/A</v>
      </c>
      <c r="BL101" s="12"/>
      <c r="BM101" s="32"/>
      <c r="BN101" s="32"/>
      <c r="BO101" s="32"/>
      <c r="BP101" s="32"/>
      <c r="BQ101" s="11"/>
      <c r="BR101" s="11"/>
      <c r="BT101" s="11"/>
      <c r="BV101" s="224"/>
      <c r="BX101" s="214" t="e">
        <f t="shared" si="14"/>
        <v>#DIV/0!</v>
      </c>
      <c r="BY101" s="215">
        <f t="shared" si="15"/>
        <v>0</v>
      </c>
    </row>
    <row r="102" spans="3:77" ht="15" customHeight="1" x14ac:dyDescent="0.2">
      <c r="C102" s="22"/>
      <c r="D102" s="12"/>
      <c r="E102" s="15"/>
      <c r="F102" s="15"/>
      <c r="G102" s="15"/>
      <c r="H102" s="15"/>
      <c r="I102" s="15" t="str">
        <f>IF(L83="N/A","",IF(OR(AND(G83="Welded",I83="FB"),NOT(G83="Welded")),"",IF($A$25="mm","Shear strength &gt;= 60000N:","Shear strength &gt;= 13484lbs:")))</f>
        <v/>
      </c>
      <c r="J102" s="26" t="str">
        <f>IF(J100="","",J99*J100*J101*IF($A$25="mm",1/10^6,1))</f>
        <v/>
      </c>
      <c r="K102" s="177" t="str">
        <f>IF(J100="","",J102/(60000/IF($A$25="mm",1,9.81/2.2046)))</f>
        <v/>
      </c>
      <c r="L102" s="128" t="str">
        <f>IF(L83="N/A","N/A",IF(OR(AND(G83="Welded",I83="FB"),NOT(G83="Welded")),"N/A",IF(K102&lt;1,"REJECT","EQ")))</f>
        <v>N/A</v>
      </c>
      <c r="AH102" s="295" t="str">
        <f>IF(COUNTIF(AP103:AP126,"BLANK"),"BLANK",IF(OR(SUMPRODUCT(--ISERROR(AP103:AP126))&gt;0,COUNTIF(AP103:AP126,"REJECT")),"REJECT",IF(COUNTIF(AP103:AP126,"CHECK"),"CHECK","EQ")))</f>
        <v>EQ</v>
      </c>
      <c r="AI102" s="295"/>
      <c r="AJ102" s="295"/>
      <c r="AK102" s="295"/>
      <c r="AL102" s="295"/>
      <c r="AM102" s="295"/>
      <c r="AN102" s="295"/>
      <c r="AO102" s="295"/>
      <c r="AP102" s="295"/>
      <c r="AR102" s="15" t="str">
        <f>IF(AZ100="EQ","Shear Diameter:","")</f>
        <v/>
      </c>
      <c r="AS102" s="16"/>
      <c r="AT102" s="25" t="str">
        <f>IF(AZ100="EQ",IF($A$25="mm","mm","in"),"")</f>
        <v/>
      </c>
      <c r="AV102" s="12"/>
      <c r="AW102" s="15" t="str">
        <f>IF(AZ100="EQ","Fastener UTS (Screenshot):","")</f>
        <v/>
      </c>
      <c r="AX102" s="16"/>
      <c r="AY102" s="25" t="str">
        <f>IF(AZ100="EQ",IF($A$25="mm","MPa","psi"),IF($A$25="mm","N","lbs"))</f>
        <v>lbs</v>
      </c>
      <c r="AZ102" s="11" t="str">
        <f>IF(AW102="","N/A",IF(OR(AX102="",AS102=""),"BLANK","EQ"))</f>
        <v>N/A</v>
      </c>
      <c r="BL102" s="12"/>
      <c r="BM102" s="15"/>
      <c r="BN102" s="15"/>
      <c r="BO102" s="15"/>
      <c r="BP102" s="15"/>
      <c r="BQ102" s="12"/>
      <c r="BR102" s="12"/>
      <c r="BS102" s="12"/>
      <c r="BT102" s="11"/>
      <c r="BV102" s="224"/>
      <c r="BX102" s="214" t="e">
        <f t="shared" si="14"/>
        <v>#DIV/0!</v>
      </c>
      <c r="BY102" s="215">
        <f t="shared" si="15"/>
        <v>0</v>
      </c>
    </row>
    <row r="103" spans="3:77" ht="15" customHeight="1" x14ac:dyDescent="0.2">
      <c r="C103" s="22"/>
      <c r="D103" s="12"/>
      <c r="E103" s="15"/>
      <c r="F103" s="15"/>
      <c r="G103" s="15"/>
      <c r="H103" s="15"/>
      <c r="I103" s="15" t="str">
        <f>IF(L83="N/A","",IF(NOT(OR(G83="Bonded",AND(G83="Laminated",J84="Bonded Lap Joint"))),"","What is the brand name of the adhesive?"))</f>
        <v/>
      </c>
      <c r="J103" s="319"/>
      <c r="K103" s="319"/>
      <c r="L103" s="11" t="str">
        <f>IF(L83="N/A","N/A",IF(NOT(OR(G83="Bonded",AND(G83="Laminated",J84="Bonded Lap Joint"))),"N/A",IF(J103="","BLANK","EQ")))</f>
        <v>N/A</v>
      </c>
      <c r="AH103" s="12" t="s">
        <v>363</v>
      </c>
      <c r="AI103" s="22"/>
      <c r="AJ103" s="32"/>
      <c r="AK103" s="32"/>
      <c r="AL103" s="32"/>
      <c r="AM103" s="15" t="s">
        <v>1105</v>
      </c>
      <c r="AN103" s="296" t="str">
        <f>IF(AN104=1,"Composite","N/A")</f>
        <v>N/A</v>
      </c>
      <c r="AO103" s="296"/>
      <c r="AP103" s="11" t="str">
        <f>IF(NOT(AN103="Composite"),"N/A","EQ")</f>
        <v>N/A</v>
      </c>
      <c r="AR103" s="11"/>
      <c r="AS103" s="32"/>
      <c r="AT103" s="32"/>
      <c r="AU103" s="32"/>
      <c r="AV103" s="12"/>
      <c r="AW103" s="15" t="str">
        <f>IF(AZ100="EQ","Number of positive locking diameters in shear:","")</f>
        <v/>
      </c>
      <c r="AX103" s="16"/>
      <c r="AY103" s="12"/>
      <c r="AZ103" s="11" t="str">
        <f>IF(AW103="","N/A",IF(AX103="","BLANK","EQ"))</f>
        <v>N/A</v>
      </c>
      <c r="BL103" s="11"/>
      <c r="BM103" s="15"/>
      <c r="BN103" s="15"/>
      <c r="BO103" s="15"/>
      <c r="BP103" s="15"/>
      <c r="BQ103" s="11"/>
      <c r="BR103" s="143"/>
      <c r="BS103" s="143"/>
      <c r="BT103" s="11"/>
      <c r="BV103" s="224"/>
      <c r="BX103" s="214" t="e">
        <f t="shared" si="14"/>
        <v>#DIV/0!</v>
      </c>
      <c r="BY103" s="215">
        <f t="shared" si="15"/>
        <v>0</v>
      </c>
    </row>
    <row r="104" spans="3:77" ht="15" customHeight="1" x14ac:dyDescent="0.2">
      <c r="D104" s="15"/>
      <c r="E104" s="124"/>
      <c r="F104" s="124"/>
      <c r="G104" s="124"/>
      <c r="H104" s="124"/>
      <c r="I104" s="188" t="str">
        <f>IF(L83="N/A","",IF(NOT(OR(G83="Bonded",AND(G83="Laminated",J84="Bonded Lap Joint"))),"","Minimum shear / peel strength of adhesive:"))</f>
        <v/>
      </c>
      <c r="J104" s="175"/>
      <c r="K104" s="35" t="str">
        <f>IF($A$25="mm","N/mm^2","psi")</f>
        <v>psi</v>
      </c>
      <c r="L104" s="128" t="str">
        <f>IF(L83="N/A","N/A",IF(NOT(OR(G83="Bonded",AND(G83="Laminated",J84="Bonded Lap Joint"))),"N/A",IF(J104="","BLANK","EQ")))</f>
        <v>N/A</v>
      </c>
      <c r="AH104" s="22"/>
      <c r="AI104" s="32"/>
      <c r="AJ104" s="32"/>
      <c r="AK104" s="32"/>
      <c r="AL104" s="32"/>
      <c r="AM104" s="15" t="s">
        <v>1106</v>
      </c>
      <c r="AN104" s="37">
        <f>IF(OR(AN54="Composite Diag",AND(AN35="Tube",AN54="Composite No Opening")),1,0)</f>
        <v>0</v>
      </c>
      <c r="AO104" s="12"/>
      <c r="AP104" s="11" t="str">
        <f>IF(NOT(AN103="Composite"),"N/A","EQ")</f>
        <v>N/A</v>
      </c>
      <c r="AS104" s="15"/>
      <c r="AT104" s="15"/>
      <c r="AU104" s="15"/>
      <c r="AV104" s="15"/>
      <c r="AW104" s="15" t="str">
        <f>IF(AZ100="EQ","Fasteners: Number_of_fasteners * 0.577 * UTS * pi * OD^2 / 4:","")</f>
        <v/>
      </c>
      <c r="AX104" s="27" t="str">
        <f>IF(AZ100="EQ",AX103*0.577*AX102*PI()*(AS102^2)/4,"")</f>
        <v/>
      </c>
      <c r="AY104" s="84" t="e">
        <f>AX104/AX$101</f>
        <v>#VALUE!</v>
      </c>
      <c r="AZ104" s="11" t="str">
        <f>IF(AZ$100="N/A","N/A",IF(AX104=0,"BLANK",IF(AY104&gt;=1,"EQ","REJECT")))</f>
        <v>N/A</v>
      </c>
      <c r="BL104" s="12"/>
      <c r="BM104" s="15"/>
      <c r="BN104" s="15"/>
      <c r="BO104" s="15"/>
      <c r="BP104" s="15"/>
      <c r="BQ104" s="11"/>
      <c r="BR104" s="11"/>
      <c r="BT104" s="11"/>
      <c r="BV104" s="224"/>
      <c r="BX104" s="214" t="e">
        <f t="shared" si="14"/>
        <v>#DIV/0!</v>
      </c>
      <c r="BY104" s="215">
        <f t="shared" si="15"/>
        <v>0</v>
      </c>
    </row>
    <row r="105" spans="3:77" ht="15" customHeight="1" x14ac:dyDescent="0.2">
      <c r="D105" s="124"/>
      <c r="E105" s="124"/>
      <c r="F105" s="124"/>
      <c r="G105" s="124"/>
      <c r="H105" s="124"/>
      <c r="I105" s="193" t="str">
        <f>IF(L83="N/A","",IF(NOT(OR(G83="Bonded",AND(G83="Laminated",J84="Bonded Lap Joint"))),"","Minimum bond area:"))</f>
        <v/>
      </c>
      <c r="J105" s="175"/>
      <c r="K105" s="25" t="str">
        <f>IF($A$25="mm","mm^2","in^2")</f>
        <v>in^2</v>
      </c>
      <c r="L105" s="128" t="str">
        <f>IF(L83="N/A","N/A",IF(NOT(OR(G83="Bonded",AND(G83="Laminated",J84="Bonded Lap Joint"))),"N/A",IF(J105="","BLANK","EQ")))</f>
        <v>N/A</v>
      </c>
      <c r="AH105" s="22"/>
      <c r="AI105" s="15"/>
      <c r="AJ105" s="15"/>
      <c r="AK105" s="15"/>
      <c r="AL105" s="15"/>
      <c r="AM105" s="15" t="s">
        <v>947</v>
      </c>
      <c r="AN105" s="319"/>
      <c r="AO105" s="319"/>
      <c r="AP105" s="11" t="str">
        <f>IF(NOT(AN103="Composite"),"N/A",IF(AN105="","BLANK","EQ"))</f>
        <v>N/A</v>
      </c>
      <c r="AW105" s="15" t="str">
        <f>IF(AZ100="EQ","--Tearout--Front Bulkhead Min Fastener Spacing, Tube Radius, Or Edge:","")</f>
        <v/>
      </c>
      <c r="AX105" s="16"/>
      <c r="AY105" s="25" t="str">
        <f>IF($A$25="mm","mm","in")</f>
        <v>in</v>
      </c>
      <c r="AZ105" s="11" t="str">
        <f>IF(AW105="","N/A",IF(AX105="","BLANK","EQ"))</f>
        <v>N/A</v>
      </c>
      <c r="BM105" s="15"/>
      <c r="BN105" s="15"/>
      <c r="BO105" s="15"/>
      <c r="BP105" s="15"/>
      <c r="BQ105" s="11"/>
      <c r="BR105" s="11"/>
      <c r="BT105" s="11"/>
      <c r="BV105" s="224"/>
      <c r="BX105" s="214" t="e">
        <f t="shared" si="14"/>
        <v>#DIV/0!</v>
      </c>
      <c r="BY105" s="215">
        <f t="shared" si="15"/>
        <v>0</v>
      </c>
    </row>
    <row r="106" spans="3:77" ht="15" customHeight="1" x14ac:dyDescent="0.2">
      <c r="D106" s="12"/>
      <c r="E106" s="15"/>
      <c r="F106" s="15"/>
      <c r="G106" s="15"/>
      <c r="H106" s="15"/>
      <c r="I106" s="15" t="str">
        <f>IF(L83="N/A","",IF(NOT(OR(G83="Bonded",AND(G83="Laminated",J84="Bonded Lap Joint"))),"",IF($A$25="mm","0.5*adhesive shear strength &gt;= 60000N:","0.5*adhesive shear strength &gt;= 13484lbs:")))</f>
        <v/>
      </c>
      <c r="J106" s="26" t="str">
        <f>IF(J105="","",0.5*J104*J105)</f>
        <v/>
      </c>
      <c r="K106" s="177" t="str">
        <f>IF(J104="","",J106/(60000/IF($A$25="mm",1,9.81/2.2046)))</f>
        <v/>
      </c>
      <c r="L106" s="128" t="str">
        <f>IF(L83="N/A","N/A",IF(NOT(OR(G83="Bonded",AND(G83="Laminated",J84="Bonded Lap Joint"))),"N/A",IF(K106&lt;1,"REJECT","EQ")))</f>
        <v>N/A</v>
      </c>
      <c r="AH106" s="37" t="s">
        <v>688</v>
      </c>
      <c r="AI106" s="124"/>
      <c r="AJ106" s="124" t="s">
        <v>689</v>
      </c>
      <c r="AK106" s="174" t="str" cm="1">
        <f t="array" aca="1" ref="AK106" ca="1">IF(ISREF(INDIRECT("'"&amp;AN105&amp;"'!$AE$82")),
IF(INDIRECT("'"&amp;AN105&amp;"'!$AE$82")=0,(1+AN106)/(1+INDIRECT("'"&amp;AN105&amp;"'!$AE$82")),
IF(AN106/IF($A$25="mm",INDIRECT("'"&amp;AN105&amp;"'!$AE$82"),INDIRECT("'"&amp;AN105&amp;"'!$AE$83"))&lt;0.5,
(AN106+IF($A$25="mm",0.127,0.005))/IF($A$25="mm",INDIRECT("'"&amp;AN105&amp;"'!$AE$82"),INDIRECT("'"&amp;AN105&amp;"'!$AE$83")),                                                                                                                                                                                                                                             AN106/IF($A$25="mm",INDIRECT("'"&amp;AN105&amp;"'!$AE$82"),INDIRECT("'"&amp;AN105&amp;"'!$AE$83")))),"Typo")</f>
        <v>Typo</v>
      </c>
      <c r="AL106" s="124"/>
      <c r="AM106" s="124" t="s">
        <v>690</v>
      </c>
      <c r="AN106" s="175"/>
      <c r="AO106" s="25" t="str">
        <f>IF($A$25="mm","mm","in")</f>
        <v>in</v>
      </c>
      <c r="AP106" s="11" t="str">
        <f>IF(NOT(AN103="Composite"),"N/A",IF(AN106="","BLANK",IF(OR(AK106&lt;0.5,AK106&gt;1),"REJECT","EQ")))</f>
        <v>N/A</v>
      </c>
      <c r="AW106" s="15" t="str">
        <f>IF(AZ100="EQ","FB: Number_of_fasteners * FB_thickness * FB_shear * Tearout:","")</f>
        <v/>
      </c>
      <c r="AX106" s="11" t="str">
        <f>IF(AZ100="EQ",AX103*2*AN79*AN69*AX105*IF($A$25="mm",1/10^6,1),"")</f>
        <v/>
      </c>
      <c r="AY106" s="84" t="e">
        <f>AX106/AX$101</f>
        <v>#VALUE!</v>
      </c>
      <c r="AZ106" s="11" t="str">
        <f>IF(AZ$100="N/A","N/A",IF(AX106=0,"BLANK",IF(AY106&gt;=1,"EQ","REJECT")))</f>
        <v>N/A</v>
      </c>
      <c r="BL106" s="12"/>
      <c r="BM106" s="15"/>
      <c r="BN106" s="15"/>
      <c r="BO106" s="15"/>
      <c r="BP106" s="15"/>
      <c r="BQ106" s="11"/>
      <c r="BR106" s="11"/>
      <c r="BT106" s="11"/>
      <c r="BV106" s="224"/>
      <c r="BX106" s="214" t="e">
        <f t="shared" si="14"/>
        <v>#DIV/0!</v>
      </c>
      <c r="BY106" s="215">
        <f t="shared" si="15"/>
        <v>0</v>
      </c>
    </row>
    <row r="107" spans="3:77" ht="15" customHeight="1" x14ac:dyDescent="0.2">
      <c r="D107" s="11"/>
      <c r="E107" s="11"/>
      <c r="F107" s="11"/>
      <c r="G107" s="11"/>
      <c r="H107" s="11"/>
      <c r="I107" s="15" t="str">
        <f>IF(OR(L83="N/A",NOT(G83="Laminated")),"","Shear length one side:")</f>
        <v/>
      </c>
      <c r="J107" s="164"/>
      <c r="K107" s="25" t="str">
        <f>IF($A$25="mm","mm","in")</f>
        <v>in</v>
      </c>
      <c r="L107" s="11" t="str">
        <f>IF(OR(NOT(G83="Laminated"),L83="N/A"),"N/A",IF(J107="","BLANK","EQ"))</f>
        <v>N/A</v>
      </c>
      <c r="AH107" s="22"/>
      <c r="AI107" s="15"/>
      <c r="AJ107" s="15" t="s">
        <v>694</v>
      </c>
      <c r="AK107" s="16"/>
      <c r="AL107" s="15"/>
      <c r="AM107" s="15" t="s">
        <v>695</v>
      </c>
      <c r="AN107" s="11" t="str" cm="1">
        <f t="array" aca="1" ref="AN107" ca="1">IF(ISREF(INDIRECT("'"&amp;AN105&amp;"'!$AE$84")),IF($A$25="mm",INDIRECT("'"&amp;AN105&amp;"'!$AE$84"),INDIRECT("'"&amp;AN105&amp;"'!$AE$85"))*IF(AK107="",1,AK107),"Layup")</f>
        <v>Layup</v>
      </c>
      <c r="AO107" s="25" t="str">
        <f>IF($A$25="mm","mm","in")</f>
        <v>in</v>
      </c>
      <c r="AP107" s="11" t="str">
        <f>IF(NOT(AN103="Composite"),"N/A",IF(AN107="","BLANK","EQ"))</f>
        <v>N/A</v>
      </c>
      <c r="AW107" s="15" t="str">
        <f>IF(AZ100="EQ","--Tearout--AIP Min Fastener Spacing Or Edge:","")</f>
        <v/>
      </c>
      <c r="AX107" s="16"/>
      <c r="AY107" s="25" t="str">
        <f>IF($A$25="mm","mm","in")</f>
        <v>in</v>
      </c>
      <c r="AZ107" s="11" t="str">
        <f>IF(AW107="","N/A",IF(AX107="","BLANK","EQ"))</f>
        <v>N/A</v>
      </c>
      <c r="BL107" s="12"/>
      <c r="BM107" s="15"/>
      <c r="BN107" s="15"/>
      <c r="BO107" s="15"/>
      <c r="BP107" s="15"/>
      <c r="BQ107" s="11"/>
      <c r="BR107" s="11"/>
      <c r="BT107" s="11"/>
      <c r="BV107" s="224"/>
      <c r="BX107" s="214" t="e">
        <f t="shared" si="14"/>
        <v>#DIV/0!</v>
      </c>
      <c r="BY107" s="215">
        <f t="shared" si="15"/>
        <v>0</v>
      </c>
    </row>
    <row r="108" spans="3:77" ht="15" customHeight="1" x14ac:dyDescent="0.2">
      <c r="D108" s="11"/>
      <c r="E108" s="11"/>
      <c r="F108" s="11"/>
      <c r="G108" s="11"/>
      <c r="H108" s="11"/>
      <c r="I108" s="124" t="str">
        <f>IF(OR(L83="N/A",NOT(G83="Laminated")),"","Skin shear area - centerline x 1 thickness:")</f>
        <v/>
      </c>
      <c r="J108" s="128" t="e">
        <f ca="1">J107*J88*(IF($A$25="mm",1/(10^6),1))</f>
        <v>#VALUE!</v>
      </c>
      <c r="K108" s="25" t="str">
        <f>IF($A$25="mm","m^2","in^2")</f>
        <v>in^2</v>
      </c>
      <c r="L108" s="11" t="str">
        <f>IF(OR(NOT(G83="Laminated"),L83="N/A"),"N/A","EQ")</f>
        <v>N/A</v>
      </c>
      <c r="AH108" s="22"/>
      <c r="AI108" s="15"/>
      <c r="AJ108" s="15" t="s">
        <v>694</v>
      </c>
      <c r="AK108" s="16"/>
      <c r="AL108" s="15"/>
      <c r="AM108" s="15" t="s">
        <v>697</v>
      </c>
      <c r="AN108" s="11" t="str" cm="1">
        <f t="array" aca="1" ref="AN108" ca="1">IF(ISREF(INDIRECT("'"&amp;AN105&amp;"'!$AE$86")),IF($A$25="mm",INDIRECT("'"&amp;AN105&amp;"'!$AE$86"),INDIRECT("'"&amp;AN105&amp;"'!$AE$87"))*IF(AK108="",1,AK108),"Typo")</f>
        <v>Typo</v>
      </c>
      <c r="AO108" s="25" t="str">
        <f>IF($A$25="mm","mm","in")</f>
        <v>in</v>
      </c>
      <c r="AP108" s="11" t="str">
        <f>IF(NOT(AN103="Composite"),"N/A",IF(AN108="","BLANK","EQ"))</f>
        <v>N/A</v>
      </c>
      <c r="AW108" s="15" t="str">
        <f>IF(AZ100="EQ","AIP: Number_of_fasteners * AIP_thickness * AIP_shear * Tearout:","")</f>
        <v/>
      </c>
      <c r="AX108" s="11" t="str">
        <f>IF(AZ100="EQ",IF($A$25="mm",1/10^6,1)*AX103*2*AX107*IF(T37="Composite",(T51+T52)*T63,
T38*0.577*IF(T37="Steel",$A$5,IF(T37="6061-T6",$B$5,$C$5))),"")</f>
        <v/>
      </c>
      <c r="AY108" s="84" t="e">
        <f>AX108/AX$101</f>
        <v>#VALUE!</v>
      </c>
      <c r="AZ108" s="11" t="str">
        <f>IF(AZ$100="N/A","N/A",IF(AX108=0,"BLANK",IF(AY108&gt;=1,"EQ","REJECT")))</f>
        <v>N/A</v>
      </c>
      <c r="BL108" s="12"/>
      <c r="BM108" s="15"/>
      <c r="BN108" s="15"/>
      <c r="BO108" s="15"/>
      <c r="BP108" s="15"/>
      <c r="BQ108" s="11"/>
      <c r="BR108" s="11"/>
      <c r="BT108" s="11"/>
      <c r="BV108" s="224"/>
      <c r="BX108" s="214" t="e">
        <f t="shared" si="14"/>
        <v>#DIV/0!</v>
      </c>
      <c r="BY108" s="215">
        <f t="shared" si="15"/>
        <v>0</v>
      </c>
    </row>
    <row r="109" spans="3:77" ht="15" customHeight="1" x14ac:dyDescent="0.2">
      <c r="D109" s="11"/>
      <c r="E109" s="11"/>
      <c r="F109" s="11"/>
      <c r="G109" s="11"/>
      <c r="H109" s="11"/>
      <c r="I109" s="15" t="str">
        <f>IF(OR(L83="N/A",NOT(G83="Laminated")),"","Skin shear strength:")</f>
        <v/>
      </c>
      <c r="J109" s="26" t="str" cm="1">
        <f t="array" aca="1" ref="J109" ca="1">IF(ISREF(INDIRECT("'"&amp;J86&amp;"'!$AY$62")),INDIRECT("'"&amp;J86&amp;"'!$AY$62")*IF($A$25="mm",1,1/6894.76),"Typo")</f>
        <v>Typo</v>
      </c>
      <c r="K109" s="25" t="str">
        <f>IF($A$25="mm","Pa","psi")</f>
        <v>psi</v>
      </c>
      <c r="L109" s="11" t="str">
        <f>IF(OR(NOT(G83="Laminated"),L83="N/A"),"N/A",IF(J109=0,"BLANK","EQ"))</f>
        <v>N/A</v>
      </c>
      <c r="AH109" s="22"/>
      <c r="AI109" s="15"/>
      <c r="AJ109" s="15"/>
      <c r="AK109" s="15"/>
      <c r="AL109" s="15"/>
      <c r="AM109" s="15" t="s">
        <v>684</v>
      </c>
      <c r="AN109" s="128" t="e">
        <f ca="1">AN106+AN108+AN107</f>
        <v>#VALUE!</v>
      </c>
      <c r="AO109" s="25" t="str">
        <f>IF($A$25="mm","mm","in")</f>
        <v>in</v>
      </c>
      <c r="AP109" s="128" t="str">
        <f>IF(NOT(AN103="Composite"),"N/A","EQ")</f>
        <v>N/A</v>
      </c>
      <c r="AV109" s="12" t="s">
        <v>1209</v>
      </c>
      <c r="BL109" s="15"/>
      <c r="BM109" s="15"/>
      <c r="BN109" s="15"/>
      <c r="BO109" s="15"/>
      <c r="BP109" s="15"/>
      <c r="BQ109" s="26"/>
      <c r="BR109" s="26"/>
      <c r="BT109" s="11"/>
      <c r="BV109" s="224"/>
      <c r="BX109" s="214" t="e">
        <f t="shared" si="14"/>
        <v>#DIV/0!</v>
      </c>
      <c r="BY109" s="215">
        <f t="shared" si="15"/>
        <v>0</v>
      </c>
    </row>
    <row r="110" spans="3:77" ht="15" customHeight="1" x14ac:dyDescent="0.2">
      <c r="D110" s="12"/>
      <c r="E110" s="11"/>
      <c r="F110" s="11"/>
      <c r="G110" s="11"/>
      <c r="H110" s="11"/>
      <c r="I110" s="15" t="str">
        <f>IF(OR(L83="N/A",NOT(G83="Laminated")),"",IF($A$25="mm","Single tearout path &gt;=60000N:","Single tearout path &gt;=13484lbs:"))</f>
        <v/>
      </c>
      <c r="J110" s="26" t="str">
        <f ca="1">IF(OR(J107="",J88=""),"",J109*J108)</f>
        <v/>
      </c>
      <c r="K110" s="84">
        <f ca="1">IF(J110="",0,J110)/IF($A$25="mm",60000,13484)</f>
        <v>0</v>
      </c>
      <c r="L110" s="11" t="str">
        <f>IF(OR(NOT(G83="Laminated"),L83="N/A"),"N/A",
IF(OR(J107="",J88=""),"EQ",
IF(AND($A$25="mm",J110&gt;=60000),"EQ",IF(AND($A$25="Inch",J110&gt;=13484),"EQ","REJECT"))))</f>
        <v>N/A</v>
      </c>
      <c r="AH110" s="22"/>
      <c r="AI110" s="15"/>
      <c r="AJ110" s="15"/>
      <c r="AK110" s="15"/>
      <c r="AL110" s="15"/>
      <c r="AM110" s="15" t="s">
        <v>1107</v>
      </c>
      <c r="AN110" s="16"/>
      <c r="AO110" s="25" t="str">
        <f>IF($A$25="mm","mm","in")</f>
        <v>in</v>
      </c>
      <c r="AP110" s="11" t="str">
        <f>IF(NOT(AN103="Composite"),"N/A",IF(AN110="","BLANK","EQ"))</f>
        <v>N/A</v>
      </c>
      <c r="BL110" s="124"/>
      <c r="BM110" s="15"/>
      <c r="BN110" s="15"/>
      <c r="BO110" s="15"/>
      <c r="BP110" s="15"/>
      <c r="BQ110" s="26"/>
      <c r="BR110" s="26"/>
      <c r="BT110" s="11"/>
      <c r="BV110" s="224"/>
      <c r="BX110" s="214" t="e">
        <f t="shared" si="14"/>
        <v>#DIV/0!</v>
      </c>
      <c r="BY110" s="215">
        <f t="shared" si="15"/>
        <v>0</v>
      </c>
    </row>
    <row r="111" spans="3:77" ht="15" customHeight="1" x14ac:dyDescent="0.2">
      <c r="AI111" s="37"/>
      <c r="AJ111" s="37"/>
      <c r="AK111" s="12" t="s">
        <v>1108</v>
      </c>
      <c r="AL111" s="37"/>
      <c r="AM111" s="37"/>
      <c r="AN111" s="37"/>
      <c r="AO111" s="265"/>
      <c r="AP111" s="11" t="str">
        <f>IF(NOT(AN103="Composite"),"N/A","EQ")</f>
        <v>N/A</v>
      </c>
      <c r="BL111" s="12"/>
      <c r="BM111" s="15"/>
      <c r="BN111" s="15"/>
      <c r="BO111" s="15"/>
      <c r="BP111" s="15"/>
      <c r="BQ111" s="26"/>
      <c r="BR111" s="26"/>
      <c r="BT111" s="11"/>
      <c r="BV111" s="224"/>
      <c r="BX111" s="214" t="e">
        <f t="shared" si="14"/>
        <v>#DIV/0!</v>
      </c>
      <c r="BY111" s="215">
        <f t="shared" si="15"/>
        <v>0</v>
      </c>
    </row>
    <row r="112" spans="3:77" ht="15" customHeight="1" x14ac:dyDescent="0.2">
      <c r="AH112" s="12"/>
      <c r="AI112" s="265"/>
      <c r="AJ112" s="265"/>
      <c r="AK112" s="265"/>
      <c r="AL112" s="265"/>
      <c r="AM112" s="266" t="s">
        <v>1109</v>
      </c>
      <c r="AN112" s="267"/>
      <c r="AO112" s="25" t="str">
        <f>IF($A$25="mm","mm^2","in^2")</f>
        <v>in^2</v>
      </c>
      <c r="AP112" s="11" t="str">
        <f>IF(OR(NOT(AN103="Composite"),AND(AN112="",AN113="")),"N/A",IF(AN112="","BLANK","EQ"))</f>
        <v>N/A</v>
      </c>
      <c r="BL112" s="124"/>
      <c r="BM112" s="15"/>
      <c r="BN112" s="15"/>
      <c r="BO112" s="15"/>
      <c r="BP112" s="15"/>
      <c r="BQ112" s="26"/>
      <c r="BR112" s="26"/>
      <c r="BT112" s="11"/>
      <c r="BV112" s="224"/>
      <c r="BX112" s="214" t="e">
        <f t="shared" si="14"/>
        <v>#DIV/0!</v>
      </c>
      <c r="BY112" s="215">
        <f t="shared" si="15"/>
        <v>0</v>
      </c>
    </row>
    <row r="113" spans="4:77" ht="15" customHeight="1" x14ac:dyDescent="0.2">
      <c r="AH113" s="22"/>
      <c r="AI113" s="15"/>
      <c r="AJ113" s="15"/>
      <c r="AK113" s="15"/>
      <c r="AL113" s="15"/>
      <c r="AM113" s="15" t="s">
        <v>1110</v>
      </c>
      <c r="AN113" s="82"/>
      <c r="AO113" s="35" t="str">
        <f>IF($A$25="mm","mm^4","in^4")</f>
        <v>in^4</v>
      </c>
      <c r="AP113" s="11" t="str">
        <f>IF(OR(NOT(AN103="Composite"),AND(AN112="",AN113="")),"N/A",IF(AN113="","BLANK","EQ"))</f>
        <v>N/A</v>
      </c>
      <c r="BL113" s="47"/>
      <c r="BM113" s="47"/>
      <c r="BN113" s="124"/>
      <c r="BO113" s="124"/>
      <c r="BP113" s="124"/>
      <c r="BQ113" s="126"/>
      <c r="BR113" s="126"/>
      <c r="BS113" s="127"/>
      <c r="BT113" s="128"/>
      <c r="BV113" s="224"/>
      <c r="BX113" s="214" t="e">
        <f t="shared" si="14"/>
        <v>#DIV/0!</v>
      </c>
      <c r="BY113" s="215">
        <f t="shared" si="15"/>
        <v>0</v>
      </c>
    </row>
    <row r="114" spans="4:77" ht="15" customHeight="1" x14ac:dyDescent="0.2">
      <c r="AH114" s="11"/>
      <c r="AI114" s="11"/>
      <c r="AK114" s="340" t="str">
        <f>CONCATENATE(AN104," x Steel Tube")</f>
        <v>0 x Steel Tube</v>
      </c>
      <c r="AL114" s="340"/>
      <c r="AM114" s="37" t="s">
        <v>1111</v>
      </c>
      <c r="AN114" s="12" t="s">
        <v>1112</v>
      </c>
      <c r="AO114" s="12"/>
      <c r="AP114" s="11" t="str">
        <f>IF(NOT(AN103="Composite"),"N/A","EQ")</f>
        <v>N/A</v>
      </c>
      <c r="BL114" s="37"/>
      <c r="BM114" s="124"/>
      <c r="BN114" s="124"/>
      <c r="BO114" s="124"/>
      <c r="BP114" s="124"/>
      <c r="BQ114" s="126"/>
      <c r="BR114" s="126"/>
      <c r="BS114" s="127"/>
      <c r="BT114" s="128"/>
      <c r="BV114" s="224"/>
      <c r="BX114" s="214" t="e">
        <f t="shared" si="14"/>
        <v>#DIV/0!</v>
      </c>
      <c r="BY114" s="215">
        <f t="shared" si="15"/>
        <v>0</v>
      </c>
    </row>
    <row r="115" spans="4:77" ht="15" customHeight="1" x14ac:dyDescent="0.2">
      <c r="AH115" s="12" t="s">
        <v>356</v>
      </c>
      <c r="AI115" s="22"/>
      <c r="AJ115" s="15"/>
      <c r="AK115" s="15" t="s">
        <v>18</v>
      </c>
      <c r="AL115" s="11">
        <f>IF($A$25="mm",2.4/1000,0.094)</f>
        <v>9.4E-2</v>
      </c>
      <c r="AM115" s="11">
        <f ca="1">MIN(AN106,AN107)*IF($A$25="mm",0.001,1)</f>
        <v>0</v>
      </c>
      <c r="AN115" s="11">
        <f ca="1">MIN(AN106,AN107)*IF($A$25="mm",0.001,1)</f>
        <v>0</v>
      </c>
      <c r="AO115" s="25" t="str">
        <f>IF($A$25="mm","m","in")</f>
        <v>in</v>
      </c>
      <c r="AP115" s="11" t="str">
        <f>IF(NOT(AN103="Composite"),"N/A","EQ")</f>
        <v>N/A</v>
      </c>
      <c r="BL115" s="37"/>
      <c r="BM115" s="124"/>
      <c r="BN115" s="124"/>
      <c r="BO115" s="124"/>
      <c r="BP115" s="124"/>
      <c r="BQ115" s="126"/>
      <c r="BR115" s="126"/>
      <c r="BS115" s="127"/>
      <c r="BT115" s="128"/>
      <c r="BV115" s="224"/>
      <c r="BX115" s="214" t="e">
        <f t="shared" si="14"/>
        <v>#DIV/0!</v>
      </c>
      <c r="BY115" s="215">
        <f t="shared" si="15"/>
        <v>0</v>
      </c>
    </row>
    <row r="116" spans="4:77" ht="15" customHeight="1" x14ac:dyDescent="0.2">
      <c r="AH116" s="12"/>
      <c r="AI116" s="22"/>
      <c r="AJ116" s="15"/>
      <c r="AK116" s="15" t="s">
        <v>1071</v>
      </c>
      <c r="AL116" s="11">
        <f>IF($A$25="mm",25/1000,0.984)</f>
        <v>0.98399999999999999</v>
      </c>
      <c r="AM116" s="128" t="str">
        <f ca="1">IF($A$25="mm",AN108/1000,AN108)</f>
        <v>Typo</v>
      </c>
      <c r="AN116" s="11" t="str">
        <f ca="1">IF($A$25="mm",AN108/1000,AN108)</f>
        <v>Typo</v>
      </c>
      <c r="AO116" s="25" t="str">
        <f>IF($A$25="mm","m","in")</f>
        <v>in</v>
      </c>
      <c r="AP116" s="11" t="str">
        <f>IF(NOT(AN103="Composite"),"N/A","EQ")</f>
        <v>N/A</v>
      </c>
      <c r="BL116" s="12"/>
      <c r="BM116" s="15"/>
      <c r="BN116" s="15"/>
      <c r="BO116" s="15"/>
      <c r="BP116" s="15"/>
      <c r="BQ116" s="126"/>
      <c r="BR116" s="126"/>
      <c r="BS116" s="127"/>
      <c r="BT116" s="128"/>
      <c r="BV116" s="224"/>
      <c r="BX116" s="214" t="e">
        <f t="shared" si="14"/>
        <v>#DIV/0!</v>
      </c>
      <c r="BY116" s="215">
        <f t="shared" si="15"/>
        <v>0</v>
      </c>
    </row>
    <row r="117" spans="4:77" x14ac:dyDescent="0.2">
      <c r="AH117" s="12"/>
      <c r="AI117" s="22"/>
      <c r="AJ117" s="15"/>
      <c r="AK117" s="15" t="s">
        <v>731</v>
      </c>
      <c r="AL117" s="26">
        <f>91*IF($A$25="mm",1/10^6,1/25.4^2)*AN104</f>
        <v>0</v>
      </c>
      <c r="AM117" s="181" t="e">
        <f ca="1">AL128+AL129</f>
        <v>#VALUE!</v>
      </c>
      <c r="AN117" s="26" t="str">
        <f>IF(AN112="","",IF($A$25="mm",AN112/(10^6),AN112))</f>
        <v/>
      </c>
      <c r="AO117" s="25" t="str">
        <f>IF($A$25="mm","m^2","in^2")</f>
        <v>in^2</v>
      </c>
      <c r="AP117" s="11" t="str">
        <f>IF(NOT(AN103="Composite"),"N/A","EQ")</f>
        <v>N/A</v>
      </c>
      <c r="BL117" s="12"/>
      <c r="BM117" s="15"/>
      <c r="BN117" s="15"/>
      <c r="BO117" s="15"/>
      <c r="BP117" s="15"/>
      <c r="BQ117" s="126"/>
      <c r="BR117" s="126"/>
      <c r="BS117" s="127"/>
      <c r="BT117" s="128"/>
      <c r="BV117" s="224"/>
      <c r="BX117" s="214" t="e">
        <f t="shared" si="14"/>
        <v>#DIV/0!</v>
      </c>
      <c r="BY117" s="215">
        <f t="shared" si="15"/>
        <v>0</v>
      </c>
    </row>
    <row r="118" spans="4:77" x14ac:dyDescent="0.2">
      <c r="AH118" s="124"/>
      <c r="AI118" s="22"/>
      <c r="AJ118" s="15"/>
      <c r="AK118" s="15" t="s">
        <v>734</v>
      </c>
      <c r="AL118" s="26">
        <f>6695*IF($A$25="mm",1/10^12,1/25.4^4)*AN104</f>
        <v>0</v>
      </c>
      <c r="AM118" s="181" t="str">
        <f ca="1">AO132</f>
        <v/>
      </c>
      <c r="AN118" s="26" t="str">
        <f>IF(AN113="","",IF($A$25="mm",AN113/(10^12),AN113))</f>
        <v/>
      </c>
      <c r="AO118" s="25" t="str">
        <f>IF($A$25="mm","m^4","in^4")</f>
        <v>in^4</v>
      </c>
      <c r="AP118" s="11" t="str">
        <f>IF(NOT(AN103="Composite"),"N/A","EQ")</f>
        <v>N/A</v>
      </c>
      <c r="BV118" s="224"/>
      <c r="BX118" s="214" t="e">
        <f t="shared" si="14"/>
        <v>#DIV/0!</v>
      </c>
      <c r="BY118" s="215">
        <f t="shared" si="15"/>
        <v>0</v>
      </c>
    </row>
    <row r="119" spans="4:77" x14ac:dyDescent="0.2">
      <c r="AH119" s="12" t="s">
        <v>1113</v>
      </c>
      <c r="AI119" s="22"/>
      <c r="AJ119" s="15"/>
      <c r="AK119" s="15" t="s">
        <v>651</v>
      </c>
      <c r="AL119" s="207">
        <f>IF($A$25="mm",200*10^9,29000*10^3)</f>
        <v>29000000</v>
      </c>
      <c r="AM119" s="26" t="str" cm="1">
        <f t="array" aca="1" ref="AM119" ca="1">IF(ISREF(INDIRECT("'"&amp;AN105&amp;"'!$AK$82")),INDIRECT("'"&amp;AN105&amp;"'!$AK$82")*IF($A$25="mm",1,1/6894.76),"Layup")</f>
        <v>Layup</v>
      </c>
      <c r="AN119" s="181" t="str">
        <f ca="1">AM119</f>
        <v>Layup</v>
      </c>
      <c r="AO119" s="25" t="str">
        <f>IF($A$25="mm","Pa","psi")</f>
        <v>psi</v>
      </c>
      <c r="AP119" s="11" t="str">
        <f>IF(NOT(AN103="Composite"),"N/A",IF(AM119="","BLANK","EQ"))</f>
        <v>N/A</v>
      </c>
      <c r="BM119" s="32"/>
      <c r="BN119" s="32"/>
      <c r="BO119" s="32"/>
      <c r="BP119" s="32"/>
      <c r="BQ119" s="32"/>
      <c r="BR119" s="32"/>
      <c r="BS119" s="12"/>
      <c r="BT119" s="12"/>
      <c r="BV119" s="224"/>
      <c r="BX119" s="214" t="e">
        <f t="shared" si="14"/>
        <v>#DIV/0!</v>
      </c>
      <c r="BY119" s="215">
        <f t="shared" si="15"/>
        <v>0</v>
      </c>
    </row>
    <row r="120" spans="4:77" x14ac:dyDescent="0.2">
      <c r="AH120" s="124"/>
      <c r="AI120" s="22"/>
      <c r="AJ120" s="15"/>
      <c r="AK120" s="15" t="s">
        <v>1005</v>
      </c>
      <c r="AL120" s="26">
        <f>IF($A$25="mm",365*10^6,52.9*10^3)</f>
        <v>52900</v>
      </c>
      <c r="AM120" s="26" t="str" cm="1">
        <f t="array" aca="1" ref="AM120" ca="1">IF(ISREF(INDIRECT("'"&amp;AN105&amp;"'!$AK$85")),INDIRECT("'"&amp;AN105&amp;"'!$AK$85")*IF($A$25="mm",1,1/6894.76),"Name")</f>
        <v>Name</v>
      </c>
      <c r="AN120" s="181" t="str">
        <f ca="1">AM120</f>
        <v>Name</v>
      </c>
      <c r="AO120" s="25" t="str">
        <f>IF($A$25="mm","Pa","psi")</f>
        <v>psi</v>
      </c>
      <c r="AP120" s="11" t="str">
        <f>IF(NOT(AN103="Composite"),"N/A",IF(AM120="","BLANK","EQ"))</f>
        <v>N/A</v>
      </c>
      <c r="BL120" s="11"/>
      <c r="BM120" s="11"/>
      <c r="BN120" s="11"/>
      <c r="BO120" s="11"/>
      <c r="BP120" s="11"/>
      <c r="BQ120" s="11"/>
      <c r="BR120" s="11"/>
      <c r="BS120" s="11"/>
      <c r="BT120" s="11"/>
      <c r="BV120" s="224"/>
      <c r="BX120" s="214" t="e">
        <f t="shared" si="14"/>
        <v>#DIV/0!</v>
      </c>
      <c r="BY120" s="215">
        <f t="shared" si="15"/>
        <v>0</v>
      </c>
    </row>
    <row r="121" spans="4:77" x14ac:dyDescent="0.2">
      <c r="AH121" s="124"/>
      <c r="AI121" s="22"/>
      <c r="AJ121" s="15"/>
      <c r="AK121" s="15" t="s">
        <v>659</v>
      </c>
      <c r="AL121" s="83">
        <f>0.577*AL120</f>
        <v>30523.3</v>
      </c>
      <c r="AM121" s="26" t="str" cm="1">
        <f t="array" aca="1" ref="AM121" ca="1">IF(ISREF(INDIRECT("'"&amp;AN105&amp;"'!$AY$62")),INDIRECT("'"&amp;AN105&amp;"'!$AY$62")*IF($A$25="mm",1,1/6894.76),"Typo")</f>
        <v>Typo</v>
      </c>
      <c r="AN121" s="181" t="str">
        <f ca="1">AM121</f>
        <v>Typo</v>
      </c>
      <c r="AO121" s="25" t="str">
        <f>IF($A$25="mm","Pa","psi")</f>
        <v>psi</v>
      </c>
      <c r="AP121" s="128" t="str">
        <f>IF(NOT(AN103="Composite"),"N/A","EQ")</f>
        <v>N/A</v>
      </c>
      <c r="BL121" s="12"/>
      <c r="BM121" s="32"/>
      <c r="BN121" s="32"/>
      <c r="BO121" s="32"/>
      <c r="BP121" s="32"/>
      <c r="BQ121" s="11"/>
      <c r="BR121" s="11"/>
      <c r="BT121" s="11"/>
      <c r="BV121" s="224"/>
      <c r="BX121" s="214" t="e">
        <f t="shared" si="14"/>
        <v>#DIV/0!</v>
      </c>
      <c r="BY121" s="215">
        <f t="shared" si="15"/>
        <v>0</v>
      </c>
    </row>
    <row r="122" spans="4:77" x14ac:dyDescent="0.2">
      <c r="D122" s="15"/>
      <c r="E122" s="15"/>
      <c r="F122" s="15"/>
      <c r="G122" s="15"/>
      <c r="H122" s="15"/>
      <c r="I122" s="15"/>
      <c r="J122" s="11"/>
      <c r="L122" s="11"/>
      <c r="AH122" s="47" t="s">
        <v>742</v>
      </c>
      <c r="AI122" s="47"/>
      <c r="AJ122" s="22"/>
      <c r="AK122" s="124" t="s">
        <v>743</v>
      </c>
      <c r="AL122" s="181">
        <f>AL119*AL118</f>
        <v>0</v>
      </c>
      <c r="AM122" s="181" t="str">
        <f ca="1">IF(OR(NOT(AN103="Composite"),AL132="",AM119=""),"",AM119*AM118)</f>
        <v/>
      </c>
      <c r="AN122" s="181" t="str">
        <f ca="1">IF(OR(NOT(AN103="Composite"),AN118="",AN119=0),"",AN119*AN118)</f>
        <v/>
      </c>
      <c r="AO122" s="268" t="str">
        <f ca="1">IF(OR(AL122=0,AM122=""),"",MAX(AM122,IF(AN122="",0,AN122))/AL122)</f>
        <v/>
      </c>
      <c r="AP122" s="128" t="str">
        <f>IF(NOT(AN$103="Composite"),"N/A",IF(AO122="","EQ",IF(AO122&gt;=1,"EQ",IF(AO122&gt;=0.95,"CHECK","REJECT"))))</f>
        <v>N/A</v>
      </c>
      <c r="BL122" s="12"/>
      <c r="BM122" s="15"/>
      <c r="BN122" s="15"/>
      <c r="BO122" s="15"/>
      <c r="BP122" s="15"/>
      <c r="BQ122" s="12"/>
      <c r="BR122" s="12"/>
      <c r="BS122" s="12"/>
      <c r="BT122" s="11"/>
      <c r="BV122" s="224"/>
      <c r="BX122" s="214" t="e">
        <f t="shared" si="14"/>
        <v>#DIV/0!</v>
      </c>
      <c r="BY122" s="215">
        <f t="shared" si="15"/>
        <v>0</v>
      </c>
    </row>
    <row r="123" spans="4:77" x14ac:dyDescent="0.2">
      <c r="D123" s="124"/>
      <c r="E123" s="15"/>
      <c r="F123" s="15"/>
      <c r="G123" s="15"/>
      <c r="H123" s="15"/>
      <c r="I123" s="26"/>
      <c r="J123" s="26"/>
      <c r="L123" s="128"/>
      <c r="AH123" s="37" t="s">
        <v>746</v>
      </c>
      <c r="AI123" s="22"/>
      <c r="AJ123" s="124"/>
      <c r="AK123" s="124" t="s">
        <v>747</v>
      </c>
      <c r="AL123" s="181">
        <f>AL120*AL117</f>
        <v>0</v>
      </c>
      <c r="AM123" s="181" t="str">
        <f ca="1">IF(OR(NOT(AN103="Composite"),AL132="",AM119=""),"",AM120*AM117)</f>
        <v/>
      </c>
      <c r="AN123" s="181" t="str">
        <f ca="1">IF(OR(NOT(AN103="Composite"),AN117="",AN119=0),"",AN120*AN117)</f>
        <v/>
      </c>
      <c r="AO123" s="268" t="str">
        <f ca="1">IF(OR(AL123=0,AM123=""),"",MAX(AM123,AN123)/AL123)</f>
        <v/>
      </c>
      <c r="AP123" s="128" t="str">
        <f t="shared" ref="AP123:AP124" si="18">IF(NOT(AN$103="Composite"),"N/A",IF(AO123="","EQ",IF(AO123&gt;=1,"EQ",IF(AO123&gt;=0.95,"CHECK","REJECT"))))</f>
        <v>N/A</v>
      </c>
      <c r="BL123" s="11"/>
      <c r="BM123" s="15"/>
      <c r="BN123" s="15"/>
      <c r="BO123" s="15"/>
      <c r="BP123" s="15"/>
      <c r="BQ123" s="11"/>
      <c r="BR123" s="143"/>
      <c r="BS123" s="143"/>
      <c r="BT123" s="11"/>
      <c r="BV123" s="224"/>
      <c r="BX123" s="214" t="e">
        <f t="shared" si="14"/>
        <v>#DIV/0!</v>
      </c>
      <c r="BY123" s="215">
        <f t="shared" si="15"/>
        <v>0</v>
      </c>
    </row>
    <row r="124" spans="4:77" x14ac:dyDescent="0.2">
      <c r="D124" s="47"/>
      <c r="E124" s="47"/>
      <c r="F124" s="124"/>
      <c r="G124" s="124"/>
      <c r="H124" s="124"/>
      <c r="I124" s="181"/>
      <c r="J124" s="126"/>
      <c r="K124" s="127"/>
      <c r="L124" s="128"/>
      <c r="AH124" s="37" t="s">
        <v>748</v>
      </c>
      <c r="AI124" s="22"/>
      <c r="AJ124" s="124"/>
      <c r="AK124" s="124" t="s">
        <v>749</v>
      </c>
      <c r="AL124" s="181">
        <f>4*AL120*AL118/IF($A$25="mm",0.0127,0.5)</f>
        <v>0</v>
      </c>
      <c r="AM124" s="181" t="str">
        <f ca="1">IF(OR(NOT(AN103="Composite"),AL132="",AM119=""),"",4*AM120*AM118/(AM116/2))</f>
        <v/>
      </c>
      <c r="AN124" s="181" t="str">
        <f ca="1">IF(OR(NOT(AN103="Composite"),AN118="",AN119=0),"",4*AN120*AN118/(AN116/2))</f>
        <v/>
      </c>
      <c r="AO124" s="268" t="str">
        <f ca="1">IF(OR(AL124=0,AM124=""),"",MAX(AM124,AN124)/AL124)</f>
        <v/>
      </c>
      <c r="AP124" s="128" t="str">
        <f t="shared" si="18"/>
        <v>N/A</v>
      </c>
      <c r="BL124" s="12"/>
      <c r="BM124" s="15"/>
      <c r="BN124" s="15"/>
      <c r="BO124" s="15"/>
      <c r="BP124" s="15"/>
      <c r="BQ124" s="11"/>
      <c r="BR124" s="11"/>
      <c r="BT124" s="11"/>
      <c r="BV124" s="224"/>
      <c r="BX124" s="214" t="e">
        <f t="shared" si="14"/>
        <v>#DIV/0!</v>
      </c>
      <c r="BY124" s="215">
        <f t="shared" si="15"/>
        <v>0</v>
      </c>
    </row>
    <row r="125" spans="4:77" x14ac:dyDescent="0.2">
      <c r="D125" s="37"/>
      <c r="E125" s="124"/>
      <c r="F125" s="124"/>
      <c r="G125" s="124"/>
      <c r="H125" s="124"/>
      <c r="I125" s="181"/>
      <c r="J125" s="126"/>
      <c r="K125" s="127"/>
      <c r="L125" s="128"/>
      <c r="AH125" s="12" t="s">
        <v>753</v>
      </c>
      <c r="AI125" s="22"/>
      <c r="AJ125" s="15"/>
      <c r="AK125" s="15" t="s">
        <v>754</v>
      </c>
      <c r="AL125" s="181">
        <f>IF(AL118=0,0,AL124/(48*AL119*AL118))</f>
        <v>0</v>
      </c>
      <c r="AM125" s="181" t="str">
        <f ca="1">IF(OR(AM124="",AM119=0),"",AL124/(48*AM119*AM118))</f>
        <v/>
      </c>
      <c r="AN125" s="181" t="str">
        <f ca="1">IF(OR(AN124="",AN119=0),"",AL124/(48*AN119*AN118))</f>
        <v/>
      </c>
      <c r="AO125" s="268" t="str">
        <f ca="1">IF(OR(AL125=0,AM125=""),"",MIN(AM125,AN125)/AL125)</f>
        <v/>
      </c>
      <c r="AP125" s="128" t="str">
        <f>IF(NOT(AN$103="Composite"),"N/A",IF(AO125="","EQ",IF(AO125&lt;=1,"EQ",IF(AO125&lt;=1.05,"CHECK","REJECT"))))</f>
        <v>N/A</v>
      </c>
      <c r="BM125" s="15"/>
      <c r="BN125" s="15"/>
      <c r="BO125" s="15"/>
      <c r="BP125" s="15"/>
      <c r="BQ125" s="11"/>
      <c r="BR125" s="11"/>
      <c r="BT125" s="11"/>
      <c r="BV125" s="224"/>
      <c r="BX125" s="214" t="e">
        <f t="shared" si="14"/>
        <v>#DIV/0!</v>
      </c>
      <c r="BY125" s="215">
        <f t="shared" si="15"/>
        <v>0</v>
      </c>
    </row>
    <row r="126" spans="4:77" x14ac:dyDescent="0.2">
      <c r="D126" s="37"/>
      <c r="E126" s="124"/>
      <c r="F126" s="124"/>
      <c r="G126" s="124"/>
      <c r="H126" s="124"/>
      <c r="I126" s="181"/>
      <c r="J126" s="126"/>
      <c r="K126" s="127"/>
      <c r="L126" s="128"/>
      <c r="AH126" s="12" t="s">
        <v>756</v>
      </c>
      <c r="AI126" s="22"/>
      <c r="AJ126" s="15"/>
      <c r="AK126" s="15" t="s">
        <v>1090</v>
      </c>
      <c r="AL126" s="181">
        <f ca="1">IF(AL118=0,0,AN104*_xlfn.AGGREGATE(4,6,INDIRECT("'F.7 Composite Chassis'!CN4:CN20")))</f>
        <v>0</v>
      </c>
      <c r="AM126" s="181" t="str" cm="1">
        <f t="array" aca="1" ref="AM126" ca="1">IF(AM118="","",
INDIRECT("'"&amp;AN105&amp;"'!$AK$71")*
(AM118/(IF($A$25="mm",1/10^12,1/25.4^4)*INDIRECT("'"&amp;AN105&amp;"'!$AK$64")))/
((MAX(ABS(AL132-AL130),ABS(AL132-AL131))/((IF($A$25="mm",1/1000,1/25.4)*INDIRECT("'"&amp;AN105&amp;"'!$AG$61"))))^2))</f>
        <v/>
      </c>
      <c r="AN126" s="181" t="str" cm="1">
        <f t="array" aca="1" ref="AN126" ca="1">IF(AN118="","",
INDIRECT("'"&amp;AN105&amp;"'!$AK$71")*
(AN118/(IF($A$25="mm",1/10^12,1/25.4^4)*INDIRECT("'"&amp;AN105&amp;"'!$AK$64")))/
((MAX(ABS(AL132-AL130),ABS(AL132-AL131))/((IF($A$25="mm",1/1000,1/25.4)*INDIRECT("'"&amp;AN105&amp;"'!$AG$61"))))^2))</f>
        <v/>
      </c>
      <c r="AO126" s="268" t="str">
        <f ca="1">IF(OR(AL126=0,AM126=""),"",MAX(AM126,AN126)/AL126)</f>
        <v/>
      </c>
      <c r="AP126" s="128" t="str">
        <f t="shared" ref="AP126" si="19">IF(NOT(AN$103="Composite"),"N/A",IF(AO126="","EQ",IF(AO126&gt;=1,"EQ",IF(AO126&gt;=0.95,"CHECK","REJECT"))))</f>
        <v>N/A</v>
      </c>
      <c r="BL126" s="12"/>
      <c r="BM126" s="15"/>
      <c r="BN126" s="15"/>
      <c r="BO126" s="15"/>
      <c r="BP126" s="15"/>
      <c r="BQ126" s="11"/>
      <c r="BR126" s="11"/>
      <c r="BT126" s="11"/>
      <c r="BV126" s="224"/>
      <c r="BX126" s="214" t="e">
        <f t="shared" si="14"/>
        <v>#DIV/0!</v>
      </c>
      <c r="BY126" s="215">
        <f t="shared" si="15"/>
        <v>0</v>
      </c>
    </row>
    <row r="127" spans="4:77" x14ac:dyDescent="0.2">
      <c r="D127" s="12"/>
      <c r="E127" s="15"/>
      <c r="F127" s="15"/>
      <c r="G127" s="15"/>
      <c r="H127" s="15"/>
      <c r="I127" s="181"/>
      <c r="J127" s="126"/>
      <c r="K127" s="127"/>
      <c r="L127" s="128"/>
      <c r="AH127" s="22"/>
      <c r="AI127" s="37" t="s">
        <v>699</v>
      </c>
      <c r="AJ127" s="37"/>
      <c r="AK127" s="37"/>
      <c r="AL127" s="178" t="s">
        <v>699</v>
      </c>
      <c r="AM127" s="37"/>
      <c r="AN127" s="179"/>
      <c r="AO127" s="178" t="s">
        <v>699</v>
      </c>
      <c r="AP127" s="179"/>
      <c r="BL127" s="12"/>
      <c r="BM127" s="15"/>
      <c r="BN127" s="15"/>
      <c r="BO127" s="15"/>
      <c r="BP127" s="15"/>
      <c r="BQ127" s="11"/>
      <c r="BR127" s="11"/>
      <c r="BT127" s="11"/>
      <c r="BV127" s="224"/>
      <c r="BX127" s="214" t="e">
        <f t="shared" si="14"/>
        <v>#DIV/0!</v>
      </c>
      <c r="BY127" s="215">
        <f t="shared" si="15"/>
        <v>0</v>
      </c>
    </row>
    <row r="128" spans="4:77" ht="17" x14ac:dyDescent="0.2">
      <c r="D128" s="12"/>
      <c r="E128" s="15"/>
      <c r="F128" s="15"/>
      <c r="G128" s="15"/>
      <c r="H128" s="15"/>
      <c r="I128" s="181"/>
      <c r="J128" s="126"/>
      <c r="K128" s="127"/>
      <c r="L128" s="128"/>
      <c r="AH128" s="11" t="s">
        <v>701</v>
      </c>
      <c r="AI128" s="11">
        <f>IF($A$25="mm",AN110/1000,AN110)</f>
        <v>0</v>
      </c>
      <c r="AJ128" s="25" t="str">
        <f>IF($A$25="mm","m","in")</f>
        <v>in</v>
      </c>
      <c r="AK128" s="180" t="s">
        <v>702</v>
      </c>
      <c r="AL128" s="181" t="e">
        <f ca="1">AI128*AI129</f>
        <v>#VALUE!</v>
      </c>
      <c r="AM128" s="50" t="str">
        <f>IF($A$25="mm","m^2","in^2")</f>
        <v>in^2</v>
      </c>
      <c r="AN128" s="180" t="s">
        <v>703</v>
      </c>
      <c r="AO128" s="181" t="e">
        <f ca="1">(AI128*AI129^3)/12</f>
        <v>#VALUE!</v>
      </c>
      <c r="AP128" s="50" t="str">
        <f>IF($A$25="mm","m^4","in^4")</f>
        <v>in^4</v>
      </c>
      <c r="BL128" s="12"/>
      <c r="BM128" s="15"/>
      <c r="BN128" s="15"/>
      <c r="BO128" s="15"/>
      <c r="BP128" s="15"/>
      <c r="BQ128" s="11"/>
      <c r="BR128" s="11"/>
      <c r="BT128" s="11"/>
      <c r="BV128" s="224"/>
      <c r="BX128" s="214" t="e">
        <f t="shared" si="14"/>
        <v>#DIV/0!</v>
      </c>
      <c r="BY128" s="215">
        <f t="shared" si="15"/>
        <v>0</v>
      </c>
    </row>
    <row r="129" spans="4:77" ht="17" x14ac:dyDescent="0.2">
      <c r="D129" s="12"/>
      <c r="E129" s="15"/>
      <c r="F129" s="15"/>
      <c r="G129" s="15"/>
      <c r="H129" s="15"/>
      <c r="I129" s="26"/>
      <c r="J129" s="26"/>
      <c r="K129" s="127"/>
      <c r="L129" s="11"/>
      <c r="AH129" s="22" t="s">
        <v>706</v>
      </c>
      <c r="AI129" s="11" t="str">
        <f ca="1">IF($A$25="mm",AN107/1000,AN107)</f>
        <v>Layup</v>
      </c>
      <c r="AJ129" s="25" t="str">
        <f>IF($A$25="mm","m","in")</f>
        <v>in</v>
      </c>
      <c r="AK129" s="180" t="s">
        <v>707</v>
      </c>
      <c r="AL129" s="181" t="e">
        <f ca="1">AI131*AI132</f>
        <v>#VALUE!</v>
      </c>
      <c r="AM129" s="50" t="str">
        <f>IF($A$25="mm","m^2","in^2")</f>
        <v>in^2</v>
      </c>
      <c r="AN129" s="180" t="s">
        <v>708</v>
      </c>
      <c r="AO129" s="181" t="e">
        <f ca="1">(AI131*AI132^3)/12</f>
        <v>#VALUE!</v>
      </c>
      <c r="AP129" s="50" t="str">
        <f>IF($A$25="mm","m^4","in^4")</f>
        <v>in^4</v>
      </c>
      <c r="BL129" s="15"/>
      <c r="BM129" s="15"/>
      <c r="BN129" s="15"/>
      <c r="BO129" s="15"/>
      <c r="BP129" s="15"/>
      <c r="BQ129" s="26"/>
      <c r="BR129" s="26"/>
      <c r="BT129" s="11"/>
      <c r="BV129" s="224"/>
      <c r="BX129" s="214" t="e">
        <f t="shared" si="14"/>
        <v>#DIV/0!</v>
      </c>
      <c r="BY129" s="215">
        <f t="shared" si="15"/>
        <v>0</v>
      </c>
    </row>
    <row r="130" spans="4:77" ht="17" x14ac:dyDescent="0.2">
      <c r="D130" s="12"/>
      <c r="E130" s="15"/>
      <c r="F130" s="15"/>
      <c r="G130" s="15"/>
      <c r="H130" s="15"/>
      <c r="I130" s="15"/>
      <c r="J130" s="26"/>
      <c r="L130" s="11"/>
      <c r="AH130" s="22" t="s">
        <v>711</v>
      </c>
      <c r="AI130" s="11" t="e">
        <f ca="1">IF($A$25="mm",AN109/1000,AN109)</f>
        <v>#VALUE!</v>
      </c>
      <c r="AJ130" s="25" t="str">
        <f>IF($A$25="mm","m","in")</f>
        <v>in</v>
      </c>
      <c r="AK130" s="180" t="s">
        <v>712</v>
      </c>
      <c r="AL130" s="128" t="e">
        <f ca="1">AI129/2</f>
        <v>#VALUE!</v>
      </c>
      <c r="AM130" s="50" t="str">
        <f>IF($A$25="mm","m","in")</f>
        <v>in</v>
      </c>
      <c r="AN130" s="180" t="s">
        <v>713</v>
      </c>
      <c r="AO130" s="181" t="str">
        <f ca="1">IF(AL132="","",AO128+(AL128*(AL132-AL130)^2))</f>
        <v/>
      </c>
      <c r="AP130" s="50" t="str">
        <f>IF($A$25="mm","m^4","in^4")</f>
        <v>in^4</v>
      </c>
      <c r="BL130" s="124"/>
      <c r="BM130" s="15"/>
      <c r="BN130" s="15"/>
      <c r="BO130" s="15"/>
      <c r="BP130" s="15"/>
      <c r="BQ130" s="26"/>
      <c r="BR130" s="26"/>
      <c r="BT130" s="11"/>
      <c r="BV130" s="224"/>
      <c r="BX130" s="214" t="e">
        <f t="shared" si="14"/>
        <v>#DIV/0!</v>
      </c>
      <c r="BY130" s="215">
        <f t="shared" si="15"/>
        <v>0</v>
      </c>
    </row>
    <row r="131" spans="4:77" ht="17" x14ac:dyDescent="0.2">
      <c r="D131" s="12"/>
      <c r="E131" s="15"/>
      <c r="F131" s="15"/>
      <c r="G131" s="15"/>
      <c r="H131" s="15"/>
      <c r="I131" s="11"/>
      <c r="J131" s="11"/>
      <c r="L131" s="11"/>
      <c r="AH131" s="11" t="s">
        <v>717</v>
      </c>
      <c r="AI131" s="11">
        <f>IF($A$25="mm",AN110/1000,AN110)</f>
        <v>0</v>
      </c>
      <c r="AJ131" s="25" t="str">
        <f>IF($A$25="mm","m","in")</f>
        <v>in</v>
      </c>
      <c r="AK131" s="180" t="s">
        <v>718</v>
      </c>
      <c r="AL131" s="182" t="e">
        <f ca="1">(AI130-0.5*AI132)</f>
        <v>#VALUE!</v>
      </c>
      <c r="AM131" s="50" t="str">
        <f>IF($A$25="mm","m","in")</f>
        <v>in</v>
      </c>
      <c r="AN131" s="180" t="s">
        <v>719</v>
      </c>
      <c r="AO131" s="181" t="str">
        <f ca="1">IF(AL132="","",AO129+(AL129*(AL132-AL131)^2))</f>
        <v/>
      </c>
      <c r="AP131" s="50" t="str">
        <f>IF($A$25="mm","m^4","in^4")</f>
        <v>in^4</v>
      </c>
      <c r="BL131" s="12"/>
      <c r="BM131" s="15"/>
      <c r="BN131" s="15"/>
      <c r="BO131" s="15"/>
      <c r="BP131" s="15"/>
      <c r="BQ131" s="26"/>
      <c r="BR131" s="26"/>
      <c r="BT131" s="11"/>
      <c r="BV131" s="224"/>
      <c r="BX131" s="214" t="e">
        <f t="shared" si="14"/>
        <v>#DIV/0!</v>
      </c>
      <c r="BY131" s="215">
        <f t="shared" si="15"/>
        <v>0</v>
      </c>
    </row>
    <row r="132" spans="4:77" ht="17" x14ac:dyDescent="0.2">
      <c r="D132" s="12"/>
      <c r="E132" s="15"/>
      <c r="F132" s="15"/>
      <c r="G132" s="15"/>
      <c r="H132" s="15"/>
      <c r="I132" s="11"/>
      <c r="J132" s="11"/>
      <c r="L132" s="11"/>
      <c r="AH132" s="11" t="s">
        <v>723</v>
      </c>
      <c r="AI132" s="11" t="str">
        <f ca="1">IF($A$25="mm",AN108/1000,AN108)</f>
        <v>Typo</v>
      </c>
      <c r="AJ132" s="25" t="str">
        <f>IF($A$25="mm","m","in")</f>
        <v>in</v>
      </c>
      <c r="AK132" s="180" t="s">
        <v>724</v>
      </c>
      <c r="AL132" s="182" t="str">
        <f ca="1">IF(OR(AN110="",AN107="",AN108=""),"",(AL128*AL130+AL129*AL131)/(AL128+AL129))</f>
        <v/>
      </c>
      <c r="AM132" s="50" t="str">
        <f>IF($A$25="mm","m","in")</f>
        <v>in</v>
      </c>
      <c r="AN132" s="180" t="s">
        <v>725</v>
      </c>
      <c r="AO132" s="181" t="str">
        <f ca="1">IF(AL132="","",AO130+AO131)</f>
        <v/>
      </c>
      <c r="AP132" s="50" t="str">
        <f>IF($A$25="mm","m^4","in^4")</f>
        <v>in^4</v>
      </c>
      <c r="BL132" s="124"/>
      <c r="BM132" s="15"/>
      <c r="BN132" s="15"/>
      <c r="BO132" s="15"/>
      <c r="BP132" s="15"/>
      <c r="BQ132" s="26"/>
      <c r="BR132" s="26"/>
      <c r="BT132" s="11"/>
      <c r="BV132" s="224"/>
      <c r="BX132" s="214" t="e">
        <f t="shared" si="14"/>
        <v>#DIV/0!</v>
      </c>
      <c r="BY132" s="215">
        <f t="shared" si="15"/>
        <v>0</v>
      </c>
    </row>
    <row r="133" spans="4:77" x14ac:dyDescent="0.2">
      <c r="D133" s="12"/>
      <c r="E133" s="15"/>
      <c r="F133" s="15"/>
      <c r="G133" s="15"/>
      <c r="H133" s="15"/>
      <c r="I133" s="11"/>
      <c r="J133" s="11"/>
      <c r="L133" s="11"/>
      <c r="AH133" s="128"/>
      <c r="AI133" s="11"/>
      <c r="AK133" s="259"/>
      <c r="AL133" s="181"/>
      <c r="AN133" s="259"/>
      <c r="AO133" s="181"/>
      <c r="BL133" s="47"/>
      <c r="BM133" s="47"/>
      <c r="BN133" s="124"/>
      <c r="BO133" s="124"/>
      <c r="BP133" s="124"/>
      <c r="BQ133" s="126"/>
      <c r="BR133" s="126"/>
      <c r="BS133" s="127"/>
      <c r="BT133" s="128"/>
      <c r="BV133" s="224"/>
      <c r="BX133" s="214" t="e">
        <f t="shared" si="14"/>
        <v>#DIV/0!</v>
      </c>
      <c r="BY133" s="215">
        <f t="shared" si="15"/>
        <v>0</v>
      </c>
    </row>
    <row r="134" spans="4:77" x14ac:dyDescent="0.2">
      <c r="D134" s="15"/>
      <c r="E134" s="15"/>
      <c r="F134" s="15"/>
      <c r="G134" s="15"/>
      <c r="H134" s="15"/>
      <c r="I134" s="26"/>
      <c r="J134" s="26"/>
      <c r="L134" s="11"/>
      <c r="AH134" s="128"/>
      <c r="AI134" s="11"/>
      <c r="AK134" s="259"/>
      <c r="AL134" s="128"/>
      <c r="AN134" s="259"/>
      <c r="AO134" s="181"/>
      <c r="BL134" s="37"/>
      <c r="BM134" s="124"/>
      <c r="BN134" s="124"/>
      <c r="BO134" s="124"/>
      <c r="BP134" s="124"/>
      <c r="BQ134" s="126"/>
      <c r="BR134" s="126"/>
      <c r="BS134" s="127"/>
      <c r="BT134" s="128"/>
      <c r="BV134" s="224"/>
      <c r="BX134" s="214" t="e">
        <f t="shared" si="14"/>
        <v>#DIV/0!</v>
      </c>
      <c r="BY134" s="215">
        <f t="shared" si="15"/>
        <v>0</v>
      </c>
    </row>
    <row r="135" spans="4:77" x14ac:dyDescent="0.2">
      <c r="D135" s="124"/>
      <c r="E135" s="15"/>
      <c r="F135" s="15"/>
      <c r="G135" s="15"/>
      <c r="H135" s="15"/>
      <c r="I135" s="26"/>
      <c r="J135" s="26"/>
      <c r="L135" s="11"/>
      <c r="AH135" s="11"/>
      <c r="AI135" s="11"/>
      <c r="AK135" s="259"/>
      <c r="AL135" s="128"/>
      <c r="AN135" s="259"/>
      <c r="AO135" s="181"/>
      <c r="BL135" s="37"/>
      <c r="BM135" s="124"/>
      <c r="BN135" s="124"/>
      <c r="BO135" s="124"/>
      <c r="BP135" s="124"/>
      <c r="BQ135" s="126"/>
      <c r="BR135" s="126"/>
      <c r="BS135" s="127"/>
      <c r="BT135" s="128"/>
      <c r="BV135" s="224"/>
      <c r="BX135" s="214" t="e">
        <f t="shared" si="14"/>
        <v>#DIV/0!</v>
      </c>
      <c r="BY135" s="215">
        <f t="shared" si="15"/>
        <v>0</v>
      </c>
    </row>
    <row r="136" spans="4:77" x14ac:dyDescent="0.2">
      <c r="D136" s="12"/>
      <c r="E136" s="15"/>
      <c r="F136" s="15"/>
      <c r="G136" s="15"/>
      <c r="H136" s="15"/>
      <c r="I136" s="26"/>
      <c r="J136" s="26"/>
      <c r="L136" s="11"/>
      <c r="AH136" s="11"/>
      <c r="AI136" s="11"/>
      <c r="AK136" s="15"/>
      <c r="AL136" s="182"/>
      <c r="AN136" s="259"/>
      <c r="AO136" s="181"/>
      <c r="BL136" s="12"/>
      <c r="BM136" s="15"/>
      <c r="BN136" s="15"/>
      <c r="BO136" s="15"/>
      <c r="BP136" s="15"/>
      <c r="BQ136" s="126"/>
      <c r="BR136" s="126"/>
      <c r="BS136" s="127"/>
      <c r="BT136" s="128"/>
      <c r="BV136" s="224"/>
      <c r="BX136" s="214" t="e">
        <f t="shared" si="14"/>
        <v>#DIV/0!</v>
      </c>
      <c r="BY136" s="215">
        <f t="shared" si="15"/>
        <v>0</v>
      </c>
    </row>
    <row r="137" spans="4:77" x14ac:dyDescent="0.2">
      <c r="D137" s="124"/>
      <c r="E137" s="15"/>
      <c r="F137" s="15"/>
      <c r="G137" s="15"/>
      <c r="H137" s="15"/>
      <c r="I137" s="26"/>
      <c r="J137" s="26"/>
      <c r="L137" s="11"/>
      <c r="BL137" s="12"/>
      <c r="BM137" s="15"/>
      <c r="BN137" s="15"/>
      <c r="BO137" s="15"/>
      <c r="BP137" s="15"/>
      <c r="BQ137" s="126"/>
      <c r="BR137" s="126"/>
      <c r="BS137" s="127"/>
      <c r="BT137" s="128"/>
      <c r="BV137" s="224"/>
      <c r="BX137" s="214" t="e">
        <f t="shared" si="14"/>
        <v>#DIV/0!</v>
      </c>
      <c r="BY137" s="215">
        <f t="shared" si="15"/>
        <v>0</v>
      </c>
    </row>
    <row r="138" spans="4:77" x14ac:dyDescent="0.2">
      <c r="D138" s="47"/>
      <c r="E138" s="47"/>
      <c r="F138" s="124"/>
      <c r="G138" s="124"/>
      <c r="H138" s="124"/>
      <c r="I138" s="126"/>
      <c r="J138" s="126"/>
      <c r="K138" s="127"/>
      <c r="L138" s="128"/>
      <c r="BV138" s="224"/>
      <c r="BX138" s="214" t="e">
        <f t="shared" si="14"/>
        <v>#DIV/0!</v>
      </c>
      <c r="BY138" s="215">
        <f t="shared" si="15"/>
        <v>0</v>
      </c>
    </row>
    <row r="139" spans="4:77" x14ac:dyDescent="0.2">
      <c r="D139" s="37"/>
      <c r="E139" s="124"/>
      <c r="F139" s="124"/>
      <c r="G139" s="124"/>
      <c r="H139" s="124"/>
      <c r="I139" s="126"/>
      <c r="J139" s="126"/>
      <c r="K139" s="127"/>
      <c r="L139" s="128"/>
      <c r="BV139" s="224"/>
      <c r="BX139" s="214" t="e">
        <f t="shared" si="14"/>
        <v>#DIV/0!</v>
      </c>
      <c r="BY139" s="215">
        <f t="shared" si="15"/>
        <v>0</v>
      </c>
    </row>
    <row r="140" spans="4:77" x14ac:dyDescent="0.2">
      <c r="D140" s="37"/>
      <c r="E140" s="124"/>
      <c r="F140" s="124"/>
      <c r="G140" s="124"/>
      <c r="H140" s="124"/>
      <c r="I140" s="126"/>
      <c r="J140" s="126"/>
      <c r="K140" s="127"/>
      <c r="L140" s="128"/>
      <c r="BV140" s="224"/>
      <c r="BX140" s="214" t="e">
        <f t="shared" si="14"/>
        <v>#DIV/0!</v>
      </c>
      <c r="BY140" s="215">
        <f t="shared" si="15"/>
        <v>0</v>
      </c>
    </row>
    <row r="141" spans="4:77" x14ac:dyDescent="0.2">
      <c r="D141" s="12"/>
      <c r="E141" s="15"/>
      <c r="F141" s="15"/>
      <c r="G141" s="15"/>
      <c r="H141" s="15"/>
      <c r="I141" s="126"/>
      <c r="J141" s="126"/>
      <c r="K141" s="127"/>
      <c r="L141" s="128"/>
      <c r="BV141" s="224"/>
      <c r="BX141" s="214" t="e">
        <f t="shared" ref="BX141:BX204" si="20">BY141/BV141</f>
        <v>#DIV/0!</v>
      </c>
      <c r="BY141" s="215">
        <f t="shared" si="15"/>
        <v>0</v>
      </c>
    </row>
    <row r="142" spans="4:77" x14ac:dyDescent="0.2">
      <c r="D142" s="12"/>
      <c r="E142" s="15"/>
      <c r="F142" s="15"/>
      <c r="G142" s="15"/>
      <c r="H142" s="15"/>
      <c r="I142" s="126"/>
      <c r="J142" s="126"/>
      <c r="K142" s="127"/>
      <c r="L142" s="128"/>
      <c r="BV142" s="224"/>
      <c r="BX142" s="214" t="e">
        <f t="shared" si="20"/>
        <v>#DIV/0!</v>
      </c>
      <c r="BY142" s="215">
        <f t="shared" ref="BY142:BY205" si="21">BY141+BW142*(BV142-BV141)</f>
        <v>0</v>
      </c>
    </row>
    <row r="143" spans="4:77" x14ac:dyDescent="0.2">
      <c r="BV143" s="224"/>
      <c r="BX143" s="214" t="e">
        <f t="shared" si="20"/>
        <v>#DIV/0!</v>
      </c>
      <c r="BY143" s="215">
        <f t="shared" si="21"/>
        <v>0</v>
      </c>
    </row>
    <row r="144" spans="4:77" x14ac:dyDescent="0.2">
      <c r="D144" s="269"/>
      <c r="E144" s="269"/>
      <c r="F144" s="269"/>
      <c r="G144" s="269"/>
      <c r="H144" s="269"/>
      <c r="I144" s="269"/>
      <c r="J144" s="269"/>
      <c r="K144" s="269"/>
      <c r="L144" s="269"/>
      <c r="BV144" s="224"/>
      <c r="BX144" s="214" t="e">
        <f t="shared" si="20"/>
        <v>#DIV/0!</v>
      </c>
      <c r="BY144" s="215">
        <f t="shared" si="21"/>
        <v>0</v>
      </c>
    </row>
    <row r="145" spans="1:77" x14ac:dyDescent="0.2">
      <c r="D145" s="269"/>
      <c r="E145" s="269"/>
      <c r="F145" s="269"/>
      <c r="G145" s="269"/>
      <c r="H145" s="269"/>
      <c r="I145" s="269"/>
      <c r="J145" s="269"/>
      <c r="K145" s="269"/>
      <c r="L145" s="269"/>
      <c r="BV145" s="224"/>
      <c r="BX145" s="214" t="e">
        <f t="shared" si="20"/>
        <v>#DIV/0!</v>
      </c>
      <c r="BY145" s="215">
        <f t="shared" si="21"/>
        <v>0</v>
      </c>
    </row>
    <row r="146" spans="1:77" x14ac:dyDescent="0.2">
      <c r="D146" s="269"/>
      <c r="E146" s="269"/>
      <c r="F146" s="269"/>
      <c r="G146" s="269"/>
      <c r="H146" s="269"/>
      <c r="I146" s="269"/>
      <c r="J146" s="269"/>
      <c r="K146" s="269"/>
      <c r="L146" s="269"/>
      <c r="BV146" s="224"/>
      <c r="BX146" s="214" t="e">
        <f t="shared" si="20"/>
        <v>#DIV/0!</v>
      </c>
      <c r="BY146" s="215">
        <f t="shared" si="21"/>
        <v>0</v>
      </c>
    </row>
    <row r="147" spans="1:77" x14ac:dyDescent="0.2">
      <c r="D147" s="269"/>
      <c r="E147" s="269"/>
      <c r="F147" s="269"/>
      <c r="G147" s="269"/>
      <c r="H147" s="269"/>
      <c r="I147" s="269"/>
      <c r="J147" s="269"/>
      <c r="K147" s="269"/>
      <c r="L147" s="269"/>
      <c r="BV147" s="224"/>
      <c r="BX147" s="214" t="e">
        <f t="shared" si="20"/>
        <v>#DIV/0!</v>
      </c>
      <c r="BY147" s="215">
        <f t="shared" si="21"/>
        <v>0</v>
      </c>
    </row>
    <row r="148" spans="1:77" x14ac:dyDescent="0.2">
      <c r="D148" s="269"/>
      <c r="E148" s="269"/>
      <c r="F148" s="269"/>
      <c r="G148" s="269"/>
      <c r="H148" s="269"/>
      <c r="I148" s="269"/>
      <c r="J148" s="269"/>
      <c r="K148" s="269"/>
      <c r="L148" s="269"/>
      <c r="BV148" s="224"/>
      <c r="BX148" s="214" t="e">
        <f t="shared" si="20"/>
        <v>#DIV/0!</v>
      </c>
      <c r="BY148" s="215">
        <f t="shared" si="21"/>
        <v>0</v>
      </c>
    </row>
    <row r="149" spans="1:77" x14ac:dyDescent="0.2">
      <c r="D149" s="44"/>
      <c r="E149" s="44"/>
      <c r="F149" s="44"/>
      <c r="G149" s="44"/>
      <c r="H149" s="44"/>
      <c r="I149" s="44"/>
      <c r="J149" s="44"/>
      <c r="K149" s="44"/>
      <c r="L149" s="44"/>
      <c r="BV149" s="224"/>
      <c r="BX149" s="214" t="e">
        <f t="shared" si="20"/>
        <v>#DIV/0!</v>
      </c>
      <c r="BY149" s="215">
        <f t="shared" si="21"/>
        <v>0</v>
      </c>
    </row>
    <row r="150" spans="1:77" x14ac:dyDescent="0.2">
      <c r="A150" s="35" t="s">
        <v>296</v>
      </c>
      <c r="D150" s="44"/>
      <c r="E150" s="44"/>
      <c r="F150" s="44"/>
      <c r="G150" s="44"/>
      <c r="H150" s="44"/>
      <c r="I150" s="44"/>
      <c r="J150" s="44"/>
      <c r="K150" s="44"/>
      <c r="L150" s="44"/>
      <c r="BV150" s="224"/>
      <c r="BX150" s="214" t="e">
        <f t="shared" si="20"/>
        <v>#DIV/0!</v>
      </c>
      <c r="BY150" s="215">
        <f t="shared" si="21"/>
        <v>0</v>
      </c>
    </row>
    <row r="151" spans="1:77" x14ac:dyDescent="0.2">
      <c r="D151" s="44"/>
      <c r="E151" s="44"/>
      <c r="F151" s="44"/>
      <c r="G151" s="44"/>
      <c r="H151" s="44"/>
      <c r="I151" s="44"/>
      <c r="J151" s="44"/>
      <c r="K151" s="44"/>
      <c r="L151" s="44"/>
      <c r="BV151" s="224"/>
      <c r="BX151" s="214" t="e">
        <f t="shared" si="20"/>
        <v>#DIV/0!</v>
      </c>
      <c r="BY151" s="215">
        <f t="shared" si="21"/>
        <v>0</v>
      </c>
    </row>
    <row r="152" spans="1:77" x14ac:dyDescent="0.2">
      <c r="BV152" s="224"/>
      <c r="BX152" s="214" t="e">
        <f t="shared" si="20"/>
        <v>#DIV/0!</v>
      </c>
      <c r="BY152" s="215">
        <f t="shared" si="21"/>
        <v>0</v>
      </c>
    </row>
    <row r="153" spans="1:77" x14ac:dyDescent="0.2">
      <c r="BV153" s="224"/>
      <c r="BX153" s="214" t="e">
        <f t="shared" si="20"/>
        <v>#DIV/0!</v>
      </c>
      <c r="BY153" s="215">
        <f t="shared" si="21"/>
        <v>0</v>
      </c>
    </row>
    <row r="154" spans="1:77" x14ac:dyDescent="0.2">
      <c r="BV154" s="224"/>
      <c r="BX154" s="214" t="e">
        <f t="shared" si="20"/>
        <v>#DIV/0!</v>
      </c>
      <c r="BY154" s="215">
        <f t="shared" si="21"/>
        <v>0</v>
      </c>
    </row>
    <row r="155" spans="1:77" x14ac:dyDescent="0.2">
      <c r="BV155" s="224"/>
      <c r="BX155" s="214" t="e">
        <f t="shared" si="20"/>
        <v>#DIV/0!</v>
      </c>
      <c r="BY155" s="215">
        <f t="shared" si="21"/>
        <v>0</v>
      </c>
    </row>
    <row r="156" spans="1:77" x14ac:dyDescent="0.2">
      <c r="BV156" s="224"/>
      <c r="BX156" s="214" t="e">
        <f t="shared" si="20"/>
        <v>#DIV/0!</v>
      </c>
      <c r="BY156" s="215">
        <f t="shared" si="21"/>
        <v>0</v>
      </c>
    </row>
    <row r="157" spans="1:77" x14ac:dyDescent="0.2">
      <c r="BV157" s="224"/>
      <c r="BX157" s="214" t="e">
        <f t="shared" si="20"/>
        <v>#DIV/0!</v>
      </c>
      <c r="BY157" s="215">
        <f t="shared" si="21"/>
        <v>0</v>
      </c>
    </row>
    <row r="158" spans="1:77" x14ac:dyDescent="0.2">
      <c r="BV158" s="224"/>
      <c r="BX158" s="214" t="e">
        <f t="shared" si="20"/>
        <v>#DIV/0!</v>
      </c>
      <c r="BY158" s="215">
        <f t="shared" si="21"/>
        <v>0</v>
      </c>
    </row>
    <row r="159" spans="1:77" x14ac:dyDescent="0.2">
      <c r="BV159" s="224"/>
      <c r="BX159" s="214" t="e">
        <f t="shared" si="20"/>
        <v>#DIV/0!</v>
      </c>
      <c r="BY159" s="215">
        <f t="shared" si="21"/>
        <v>0</v>
      </c>
    </row>
    <row r="160" spans="1:77" x14ac:dyDescent="0.2">
      <c r="BV160" s="224"/>
      <c r="BX160" s="214" t="e">
        <f t="shared" si="20"/>
        <v>#DIV/0!</v>
      </c>
      <c r="BY160" s="215">
        <f t="shared" si="21"/>
        <v>0</v>
      </c>
    </row>
    <row r="161" spans="74:77" x14ac:dyDescent="0.2">
      <c r="BV161" s="224"/>
      <c r="BX161" s="214" t="e">
        <f t="shared" si="20"/>
        <v>#DIV/0!</v>
      </c>
      <c r="BY161" s="215">
        <f t="shared" si="21"/>
        <v>0</v>
      </c>
    </row>
    <row r="162" spans="74:77" x14ac:dyDescent="0.2">
      <c r="BV162" s="224"/>
      <c r="BX162" s="214" t="e">
        <f t="shared" si="20"/>
        <v>#DIV/0!</v>
      </c>
      <c r="BY162" s="215">
        <f t="shared" si="21"/>
        <v>0</v>
      </c>
    </row>
    <row r="163" spans="74:77" x14ac:dyDescent="0.2">
      <c r="BV163" s="224"/>
      <c r="BX163" s="214" t="e">
        <f t="shared" si="20"/>
        <v>#DIV/0!</v>
      </c>
      <c r="BY163" s="215">
        <f t="shared" si="21"/>
        <v>0</v>
      </c>
    </row>
    <row r="164" spans="74:77" x14ac:dyDescent="0.2">
      <c r="BV164" s="224"/>
      <c r="BX164" s="214" t="e">
        <f t="shared" si="20"/>
        <v>#DIV/0!</v>
      </c>
      <c r="BY164" s="215">
        <f t="shared" si="21"/>
        <v>0</v>
      </c>
    </row>
    <row r="165" spans="74:77" x14ac:dyDescent="0.2">
      <c r="BV165" s="224"/>
      <c r="BX165" s="214" t="e">
        <f t="shared" si="20"/>
        <v>#DIV/0!</v>
      </c>
      <c r="BY165" s="215">
        <f t="shared" si="21"/>
        <v>0</v>
      </c>
    </row>
    <row r="166" spans="74:77" x14ac:dyDescent="0.2">
      <c r="BV166" s="224"/>
      <c r="BX166" s="214" t="e">
        <f t="shared" si="20"/>
        <v>#DIV/0!</v>
      </c>
      <c r="BY166" s="215">
        <f t="shared" si="21"/>
        <v>0</v>
      </c>
    </row>
    <row r="167" spans="74:77" x14ac:dyDescent="0.2">
      <c r="BV167" s="224"/>
      <c r="BX167" s="214" t="e">
        <f t="shared" si="20"/>
        <v>#DIV/0!</v>
      </c>
      <c r="BY167" s="215">
        <f t="shared" si="21"/>
        <v>0</v>
      </c>
    </row>
    <row r="168" spans="74:77" x14ac:dyDescent="0.2">
      <c r="BV168" s="224"/>
      <c r="BX168" s="214" t="e">
        <f t="shared" si="20"/>
        <v>#DIV/0!</v>
      </c>
      <c r="BY168" s="215">
        <f t="shared" si="21"/>
        <v>0</v>
      </c>
    </row>
    <row r="169" spans="74:77" x14ac:dyDescent="0.2">
      <c r="BV169" s="224"/>
      <c r="BX169" s="214" t="e">
        <f t="shared" si="20"/>
        <v>#DIV/0!</v>
      </c>
      <c r="BY169" s="215">
        <f t="shared" si="21"/>
        <v>0</v>
      </c>
    </row>
    <row r="170" spans="74:77" x14ac:dyDescent="0.2">
      <c r="BV170" s="224"/>
      <c r="BX170" s="214" t="e">
        <f t="shared" si="20"/>
        <v>#DIV/0!</v>
      </c>
      <c r="BY170" s="215">
        <f t="shared" si="21"/>
        <v>0</v>
      </c>
    </row>
    <row r="171" spans="74:77" x14ac:dyDescent="0.2">
      <c r="BV171" s="224"/>
      <c r="BX171" s="214" t="e">
        <f t="shared" si="20"/>
        <v>#DIV/0!</v>
      </c>
      <c r="BY171" s="215">
        <f t="shared" si="21"/>
        <v>0</v>
      </c>
    </row>
    <row r="172" spans="74:77" x14ac:dyDescent="0.2">
      <c r="BV172" s="224"/>
      <c r="BX172" s="214" t="e">
        <f t="shared" si="20"/>
        <v>#DIV/0!</v>
      </c>
      <c r="BY172" s="215">
        <f t="shared" si="21"/>
        <v>0</v>
      </c>
    </row>
    <row r="173" spans="74:77" x14ac:dyDescent="0.2">
      <c r="BV173" s="224"/>
      <c r="BX173" s="214" t="e">
        <f t="shared" si="20"/>
        <v>#DIV/0!</v>
      </c>
      <c r="BY173" s="215">
        <f t="shared" si="21"/>
        <v>0</v>
      </c>
    </row>
    <row r="174" spans="74:77" x14ac:dyDescent="0.2">
      <c r="BV174" s="224"/>
      <c r="BX174" s="214" t="e">
        <f t="shared" si="20"/>
        <v>#DIV/0!</v>
      </c>
      <c r="BY174" s="215">
        <f t="shared" si="21"/>
        <v>0</v>
      </c>
    </row>
    <row r="175" spans="74:77" x14ac:dyDescent="0.2">
      <c r="BV175" s="224"/>
      <c r="BX175" s="214" t="e">
        <f t="shared" si="20"/>
        <v>#DIV/0!</v>
      </c>
      <c r="BY175" s="215">
        <f t="shared" si="21"/>
        <v>0</v>
      </c>
    </row>
    <row r="176" spans="74:77" x14ac:dyDescent="0.2">
      <c r="BV176" s="224"/>
      <c r="BX176" s="214" t="e">
        <f t="shared" si="20"/>
        <v>#DIV/0!</v>
      </c>
      <c r="BY176" s="215">
        <f t="shared" si="21"/>
        <v>0</v>
      </c>
    </row>
    <row r="177" spans="74:77" x14ac:dyDescent="0.2">
      <c r="BV177" s="224"/>
      <c r="BX177" s="214" t="e">
        <f t="shared" si="20"/>
        <v>#DIV/0!</v>
      </c>
      <c r="BY177" s="215">
        <f t="shared" si="21"/>
        <v>0</v>
      </c>
    </row>
    <row r="178" spans="74:77" x14ac:dyDescent="0.2">
      <c r="BV178" s="224"/>
      <c r="BX178" s="214" t="e">
        <f t="shared" si="20"/>
        <v>#DIV/0!</v>
      </c>
      <c r="BY178" s="215">
        <f t="shared" si="21"/>
        <v>0</v>
      </c>
    </row>
    <row r="179" spans="74:77" x14ac:dyDescent="0.2">
      <c r="BV179" s="224"/>
      <c r="BX179" s="214" t="e">
        <f t="shared" si="20"/>
        <v>#DIV/0!</v>
      </c>
      <c r="BY179" s="215">
        <f t="shared" si="21"/>
        <v>0</v>
      </c>
    </row>
    <row r="180" spans="74:77" x14ac:dyDescent="0.2">
      <c r="BV180" s="224"/>
      <c r="BX180" s="214" t="e">
        <f t="shared" si="20"/>
        <v>#DIV/0!</v>
      </c>
      <c r="BY180" s="215">
        <f t="shared" si="21"/>
        <v>0</v>
      </c>
    </row>
    <row r="181" spans="74:77" x14ac:dyDescent="0.2">
      <c r="BV181" s="224"/>
      <c r="BX181" s="214" t="e">
        <f t="shared" si="20"/>
        <v>#DIV/0!</v>
      </c>
      <c r="BY181" s="215">
        <f t="shared" si="21"/>
        <v>0</v>
      </c>
    </row>
    <row r="182" spans="74:77" x14ac:dyDescent="0.2">
      <c r="BV182" s="224"/>
      <c r="BX182" s="214" t="e">
        <f t="shared" si="20"/>
        <v>#DIV/0!</v>
      </c>
      <c r="BY182" s="215">
        <f t="shared" si="21"/>
        <v>0</v>
      </c>
    </row>
    <row r="183" spans="74:77" x14ac:dyDescent="0.2">
      <c r="BV183" s="224"/>
      <c r="BX183" s="214" t="e">
        <f t="shared" si="20"/>
        <v>#DIV/0!</v>
      </c>
      <c r="BY183" s="215">
        <f t="shared" si="21"/>
        <v>0</v>
      </c>
    </row>
    <row r="184" spans="74:77" x14ac:dyDescent="0.2">
      <c r="BV184" s="224"/>
      <c r="BX184" s="214" t="e">
        <f t="shared" si="20"/>
        <v>#DIV/0!</v>
      </c>
      <c r="BY184" s="215">
        <f t="shared" si="21"/>
        <v>0</v>
      </c>
    </row>
    <row r="185" spans="74:77" x14ac:dyDescent="0.2">
      <c r="BV185" s="224"/>
      <c r="BX185" s="214" t="e">
        <f t="shared" si="20"/>
        <v>#DIV/0!</v>
      </c>
      <c r="BY185" s="215">
        <f t="shared" si="21"/>
        <v>0</v>
      </c>
    </row>
    <row r="186" spans="74:77" x14ac:dyDescent="0.2">
      <c r="BV186" s="224"/>
      <c r="BX186" s="214" t="e">
        <f t="shared" si="20"/>
        <v>#DIV/0!</v>
      </c>
      <c r="BY186" s="215">
        <f t="shared" si="21"/>
        <v>0</v>
      </c>
    </row>
    <row r="187" spans="74:77" x14ac:dyDescent="0.2">
      <c r="BV187" s="224"/>
      <c r="BX187" s="214" t="e">
        <f t="shared" si="20"/>
        <v>#DIV/0!</v>
      </c>
      <c r="BY187" s="215">
        <f t="shared" si="21"/>
        <v>0</v>
      </c>
    </row>
    <row r="188" spans="74:77" x14ac:dyDescent="0.2">
      <c r="BV188" s="224"/>
      <c r="BX188" s="214" t="e">
        <f t="shared" si="20"/>
        <v>#DIV/0!</v>
      </c>
      <c r="BY188" s="215">
        <f t="shared" si="21"/>
        <v>0</v>
      </c>
    </row>
    <row r="189" spans="74:77" x14ac:dyDescent="0.2">
      <c r="BV189" s="224"/>
      <c r="BX189" s="214" t="e">
        <f t="shared" si="20"/>
        <v>#DIV/0!</v>
      </c>
      <c r="BY189" s="215">
        <f t="shared" si="21"/>
        <v>0</v>
      </c>
    </row>
    <row r="190" spans="74:77" x14ac:dyDescent="0.2">
      <c r="BV190" s="224"/>
      <c r="BX190" s="214" t="e">
        <f t="shared" si="20"/>
        <v>#DIV/0!</v>
      </c>
      <c r="BY190" s="215">
        <f t="shared" si="21"/>
        <v>0</v>
      </c>
    </row>
    <row r="191" spans="74:77" x14ac:dyDescent="0.2">
      <c r="BV191" s="224"/>
      <c r="BX191" s="214" t="e">
        <f t="shared" si="20"/>
        <v>#DIV/0!</v>
      </c>
      <c r="BY191" s="215">
        <f t="shared" si="21"/>
        <v>0</v>
      </c>
    </row>
    <row r="192" spans="74:77" x14ac:dyDescent="0.2">
      <c r="BV192" s="224"/>
      <c r="BX192" s="214" t="e">
        <f t="shared" si="20"/>
        <v>#DIV/0!</v>
      </c>
      <c r="BY192" s="215">
        <f t="shared" si="21"/>
        <v>0</v>
      </c>
    </row>
    <row r="193" spans="74:77" x14ac:dyDescent="0.2">
      <c r="BV193" s="224"/>
      <c r="BX193" s="214" t="e">
        <f t="shared" si="20"/>
        <v>#DIV/0!</v>
      </c>
      <c r="BY193" s="215">
        <f t="shared" si="21"/>
        <v>0</v>
      </c>
    </row>
    <row r="194" spans="74:77" x14ac:dyDescent="0.2">
      <c r="BV194" s="224"/>
      <c r="BX194" s="214" t="e">
        <f t="shared" si="20"/>
        <v>#DIV/0!</v>
      </c>
      <c r="BY194" s="215">
        <f t="shared" si="21"/>
        <v>0</v>
      </c>
    </row>
    <row r="195" spans="74:77" x14ac:dyDescent="0.2">
      <c r="BV195" s="224"/>
      <c r="BX195" s="214" t="e">
        <f t="shared" si="20"/>
        <v>#DIV/0!</v>
      </c>
      <c r="BY195" s="215">
        <f t="shared" si="21"/>
        <v>0</v>
      </c>
    </row>
    <row r="196" spans="74:77" x14ac:dyDescent="0.2">
      <c r="BV196" s="224"/>
      <c r="BX196" s="214" t="e">
        <f t="shared" si="20"/>
        <v>#DIV/0!</v>
      </c>
      <c r="BY196" s="215">
        <f t="shared" si="21"/>
        <v>0</v>
      </c>
    </row>
    <row r="197" spans="74:77" x14ac:dyDescent="0.2">
      <c r="BV197" s="224"/>
      <c r="BX197" s="214" t="e">
        <f t="shared" si="20"/>
        <v>#DIV/0!</v>
      </c>
      <c r="BY197" s="215">
        <f t="shared" si="21"/>
        <v>0</v>
      </c>
    </row>
    <row r="198" spans="74:77" x14ac:dyDescent="0.2">
      <c r="BV198" s="224"/>
      <c r="BX198" s="214" t="e">
        <f t="shared" si="20"/>
        <v>#DIV/0!</v>
      </c>
      <c r="BY198" s="215">
        <f t="shared" si="21"/>
        <v>0</v>
      </c>
    </row>
    <row r="199" spans="74:77" x14ac:dyDescent="0.2">
      <c r="BV199" s="224"/>
      <c r="BX199" s="214" t="e">
        <f t="shared" si="20"/>
        <v>#DIV/0!</v>
      </c>
      <c r="BY199" s="215">
        <f t="shared" si="21"/>
        <v>0</v>
      </c>
    </row>
    <row r="200" spans="74:77" x14ac:dyDescent="0.2">
      <c r="BV200" s="224"/>
      <c r="BX200" s="214" t="e">
        <f t="shared" si="20"/>
        <v>#DIV/0!</v>
      </c>
      <c r="BY200" s="215">
        <f t="shared" si="21"/>
        <v>0</v>
      </c>
    </row>
    <row r="201" spans="74:77" x14ac:dyDescent="0.2">
      <c r="BV201" s="224"/>
      <c r="BX201" s="214" t="e">
        <f t="shared" si="20"/>
        <v>#DIV/0!</v>
      </c>
      <c r="BY201" s="215">
        <f t="shared" si="21"/>
        <v>0</v>
      </c>
    </row>
    <row r="202" spans="74:77" x14ac:dyDescent="0.2">
      <c r="BV202" s="224"/>
      <c r="BX202" s="214" t="e">
        <f t="shared" si="20"/>
        <v>#DIV/0!</v>
      </c>
      <c r="BY202" s="215">
        <f t="shared" si="21"/>
        <v>0</v>
      </c>
    </row>
    <row r="203" spans="74:77" x14ac:dyDescent="0.2">
      <c r="BV203" s="224"/>
      <c r="BX203" s="214" t="e">
        <f t="shared" si="20"/>
        <v>#DIV/0!</v>
      </c>
      <c r="BY203" s="215">
        <f t="shared" si="21"/>
        <v>0</v>
      </c>
    </row>
    <row r="204" spans="74:77" x14ac:dyDescent="0.2">
      <c r="BV204" s="224"/>
      <c r="BX204" s="214" t="e">
        <f t="shared" si="20"/>
        <v>#DIV/0!</v>
      </c>
      <c r="BY204" s="215">
        <f t="shared" si="21"/>
        <v>0</v>
      </c>
    </row>
    <row r="205" spans="74:77" x14ac:dyDescent="0.2">
      <c r="BV205" s="224"/>
      <c r="BX205" s="214" t="e">
        <f t="shared" ref="BX205:BX268" si="22">BY205/BV205</f>
        <v>#DIV/0!</v>
      </c>
      <c r="BY205" s="215">
        <f t="shared" si="21"/>
        <v>0</v>
      </c>
    </row>
    <row r="206" spans="74:77" x14ac:dyDescent="0.2">
      <c r="BV206" s="224"/>
      <c r="BX206" s="214" t="e">
        <f t="shared" si="22"/>
        <v>#DIV/0!</v>
      </c>
      <c r="BY206" s="215">
        <f t="shared" ref="BY206:BY269" si="23">BY205+BW206*(BV206-BV205)</f>
        <v>0</v>
      </c>
    </row>
    <row r="207" spans="74:77" x14ac:dyDescent="0.2">
      <c r="BV207" s="224"/>
      <c r="BX207" s="214" t="e">
        <f t="shared" si="22"/>
        <v>#DIV/0!</v>
      </c>
      <c r="BY207" s="215">
        <f t="shared" si="23"/>
        <v>0</v>
      </c>
    </row>
    <row r="208" spans="74:77" x14ac:dyDescent="0.2">
      <c r="BV208" s="224"/>
      <c r="BX208" s="214" t="e">
        <f t="shared" si="22"/>
        <v>#DIV/0!</v>
      </c>
      <c r="BY208" s="215">
        <f t="shared" si="23"/>
        <v>0</v>
      </c>
    </row>
    <row r="209" spans="74:77" x14ac:dyDescent="0.2">
      <c r="BV209" s="224"/>
      <c r="BX209" s="214" t="e">
        <f t="shared" si="22"/>
        <v>#DIV/0!</v>
      </c>
      <c r="BY209" s="215">
        <f t="shared" si="23"/>
        <v>0</v>
      </c>
    </row>
    <row r="210" spans="74:77" x14ac:dyDescent="0.2">
      <c r="BV210" s="224"/>
      <c r="BX210" s="214" t="e">
        <f t="shared" si="22"/>
        <v>#DIV/0!</v>
      </c>
      <c r="BY210" s="215">
        <f t="shared" si="23"/>
        <v>0</v>
      </c>
    </row>
    <row r="211" spans="74:77" x14ac:dyDescent="0.2">
      <c r="BV211" s="224"/>
      <c r="BX211" s="214" t="e">
        <f t="shared" si="22"/>
        <v>#DIV/0!</v>
      </c>
      <c r="BY211" s="215">
        <f t="shared" si="23"/>
        <v>0</v>
      </c>
    </row>
    <row r="212" spans="74:77" x14ac:dyDescent="0.2">
      <c r="BV212" s="224"/>
      <c r="BX212" s="214" t="e">
        <f t="shared" si="22"/>
        <v>#DIV/0!</v>
      </c>
      <c r="BY212" s="215">
        <f t="shared" si="23"/>
        <v>0</v>
      </c>
    </row>
    <row r="213" spans="74:77" x14ac:dyDescent="0.2">
      <c r="BV213" s="224"/>
      <c r="BX213" s="214" t="e">
        <f t="shared" si="22"/>
        <v>#DIV/0!</v>
      </c>
      <c r="BY213" s="215">
        <f t="shared" si="23"/>
        <v>0</v>
      </c>
    </row>
    <row r="214" spans="74:77" x14ac:dyDescent="0.2">
      <c r="BV214" s="224"/>
      <c r="BX214" s="214" t="e">
        <f t="shared" si="22"/>
        <v>#DIV/0!</v>
      </c>
      <c r="BY214" s="215">
        <f t="shared" si="23"/>
        <v>0</v>
      </c>
    </row>
    <row r="215" spans="74:77" x14ac:dyDescent="0.2">
      <c r="BV215" s="224"/>
      <c r="BX215" s="214" t="e">
        <f t="shared" si="22"/>
        <v>#DIV/0!</v>
      </c>
      <c r="BY215" s="215">
        <f t="shared" si="23"/>
        <v>0</v>
      </c>
    </row>
    <row r="216" spans="74:77" x14ac:dyDescent="0.2">
      <c r="BV216" s="224"/>
      <c r="BX216" s="214" t="e">
        <f t="shared" si="22"/>
        <v>#DIV/0!</v>
      </c>
      <c r="BY216" s="215">
        <f t="shared" si="23"/>
        <v>0</v>
      </c>
    </row>
    <row r="217" spans="74:77" x14ac:dyDescent="0.2">
      <c r="BV217" s="224"/>
      <c r="BX217" s="214" t="e">
        <f t="shared" si="22"/>
        <v>#DIV/0!</v>
      </c>
      <c r="BY217" s="215">
        <f t="shared" si="23"/>
        <v>0</v>
      </c>
    </row>
    <row r="218" spans="74:77" x14ac:dyDescent="0.2">
      <c r="BV218" s="224"/>
      <c r="BX218" s="214" t="e">
        <f t="shared" si="22"/>
        <v>#DIV/0!</v>
      </c>
      <c r="BY218" s="215">
        <f t="shared" si="23"/>
        <v>0</v>
      </c>
    </row>
    <row r="219" spans="74:77" x14ac:dyDescent="0.2">
      <c r="BV219" s="224"/>
      <c r="BX219" s="214" t="e">
        <f t="shared" si="22"/>
        <v>#DIV/0!</v>
      </c>
      <c r="BY219" s="215">
        <f t="shared" si="23"/>
        <v>0</v>
      </c>
    </row>
    <row r="220" spans="74:77" x14ac:dyDescent="0.2">
      <c r="BV220" s="224"/>
      <c r="BX220" s="214" t="e">
        <f t="shared" si="22"/>
        <v>#DIV/0!</v>
      </c>
      <c r="BY220" s="215">
        <f t="shared" si="23"/>
        <v>0</v>
      </c>
    </row>
    <row r="221" spans="74:77" x14ac:dyDescent="0.2">
      <c r="BV221" s="224"/>
      <c r="BX221" s="214" t="e">
        <f t="shared" si="22"/>
        <v>#DIV/0!</v>
      </c>
      <c r="BY221" s="215">
        <f t="shared" si="23"/>
        <v>0</v>
      </c>
    </row>
    <row r="222" spans="74:77" x14ac:dyDescent="0.2">
      <c r="BV222" s="224"/>
      <c r="BX222" s="214" t="e">
        <f t="shared" si="22"/>
        <v>#DIV/0!</v>
      </c>
      <c r="BY222" s="215">
        <f t="shared" si="23"/>
        <v>0</v>
      </c>
    </row>
    <row r="223" spans="74:77" x14ac:dyDescent="0.2">
      <c r="BV223" s="224"/>
      <c r="BX223" s="214" t="e">
        <f t="shared" si="22"/>
        <v>#DIV/0!</v>
      </c>
      <c r="BY223" s="215">
        <f t="shared" si="23"/>
        <v>0</v>
      </c>
    </row>
    <row r="224" spans="74:77" x14ac:dyDescent="0.2">
      <c r="BV224" s="224"/>
      <c r="BX224" s="214" t="e">
        <f t="shared" si="22"/>
        <v>#DIV/0!</v>
      </c>
      <c r="BY224" s="215">
        <f t="shared" si="23"/>
        <v>0</v>
      </c>
    </row>
    <row r="225" spans="74:77" x14ac:dyDescent="0.2">
      <c r="BV225" s="224"/>
      <c r="BX225" s="214" t="e">
        <f t="shared" si="22"/>
        <v>#DIV/0!</v>
      </c>
      <c r="BY225" s="215">
        <f t="shared" si="23"/>
        <v>0</v>
      </c>
    </row>
    <row r="226" spans="74:77" x14ac:dyDescent="0.2">
      <c r="BV226" s="224"/>
      <c r="BX226" s="214" t="e">
        <f t="shared" si="22"/>
        <v>#DIV/0!</v>
      </c>
      <c r="BY226" s="215">
        <f t="shared" si="23"/>
        <v>0</v>
      </c>
    </row>
    <row r="227" spans="74:77" x14ac:dyDescent="0.2">
      <c r="BX227" s="214" t="e">
        <f t="shared" si="22"/>
        <v>#DIV/0!</v>
      </c>
      <c r="BY227" s="215">
        <f t="shared" si="23"/>
        <v>0</v>
      </c>
    </row>
    <row r="228" spans="74:77" x14ac:dyDescent="0.2">
      <c r="BX228" s="214" t="e">
        <f t="shared" si="22"/>
        <v>#DIV/0!</v>
      </c>
      <c r="BY228" s="215">
        <f t="shared" si="23"/>
        <v>0</v>
      </c>
    </row>
    <row r="229" spans="74:77" x14ac:dyDescent="0.2">
      <c r="BX229" s="214" t="e">
        <f t="shared" si="22"/>
        <v>#DIV/0!</v>
      </c>
      <c r="BY229" s="215">
        <f t="shared" si="23"/>
        <v>0</v>
      </c>
    </row>
    <row r="230" spans="74:77" x14ac:dyDescent="0.2">
      <c r="BX230" s="214" t="e">
        <f t="shared" si="22"/>
        <v>#DIV/0!</v>
      </c>
      <c r="BY230" s="215">
        <f t="shared" si="23"/>
        <v>0</v>
      </c>
    </row>
    <row r="231" spans="74:77" x14ac:dyDescent="0.2">
      <c r="BX231" s="214" t="e">
        <f t="shared" si="22"/>
        <v>#DIV/0!</v>
      </c>
      <c r="BY231" s="215">
        <f t="shared" si="23"/>
        <v>0</v>
      </c>
    </row>
    <row r="232" spans="74:77" x14ac:dyDescent="0.2">
      <c r="BX232" s="214" t="e">
        <f t="shared" si="22"/>
        <v>#DIV/0!</v>
      </c>
      <c r="BY232" s="215">
        <f t="shared" si="23"/>
        <v>0</v>
      </c>
    </row>
    <row r="233" spans="74:77" x14ac:dyDescent="0.2">
      <c r="BX233" s="214" t="e">
        <f t="shared" si="22"/>
        <v>#DIV/0!</v>
      </c>
      <c r="BY233" s="215">
        <f t="shared" si="23"/>
        <v>0</v>
      </c>
    </row>
    <row r="234" spans="74:77" x14ac:dyDescent="0.2">
      <c r="BX234" s="214" t="e">
        <f t="shared" si="22"/>
        <v>#DIV/0!</v>
      </c>
      <c r="BY234" s="215">
        <f t="shared" si="23"/>
        <v>0</v>
      </c>
    </row>
    <row r="235" spans="74:77" x14ac:dyDescent="0.2">
      <c r="BX235" s="214" t="e">
        <f t="shared" si="22"/>
        <v>#DIV/0!</v>
      </c>
      <c r="BY235" s="215">
        <f t="shared" si="23"/>
        <v>0</v>
      </c>
    </row>
    <row r="236" spans="74:77" x14ac:dyDescent="0.2">
      <c r="BX236" s="214" t="e">
        <f t="shared" si="22"/>
        <v>#DIV/0!</v>
      </c>
      <c r="BY236" s="215">
        <f t="shared" si="23"/>
        <v>0</v>
      </c>
    </row>
    <row r="237" spans="74:77" x14ac:dyDescent="0.2">
      <c r="BX237" s="214" t="e">
        <f t="shared" si="22"/>
        <v>#DIV/0!</v>
      </c>
      <c r="BY237" s="215">
        <f t="shared" si="23"/>
        <v>0</v>
      </c>
    </row>
    <row r="238" spans="74:77" x14ac:dyDescent="0.2">
      <c r="BX238" s="214" t="e">
        <f t="shared" si="22"/>
        <v>#DIV/0!</v>
      </c>
      <c r="BY238" s="215">
        <f t="shared" si="23"/>
        <v>0</v>
      </c>
    </row>
    <row r="239" spans="74:77" x14ac:dyDescent="0.2">
      <c r="BX239" s="214" t="e">
        <f t="shared" si="22"/>
        <v>#DIV/0!</v>
      </c>
      <c r="BY239" s="215">
        <f t="shared" si="23"/>
        <v>0</v>
      </c>
    </row>
    <row r="240" spans="74:77" x14ac:dyDescent="0.2">
      <c r="BX240" s="214" t="e">
        <f t="shared" si="22"/>
        <v>#DIV/0!</v>
      </c>
      <c r="BY240" s="215">
        <f t="shared" si="23"/>
        <v>0</v>
      </c>
    </row>
    <row r="241" spans="76:77" x14ac:dyDescent="0.2">
      <c r="BX241" s="214" t="e">
        <f t="shared" si="22"/>
        <v>#DIV/0!</v>
      </c>
      <c r="BY241" s="215">
        <f t="shared" si="23"/>
        <v>0</v>
      </c>
    </row>
    <row r="242" spans="76:77" x14ac:dyDescent="0.2">
      <c r="BX242" s="214" t="e">
        <f t="shared" si="22"/>
        <v>#DIV/0!</v>
      </c>
      <c r="BY242" s="215">
        <f t="shared" si="23"/>
        <v>0</v>
      </c>
    </row>
    <row r="243" spans="76:77" x14ac:dyDescent="0.2">
      <c r="BX243" s="214" t="e">
        <f t="shared" si="22"/>
        <v>#DIV/0!</v>
      </c>
      <c r="BY243" s="215">
        <f t="shared" si="23"/>
        <v>0</v>
      </c>
    </row>
    <row r="244" spans="76:77" x14ac:dyDescent="0.2">
      <c r="BX244" s="214" t="e">
        <f t="shared" si="22"/>
        <v>#DIV/0!</v>
      </c>
      <c r="BY244" s="215">
        <f t="shared" si="23"/>
        <v>0</v>
      </c>
    </row>
    <row r="245" spans="76:77" x14ac:dyDescent="0.2">
      <c r="BX245" s="214" t="e">
        <f t="shared" si="22"/>
        <v>#DIV/0!</v>
      </c>
      <c r="BY245" s="215">
        <f t="shared" si="23"/>
        <v>0</v>
      </c>
    </row>
    <row r="246" spans="76:77" x14ac:dyDescent="0.2">
      <c r="BX246" s="214" t="e">
        <f t="shared" si="22"/>
        <v>#DIV/0!</v>
      </c>
      <c r="BY246" s="215">
        <f t="shared" si="23"/>
        <v>0</v>
      </c>
    </row>
    <row r="247" spans="76:77" x14ac:dyDescent="0.2">
      <c r="BX247" s="214" t="e">
        <f t="shared" si="22"/>
        <v>#DIV/0!</v>
      </c>
      <c r="BY247" s="215">
        <f t="shared" si="23"/>
        <v>0</v>
      </c>
    </row>
    <row r="248" spans="76:77" x14ac:dyDescent="0.2">
      <c r="BX248" s="214" t="e">
        <f t="shared" si="22"/>
        <v>#DIV/0!</v>
      </c>
      <c r="BY248" s="215">
        <f t="shared" si="23"/>
        <v>0</v>
      </c>
    </row>
    <row r="249" spans="76:77" x14ac:dyDescent="0.2">
      <c r="BX249" s="214" t="e">
        <f t="shared" si="22"/>
        <v>#DIV/0!</v>
      </c>
      <c r="BY249" s="215">
        <f t="shared" si="23"/>
        <v>0</v>
      </c>
    </row>
    <row r="250" spans="76:77" x14ac:dyDescent="0.2">
      <c r="BX250" s="214" t="e">
        <f t="shared" si="22"/>
        <v>#DIV/0!</v>
      </c>
      <c r="BY250" s="215">
        <f t="shared" si="23"/>
        <v>0</v>
      </c>
    </row>
    <row r="251" spans="76:77" x14ac:dyDescent="0.2">
      <c r="BX251" s="214" t="e">
        <f t="shared" si="22"/>
        <v>#DIV/0!</v>
      </c>
      <c r="BY251" s="215">
        <f t="shared" si="23"/>
        <v>0</v>
      </c>
    </row>
    <row r="252" spans="76:77" x14ac:dyDescent="0.2">
      <c r="BX252" s="214" t="e">
        <f t="shared" si="22"/>
        <v>#DIV/0!</v>
      </c>
      <c r="BY252" s="215">
        <f t="shared" si="23"/>
        <v>0</v>
      </c>
    </row>
    <row r="253" spans="76:77" x14ac:dyDescent="0.2">
      <c r="BX253" s="214" t="e">
        <f t="shared" si="22"/>
        <v>#DIV/0!</v>
      </c>
      <c r="BY253" s="215">
        <f t="shared" si="23"/>
        <v>0</v>
      </c>
    </row>
    <row r="254" spans="76:77" x14ac:dyDescent="0.2">
      <c r="BX254" s="214" t="e">
        <f t="shared" si="22"/>
        <v>#DIV/0!</v>
      </c>
      <c r="BY254" s="215">
        <f t="shared" si="23"/>
        <v>0</v>
      </c>
    </row>
    <row r="255" spans="76:77" x14ac:dyDescent="0.2">
      <c r="BX255" s="214" t="e">
        <f t="shared" si="22"/>
        <v>#DIV/0!</v>
      </c>
      <c r="BY255" s="215">
        <f t="shared" si="23"/>
        <v>0</v>
      </c>
    </row>
    <row r="256" spans="76:77" x14ac:dyDescent="0.2">
      <c r="BX256" s="214" t="e">
        <f t="shared" si="22"/>
        <v>#DIV/0!</v>
      </c>
      <c r="BY256" s="215">
        <f t="shared" si="23"/>
        <v>0</v>
      </c>
    </row>
    <row r="257" spans="76:77" x14ac:dyDescent="0.2">
      <c r="BX257" s="214" t="e">
        <f t="shared" si="22"/>
        <v>#DIV/0!</v>
      </c>
      <c r="BY257" s="215">
        <f t="shared" si="23"/>
        <v>0</v>
      </c>
    </row>
    <row r="258" spans="76:77" x14ac:dyDescent="0.2">
      <c r="BX258" s="214" t="e">
        <f t="shared" si="22"/>
        <v>#DIV/0!</v>
      </c>
      <c r="BY258" s="215">
        <f t="shared" si="23"/>
        <v>0</v>
      </c>
    </row>
    <row r="259" spans="76:77" x14ac:dyDescent="0.2">
      <c r="BX259" s="214" t="e">
        <f t="shared" si="22"/>
        <v>#DIV/0!</v>
      </c>
      <c r="BY259" s="215">
        <f t="shared" si="23"/>
        <v>0</v>
      </c>
    </row>
    <row r="260" spans="76:77" x14ac:dyDescent="0.2">
      <c r="BX260" s="214" t="e">
        <f t="shared" si="22"/>
        <v>#DIV/0!</v>
      </c>
      <c r="BY260" s="215">
        <f t="shared" si="23"/>
        <v>0</v>
      </c>
    </row>
    <row r="261" spans="76:77" x14ac:dyDescent="0.2">
      <c r="BX261" s="214" t="e">
        <f t="shared" si="22"/>
        <v>#DIV/0!</v>
      </c>
      <c r="BY261" s="215">
        <f t="shared" si="23"/>
        <v>0</v>
      </c>
    </row>
    <row r="262" spans="76:77" x14ac:dyDescent="0.2">
      <c r="BX262" s="214" t="e">
        <f t="shared" si="22"/>
        <v>#DIV/0!</v>
      </c>
      <c r="BY262" s="215">
        <f t="shared" si="23"/>
        <v>0</v>
      </c>
    </row>
    <row r="263" spans="76:77" x14ac:dyDescent="0.2">
      <c r="BX263" s="214" t="e">
        <f t="shared" si="22"/>
        <v>#DIV/0!</v>
      </c>
      <c r="BY263" s="215">
        <f t="shared" si="23"/>
        <v>0</v>
      </c>
    </row>
    <row r="264" spans="76:77" x14ac:dyDescent="0.2">
      <c r="BX264" s="214" t="e">
        <f t="shared" si="22"/>
        <v>#DIV/0!</v>
      </c>
      <c r="BY264" s="215">
        <f t="shared" si="23"/>
        <v>0</v>
      </c>
    </row>
    <row r="265" spans="76:77" x14ac:dyDescent="0.2">
      <c r="BX265" s="214" t="e">
        <f t="shared" si="22"/>
        <v>#DIV/0!</v>
      </c>
      <c r="BY265" s="215">
        <f t="shared" si="23"/>
        <v>0</v>
      </c>
    </row>
    <row r="266" spans="76:77" x14ac:dyDescent="0.2">
      <c r="BX266" s="214" t="e">
        <f t="shared" si="22"/>
        <v>#DIV/0!</v>
      </c>
      <c r="BY266" s="215">
        <f t="shared" si="23"/>
        <v>0</v>
      </c>
    </row>
    <row r="267" spans="76:77" x14ac:dyDescent="0.2">
      <c r="BX267" s="214" t="e">
        <f t="shared" si="22"/>
        <v>#DIV/0!</v>
      </c>
      <c r="BY267" s="215">
        <f t="shared" si="23"/>
        <v>0</v>
      </c>
    </row>
    <row r="268" spans="76:77" x14ac:dyDescent="0.2">
      <c r="BX268" s="214" t="e">
        <f t="shared" si="22"/>
        <v>#DIV/0!</v>
      </c>
      <c r="BY268" s="215">
        <f t="shared" si="23"/>
        <v>0</v>
      </c>
    </row>
    <row r="269" spans="76:77" x14ac:dyDescent="0.2">
      <c r="BX269" s="214" t="e">
        <f t="shared" ref="BX269:BX332" si="24">BY269/BV269</f>
        <v>#DIV/0!</v>
      </c>
      <c r="BY269" s="215">
        <f t="shared" si="23"/>
        <v>0</v>
      </c>
    </row>
    <row r="270" spans="76:77" x14ac:dyDescent="0.2">
      <c r="BX270" s="214" t="e">
        <f t="shared" si="24"/>
        <v>#DIV/0!</v>
      </c>
      <c r="BY270" s="215">
        <f t="shared" ref="BY270:BY333" si="25">BY269+BW270*(BV270-BV269)</f>
        <v>0</v>
      </c>
    </row>
    <row r="271" spans="76:77" x14ac:dyDescent="0.2">
      <c r="BX271" s="214" t="e">
        <f t="shared" si="24"/>
        <v>#DIV/0!</v>
      </c>
      <c r="BY271" s="215">
        <f t="shared" si="25"/>
        <v>0</v>
      </c>
    </row>
    <row r="272" spans="76:77" x14ac:dyDescent="0.2">
      <c r="BX272" s="214" t="e">
        <f t="shared" si="24"/>
        <v>#DIV/0!</v>
      </c>
      <c r="BY272" s="215">
        <f t="shared" si="25"/>
        <v>0</v>
      </c>
    </row>
    <row r="273" spans="76:77" x14ac:dyDescent="0.2">
      <c r="BX273" s="214" t="e">
        <f t="shared" si="24"/>
        <v>#DIV/0!</v>
      </c>
      <c r="BY273" s="215">
        <f t="shared" si="25"/>
        <v>0</v>
      </c>
    </row>
    <row r="274" spans="76:77" x14ac:dyDescent="0.2">
      <c r="BX274" s="214" t="e">
        <f t="shared" si="24"/>
        <v>#DIV/0!</v>
      </c>
      <c r="BY274" s="215">
        <f t="shared" si="25"/>
        <v>0</v>
      </c>
    </row>
    <row r="275" spans="76:77" x14ac:dyDescent="0.2">
      <c r="BX275" s="214" t="e">
        <f t="shared" si="24"/>
        <v>#DIV/0!</v>
      </c>
      <c r="BY275" s="215">
        <f t="shared" si="25"/>
        <v>0</v>
      </c>
    </row>
    <row r="276" spans="76:77" x14ac:dyDescent="0.2">
      <c r="BX276" s="214" t="e">
        <f t="shared" si="24"/>
        <v>#DIV/0!</v>
      </c>
      <c r="BY276" s="215">
        <f t="shared" si="25"/>
        <v>0</v>
      </c>
    </row>
    <row r="277" spans="76:77" x14ac:dyDescent="0.2">
      <c r="BX277" s="214" t="e">
        <f t="shared" si="24"/>
        <v>#DIV/0!</v>
      </c>
      <c r="BY277" s="215">
        <f t="shared" si="25"/>
        <v>0</v>
      </c>
    </row>
    <row r="278" spans="76:77" x14ac:dyDescent="0.2">
      <c r="BX278" s="214" t="e">
        <f t="shared" si="24"/>
        <v>#DIV/0!</v>
      </c>
      <c r="BY278" s="215">
        <f t="shared" si="25"/>
        <v>0</v>
      </c>
    </row>
    <row r="279" spans="76:77" x14ac:dyDescent="0.2">
      <c r="BX279" s="214" t="e">
        <f t="shared" si="24"/>
        <v>#DIV/0!</v>
      </c>
      <c r="BY279" s="215">
        <f t="shared" si="25"/>
        <v>0</v>
      </c>
    </row>
    <row r="280" spans="76:77" x14ac:dyDescent="0.2">
      <c r="BX280" s="214" t="e">
        <f t="shared" si="24"/>
        <v>#DIV/0!</v>
      </c>
      <c r="BY280" s="215">
        <f t="shared" si="25"/>
        <v>0</v>
      </c>
    </row>
    <row r="281" spans="76:77" x14ac:dyDescent="0.2">
      <c r="BX281" s="214" t="e">
        <f t="shared" si="24"/>
        <v>#DIV/0!</v>
      </c>
      <c r="BY281" s="215">
        <f t="shared" si="25"/>
        <v>0</v>
      </c>
    </row>
    <row r="282" spans="76:77" x14ac:dyDescent="0.2">
      <c r="BX282" s="214" t="e">
        <f t="shared" si="24"/>
        <v>#DIV/0!</v>
      </c>
      <c r="BY282" s="215">
        <f t="shared" si="25"/>
        <v>0</v>
      </c>
    </row>
    <row r="283" spans="76:77" x14ac:dyDescent="0.2">
      <c r="BX283" s="214" t="e">
        <f t="shared" si="24"/>
        <v>#DIV/0!</v>
      </c>
      <c r="BY283" s="215">
        <f t="shared" si="25"/>
        <v>0</v>
      </c>
    </row>
    <row r="284" spans="76:77" x14ac:dyDescent="0.2">
      <c r="BX284" s="214" t="e">
        <f t="shared" si="24"/>
        <v>#DIV/0!</v>
      </c>
      <c r="BY284" s="215">
        <f t="shared" si="25"/>
        <v>0</v>
      </c>
    </row>
    <row r="285" spans="76:77" x14ac:dyDescent="0.2">
      <c r="BX285" s="214" t="e">
        <f t="shared" si="24"/>
        <v>#DIV/0!</v>
      </c>
      <c r="BY285" s="215">
        <f t="shared" si="25"/>
        <v>0</v>
      </c>
    </row>
    <row r="286" spans="76:77" x14ac:dyDescent="0.2">
      <c r="BX286" s="214" t="e">
        <f t="shared" si="24"/>
        <v>#DIV/0!</v>
      </c>
      <c r="BY286" s="215">
        <f t="shared" si="25"/>
        <v>0</v>
      </c>
    </row>
    <row r="287" spans="76:77" x14ac:dyDescent="0.2">
      <c r="BX287" s="214" t="e">
        <f t="shared" si="24"/>
        <v>#DIV/0!</v>
      </c>
      <c r="BY287" s="215">
        <f t="shared" si="25"/>
        <v>0</v>
      </c>
    </row>
    <row r="288" spans="76:77" x14ac:dyDescent="0.2">
      <c r="BX288" s="214" t="e">
        <f t="shared" si="24"/>
        <v>#DIV/0!</v>
      </c>
      <c r="BY288" s="215">
        <f t="shared" si="25"/>
        <v>0</v>
      </c>
    </row>
    <row r="289" spans="76:77" x14ac:dyDescent="0.2">
      <c r="BX289" s="214" t="e">
        <f t="shared" si="24"/>
        <v>#DIV/0!</v>
      </c>
      <c r="BY289" s="215">
        <f t="shared" si="25"/>
        <v>0</v>
      </c>
    </row>
    <row r="290" spans="76:77" x14ac:dyDescent="0.2">
      <c r="BX290" s="214" t="e">
        <f t="shared" si="24"/>
        <v>#DIV/0!</v>
      </c>
      <c r="BY290" s="215">
        <f t="shared" si="25"/>
        <v>0</v>
      </c>
    </row>
    <row r="291" spans="76:77" x14ac:dyDescent="0.2">
      <c r="BX291" s="214" t="e">
        <f t="shared" si="24"/>
        <v>#DIV/0!</v>
      </c>
      <c r="BY291" s="215">
        <f t="shared" si="25"/>
        <v>0</v>
      </c>
    </row>
    <row r="292" spans="76:77" x14ac:dyDescent="0.2">
      <c r="BX292" s="214" t="e">
        <f t="shared" si="24"/>
        <v>#DIV/0!</v>
      </c>
      <c r="BY292" s="215">
        <f t="shared" si="25"/>
        <v>0</v>
      </c>
    </row>
    <row r="293" spans="76:77" x14ac:dyDescent="0.2">
      <c r="BX293" s="214" t="e">
        <f t="shared" si="24"/>
        <v>#DIV/0!</v>
      </c>
      <c r="BY293" s="215">
        <f t="shared" si="25"/>
        <v>0</v>
      </c>
    </row>
    <row r="294" spans="76:77" x14ac:dyDescent="0.2">
      <c r="BX294" s="214" t="e">
        <f t="shared" si="24"/>
        <v>#DIV/0!</v>
      </c>
      <c r="BY294" s="215">
        <f t="shared" si="25"/>
        <v>0</v>
      </c>
    </row>
    <row r="295" spans="76:77" x14ac:dyDescent="0.2">
      <c r="BX295" s="214" t="e">
        <f t="shared" si="24"/>
        <v>#DIV/0!</v>
      </c>
      <c r="BY295" s="215">
        <f t="shared" si="25"/>
        <v>0</v>
      </c>
    </row>
    <row r="296" spans="76:77" x14ac:dyDescent="0.2">
      <c r="BX296" s="214" t="e">
        <f t="shared" si="24"/>
        <v>#DIV/0!</v>
      </c>
      <c r="BY296" s="215">
        <f t="shared" si="25"/>
        <v>0</v>
      </c>
    </row>
    <row r="297" spans="76:77" x14ac:dyDescent="0.2">
      <c r="BX297" s="214" t="e">
        <f t="shared" si="24"/>
        <v>#DIV/0!</v>
      </c>
      <c r="BY297" s="215">
        <f t="shared" si="25"/>
        <v>0</v>
      </c>
    </row>
    <row r="298" spans="76:77" x14ac:dyDescent="0.2">
      <c r="BX298" s="214" t="e">
        <f t="shared" si="24"/>
        <v>#DIV/0!</v>
      </c>
      <c r="BY298" s="215">
        <f t="shared" si="25"/>
        <v>0</v>
      </c>
    </row>
    <row r="299" spans="76:77" x14ac:dyDescent="0.2">
      <c r="BX299" s="214" t="e">
        <f t="shared" si="24"/>
        <v>#DIV/0!</v>
      </c>
      <c r="BY299" s="215">
        <f t="shared" si="25"/>
        <v>0</v>
      </c>
    </row>
    <row r="300" spans="76:77" x14ac:dyDescent="0.2">
      <c r="BX300" s="214" t="e">
        <f t="shared" si="24"/>
        <v>#DIV/0!</v>
      </c>
      <c r="BY300" s="215">
        <f t="shared" si="25"/>
        <v>0</v>
      </c>
    </row>
    <row r="301" spans="76:77" x14ac:dyDescent="0.2">
      <c r="BX301" s="214" t="e">
        <f t="shared" si="24"/>
        <v>#DIV/0!</v>
      </c>
      <c r="BY301" s="215">
        <f t="shared" si="25"/>
        <v>0</v>
      </c>
    </row>
    <row r="302" spans="76:77" x14ac:dyDescent="0.2">
      <c r="BX302" s="214" t="e">
        <f t="shared" si="24"/>
        <v>#DIV/0!</v>
      </c>
      <c r="BY302" s="215">
        <f t="shared" si="25"/>
        <v>0</v>
      </c>
    </row>
    <row r="303" spans="76:77" x14ac:dyDescent="0.2">
      <c r="BX303" s="214" t="e">
        <f t="shared" si="24"/>
        <v>#DIV/0!</v>
      </c>
      <c r="BY303" s="215">
        <f t="shared" si="25"/>
        <v>0</v>
      </c>
    </row>
    <row r="304" spans="76:77" x14ac:dyDescent="0.2">
      <c r="BX304" s="214" t="e">
        <f t="shared" si="24"/>
        <v>#DIV/0!</v>
      </c>
      <c r="BY304" s="215">
        <f t="shared" si="25"/>
        <v>0</v>
      </c>
    </row>
    <row r="305" spans="76:77" x14ac:dyDescent="0.2">
      <c r="BX305" s="214" t="e">
        <f t="shared" si="24"/>
        <v>#DIV/0!</v>
      </c>
      <c r="BY305" s="215">
        <f t="shared" si="25"/>
        <v>0</v>
      </c>
    </row>
    <row r="306" spans="76:77" x14ac:dyDescent="0.2">
      <c r="BX306" s="214" t="e">
        <f t="shared" si="24"/>
        <v>#DIV/0!</v>
      </c>
      <c r="BY306" s="215">
        <f t="shared" si="25"/>
        <v>0</v>
      </c>
    </row>
    <row r="307" spans="76:77" x14ac:dyDescent="0.2">
      <c r="BX307" s="214" t="e">
        <f t="shared" si="24"/>
        <v>#DIV/0!</v>
      </c>
      <c r="BY307" s="215">
        <f t="shared" si="25"/>
        <v>0</v>
      </c>
    </row>
    <row r="308" spans="76:77" x14ac:dyDescent="0.2">
      <c r="BX308" s="214" t="e">
        <f t="shared" si="24"/>
        <v>#DIV/0!</v>
      </c>
      <c r="BY308" s="215">
        <f t="shared" si="25"/>
        <v>0</v>
      </c>
    </row>
    <row r="309" spans="76:77" x14ac:dyDescent="0.2">
      <c r="BX309" s="214" t="e">
        <f t="shared" si="24"/>
        <v>#DIV/0!</v>
      </c>
      <c r="BY309" s="215">
        <f t="shared" si="25"/>
        <v>0</v>
      </c>
    </row>
    <row r="310" spans="76:77" x14ac:dyDescent="0.2">
      <c r="BX310" s="214" t="e">
        <f t="shared" si="24"/>
        <v>#DIV/0!</v>
      </c>
      <c r="BY310" s="215">
        <f t="shared" si="25"/>
        <v>0</v>
      </c>
    </row>
    <row r="311" spans="76:77" x14ac:dyDescent="0.2">
      <c r="BX311" s="214" t="e">
        <f t="shared" si="24"/>
        <v>#DIV/0!</v>
      </c>
      <c r="BY311" s="215">
        <f t="shared" si="25"/>
        <v>0</v>
      </c>
    </row>
    <row r="312" spans="76:77" x14ac:dyDescent="0.2">
      <c r="BX312" s="214" t="e">
        <f t="shared" si="24"/>
        <v>#DIV/0!</v>
      </c>
      <c r="BY312" s="215">
        <f t="shared" si="25"/>
        <v>0</v>
      </c>
    </row>
    <row r="313" spans="76:77" x14ac:dyDescent="0.2">
      <c r="BX313" s="214" t="e">
        <f t="shared" si="24"/>
        <v>#DIV/0!</v>
      </c>
      <c r="BY313" s="215">
        <f t="shared" si="25"/>
        <v>0</v>
      </c>
    </row>
    <row r="314" spans="76:77" x14ac:dyDescent="0.2">
      <c r="BX314" s="214" t="e">
        <f t="shared" si="24"/>
        <v>#DIV/0!</v>
      </c>
      <c r="BY314" s="215">
        <f t="shared" si="25"/>
        <v>0</v>
      </c>
    </row>
    <row r="315" spans="76:77" x14ac:dyDescent="0.2">
      <c r="BX315" s="214" t="e">
        <f t="shared" si="24"/>
        <v>#DIV/0!</v>
      </c>
      <c r="BY315" s="215">
        <f t="shared" si="25"/>
        <v>0</v>
      </c>
    </row>
    <row r="316" spans="76:77" x14ac:dyDescent="0.2">
      <c r="BX316" s="214" t="e">
        <f t="shared" si="24"/>
        <v>#DIV/0!</v>
      </c>
      <c r="BY316" s="215">
        <f t="shared" si="25"/>
        <v>0</v>
      </c>
    </row>
    <row r="317" spans="76:77" x14ac:dyDescent="0.2">
      <c r="BX317" s="214" t="e">
        <f t="shared" si="24"/>
        <v>#DIV/0!</v>
      </c>
      <c r="BY317" s="215">
        <f t="shared" si="25"/>
        <v>0</v>
      </c>
    </row>
    <row r="318" spans="76:77" x14ac:dyDescent="0.2">
      <c r="BX318" s="214" t="e">
        <f t="shared" si="24"/>
        <v>#DIV/0!</v>
      </c>
      <c r="BY318" s="215">
        <f t="shared" si="25"/>
        <v>0</v>
      </c>
    </row>
    <row r="319" spans="76:77" x14ac:dyDescent="0.2">
      <c r="BX319" s="214" t="e">
        <f t="shared" si="24"/>
        <v>#DIV/0!</v>
      </c>
      <c r="BY319" s="215">
        <f t="shared" si="25"/>
        <v>0</v>
      </c>
    </row>
    <row r="320" spans="76:77" x14ac:dyDescent="0.2">
      <c r="BX320" s="214" t="e">
        <f t="shared" si="24"/>
        <v>#DIV/0!</v>
      </c>
      <c r="BY320" s="215">
        <f t="shared" si="25"/>
        <v>0</v>
      </c>
    </row>
    <row r="321" spans="76:77" x14ac:dyDescent="0.2">
      <c r="BX321" s="214" t="e">
        <f t="shared" si="24"/>
        <v>#DIV/0!</v>
      </c>
      <c r="BY321" s="215">
        <f t="shared" si="25"/>
        <v>0</v>
      </c>
    </row>
    <row r="322" spans="76:77" x14ac:dyDescent="0.2">
      <c r="BX322" s="214" t="e">
        <f t="shared" si="24"/>
        <v>#DIV/0!</v>
      </c>
      <c r="BY322" s="215">
        <f t="shared" si="25"/>
        <v>0</v>
      </c>
    </row>
    <row r="323" spans="76:77" x14ac:dyDescent="0.2">
      <c r="BX323" s="214" t="e">
        <f t="shared" si="24"/>
        <v>#DIV/0!</v>
      </c>
      <c r="BY323" s="215">
        <f t="shared" si="25"/>
        <v>0</v>
      </c>
    </row>
    <row r="324" spans="76:77" x14ac:dyDescent="0.2">
      <c r="BX324" s="214" t="e">
        <f t="shared" si="24"/>
        <v>#DIV/0!</v>
      </c>
      <c r="BY324" s="215">
        <f t="shared" si="25"/>
        <v>0</v>
      </c>
    </row>
    <row r="325" spans="76:77" x14ac:dyDescent="0.2">
      <c r="BX325" s="214" t="e">
        <f t="shared" si="24"/>
        <v>#DIV/0!</v>
      </c>
      <c r="BY325" s="215">
        <f t="shared" si="25"/>
        <v>0</v>
      </c>
    </row>
    <row r="326" spans="76:77" x14ac:dyDescent="0.2">
      <c r="BX326" s="214" t="e">
        <f t="shared" si="24"/>
        <v>#DIV/0!</v>
      </c>
      <c r="BY326" s="215">
        <f t="shared" si="25"/>
        <v>0</v>
      </c>
    </row>
    <row r="327" spans="76:77" x14ac:dyDescent="0.2">
      <c r="BX327" s="214" t="e">
        <f t="shared" si="24"/>
        <v>#DIV/0!</v>
      </c>
      <c r="BY327" s="215">
        <f t="shared" si="25"/>
        <v>0</v>
      </c>
    </row>
    <row r="328" spans="76:77" x14ac:dyDescent="0.2">
      <c r="BX328" s="214" t="e">
        <f t="shared" si="24"/>
        <v>#DIV/0!</v>
      </c>
      <c r="BY328" s="215">
        <f t="shared" si="25"/>
        <v>0</v>
      </c>
    </row>
    <row r="329" spans="76:77" x14ac:dyDescent="0.2">
      <c r="BX329" s="214" t="e">
        <f t="shared" si="24"/>
        <v>#DIV/0!</v>
      </c>
      <c r="BY329" s="215">
        <f t="shared" si="25"/>
        <v>0</v>
      </c>
    </row>
    <row r="330" spans="76:77" x14ac:dyDescent="0.2">
      <c r="BX330" s="214" t="e">
        <f t="shared" si="24"/>
        <v>#DIV/0!</v>
      </c>
      <c r="BY330" s="215">
        <f t="shared" si="25"/>
        <v>0</v>
      </c>
    </row>
    <row r="331" spans="76:77" x14ac:dyDescent="0.2">
      <c r="BX331" s="214" t="e">
        <f t="shared" si="24"/>
        <v>#DIV/0!</v>
      </c>
      <c r="BY331" s="215">
        <f t="shared" si="25"/>
        <v>0</v>
      </c>
    </row>
    <row r="332" spans="76:77" x14ac:dyDescent="0.2">
      <c r="BX332" s="214" t="e">
        <f t="shared" si="24"/>
        <v>#DIV/0!</v>
      </c>
      <c r="BY332" s="215">
        <f t="shared" si="25"/>
        <v>0</v>
      </c>
    </row>
    <row r="333" spans="76:77" x14ac:dyDescent="0.2">
      <c r="BX333" s="214" t="e">
        <f t="shared" ref="BX333:BX396" si="26">BY333/BV333</f>
        <v>#DIV/0!</v>
      </c>
      <c r="BY333" s="215">
        <f t="shared" si="25"/>
        <v>0</v>
      </c>
    </row>
    <row r="334" spans="76:77" x14ac:dyDescent="0.2">
      <c r="BX334" s="214" t="e">
        <f t="shared" si="26"/>
        <v>#DIV/0!</v>
      </c>
      <c r="BY334" s="215">
        <f t="shared" ref="BY334:BY397" si="27">BY333+BW334*(BV334-BV333)</f>
        <v>0</v>
      </c>
    </row>
    <row r="335" spans="76:77" x14ac:dyDescent="0.2">
      <c r="BX335" s="214" t="e">
        <f t="shared" si="26"/>
        <v>#DIV/0!</v>
      </c>
      <c r="BY335" s="215">
        <f t="shared" si="27"/>
        <v>0</v>
      </c>
    </row>
    <row r="336" spans="76:77" x14ac:dyDescent="0.2">
      <c r="BX336" s="214" t="e">
        <f t="shared" si="26"/>
        <v>#DIV/0!</v>
      </c>
      <c r="BY336" s="215">
        <f t="shared" si="27"/>
        <v>0</v>
      </c>
    </row>
    <row r="337" spans="76:77" x14ac:dyDescent="0.2">
      <c r="BX337" s="214" t="e">
        <f t="shared" si="26"/>
        <v>#DIV/0!</v>
      </c>
      <c r="BY337" s="215">
        <f t="shared" si="27"/>
        <v>0</v>
      </c>
    </row>
    <row r="338" spans="76:77" x14ac:dyDescent="0.2">
      <c r="BX338" s="214" t="e">
        <f t="shared" si="26"/>
        <v>#DIV/0!</v>
      </c>
      <c r="BY338" s="215">
        <f t="shared" si="27"/>
        <v>0</v>
      </c>
    </row>
    <row r="339" spans="76:77" x14ac:dyDescent="0.2">
      <c r="BX339" s="214" t="e">
        <f t="shared" si="26"/>
        <v>#DIV/0!</v>
      </c>
      <c r="BY339" s="215">
        <f t="shared" si="27"/>
        <v>0</v>
      </c>
    </row>
    <row r="340" spans="76:77" x14ac:dyDescent="0.2">
      <c r="BX340" s="214" t="e">
        <f t="shared" si="26"/>
        <v>#DIV/0!</v>
      </c>
      <c r="BY340" s="215">
        <f t="shared" si="27"/>
        <v>0</v>
      </c>
    </row>
    <row r="341" spans="76:77" x14ac:dyDescent="0.2">
      <c r="BX341" s="214" t="e">
        <f t="shared" si="26"/>
        <v>#DIV/0!</v>
      </c>
      <c r="BY341" s="215">
        <f t="shared" si="27"/>
        <v>0</v>
      </c>
    </row>
    <row r="342" spans="76:77" x14ac:dyDescent="0.2">
      <c r="BX342" s="214" t="e">
        <f t="shared" si="26"/>
        <v>#DIV/0!</v>
      </c>
      <c r="BY342" s="215">
        <f t="shared" si="27"/>
        <v>0</v>
      </c>
    </row>
    <row r="343" spans="76:77" x14ac:dyDescent="0.2">
      <c r="BX343" s="214" t="e">
        <f t="shared" si="26"/>
        <v>#DIV/0!</v>
      </c>
      <c r="BY343" s="215">
        <f t="shared" si="27"/>
        <v>0</v>
      </c>
    </row>
    <row r="344" spans="76:77" x14ac:dyDescent="0.2">
      <c r="BX344" s="214" t="e">
        <f t="shared" si="26"/>
        <v>#DIV/0!</v>
      </c>
      <c r="BY344" s="215">
        <f t="shared" si="27"/>
        <v>0</v>
      </c>
    </row>
    <row r="345" spans="76:77" x14ac:dyDescent="0.2">
      <c r="BX345" s="214" t="e">
        <f t="shared" si="26"/>
        <v>#DIV/0!</v>
      </c>
      <c r="BY345" s="215">
        <f t="shared" si="27"/>
        <v>0</v>
      </c>
    </row>
    <row r="346" spans="76:77" x14ac:dyDescent="0.2">
      <c r="BX346" s="214" t="e">
        <f t="shared" si="26"/>
        <v>#DIV/0!</v>
      </c>
      <c r="BY346" s="215">
        <f t="shared" si="27"/>
        <v>0</v>
      </c>
    </row>
    <row r="347" spans="76:77" x14ac:dyDescent="0.2">
      <c r="BX347" s="214" t="e">
        <f t="shared" si="26"/>
        <v>#DIV/0!</v>
      </c>
      <c r="BY347" s="215">
        <f t="shared" si="27"/>
        <v>0</v>
      </c>
    </row>
    <row r="348" spans="76:77" x14ac:dyDescent="0.2">
      <c r="BX348" s="214" t="e">
        <f t="shared" si="26"/>
        <v>#DIV/0!</v>
      </c>
      <c r="BY348" s="215">
        <f t="shared" si="27"/>
        <v>0</v>
      </c>
    </row>
    <row r="349" spans="76:77" x14ac:dyDescent="0.2">
      <c r="BX349" s="214" t="e">
        <f t="shared" si="26"/>
        <v>#DIV/0!</v>
      </c>
      <c r="BY349" s="215">
        <f t="shared" si="27"/>
        <v>0</v>
      </c>
    </row>
    <row r="350" spans="76:77" x14ac:dyDescent="0.2">
      <c r="BX350" s="214" t="e">
        <f t="shared" si="26"/>
        <v>#DIV/0!</v>
      </c>
      <c r="BY350" s="215">
        <f t="shared" si="27"/>
        <v>0</v>
      </c>
    </row>
    <row r="351" spans="76:77" x14ac:dyDescent="0.2">
      <c r="BX351" s="214" t="e">
        <f t="shared" si="26"/>
        <v>#DIV/0!</v>
      </c>
      <c r="BY351" s="215">
        <f t="shared" si="27"/>
        <v>0</v>
      </c>
    </row>
    <row r="352" spans="76:77" x14ac:dyDescent="0.2">
      <c r="BX352" s="214" t="e">
        <f t="shared" si="26"/>
        <v>#DIV/0!</v>
      </c>
      <c r="BY352" s="215">
        <f t="shared" si="27"/>
        <v>0</v>
      </c>
    </row>
    <row r="353" spans="76:77" x14ac:dyDescent="0.2">
      <c r="BX353" s="214" t="e">
        <f t="shared" si="26"/>
        <v>#DIV/0!</v>
      </c>
      <c r="BY353" s="215">
        <f t="shared" si="27"/>
        <v>0</v>
      </c>
    </row>
    <row r="354" spans="76:77" x14ac:dyDescent="0.2">
      <c r="BX354" s="214" t="e">
        <f t="shared" si="26"/>
        <v>#DIV/0!</v>
      </c>
      <c r="BY354" s="215">
        <f t="shared" si="27"/>
        <v>0</v>
      </c>
    </row>
    <row r="355" spans="76:77" x14ac:dyDescent="0.2">
      <c r="BX355" s="214" t="e">
        <f t="shared" si="26"/>
        <v>#DIV/0!</v>
      </c>
      <c r="BY355" s="215">
        <f t="shared" si="27"/>
        <v>0</v>
      </c>
    </row>
    <row r="356" spans="76:77" x14ac:dyDescent="0.2">
      <c r="BX356" s="214" t="e">
        <f t="shared" si="26"/>
        <v>#DIV/0!</v>
      </c>
      <c r="BY356" s="215">
        <f t="shared" si="27"/>
        <v>0</v>
      </c>
    </row>
    <row r="357" spans="76:77" x14ac:dyDescent="0.2">
      <c r="BX357" s="214" t="e">
        <f t="shared" si="26"/>
        <v>#DIV/0!</v>
      </c>
      <c r="BY357" s="215">
        <f t="shared" si="27"/>
        <v>0</v>
      </c>
    </row>
    <row r="358" spans="76:77" x14ac:dyDescent="0.2">
      <c r="BX358" s="214" t="e">
        <f t="shared" si="26"/>
        <v>#DIV/0!</v>
      </c>
      <c r="BY358" s="215">
        <f t="shared" si="27"/>
        <v>0</v>
      </c>
    </row>
    <row r="359" spans="76:77" x14ac:dyDescent="0.2">
      <c r="BX359" s="214" t="e">
        <f t="shared" si="26"/>
        <v>#DIV/0!</v>
      </c>
      <c r="BY359" s="215">
        <f t="shared" si="27"/>
        <v>0</v>
      </c>
    </row>
    <row r="360" spans="76:77" x14ac:dyDescent="0.2">
      <c r="BX360" s="214" t="e">
        <f t="shared" si="26"/>
        <v>#DIV/0!</v>
      </c>
      <c r="BY360" s="215">
        <f t="shared" si="27"/>
        <v>0</v>
      </c>
    </row>
    <row r="361" spans="76:77" x14ac:dyDescent="0.2">
      <c r="BX361" s="214" t="e">
        <f t="shared" si="26"/>
        <v>#DIV/0!</v>
      </c>
      <c r="BY361" s="215">
        <f t="shared" si="27"/>
        <v>0</v>
      </c>
    </row>
    <row r="362" spans="76:77" x14ac:dyDescent="0.2">
      <c r="BX362" s="214" t="e">
        <f t="shared" si="26"/>
        <v>#DIV/0!</v>
      </c>
      <c r="BY362" s="215">
        <f t="shared" si="27"/>
        <v>0</v>
      </c>
    </row>
    <row r="363" spans="76:77" x14ac:dyDescent="0.2">
      <c r="BX363" s="214" t="e">
        <f t="shared" si="26"/>
        <v>#DIV/0!</v>
      </c>
      <c r="BY363" s="215">
        <f t="shared" si="27"/>
        <v>0</v>
      </c>
    </row>
    <row r="364" spans="76:77" x14ac:dyDescent="0.2">
      <c r="BX364" s="214" t="e">
        <f t="shared" si="26"/>
        <v>#DIV/0!</v>
      </c>
      <c r="BY364" s="215">
        <f t="shared" si="27"/>
        <v>0</v>
      </c>
    </row>
    <row r="365" spans="76:77" x14ac:dyDescent="0.2">
      <c r="BX365" s="214" t="e">
        <f t="shared" si="26"/>
        <v>#DIV/0!</v>
      </c>
      <c r="BY365" s="215">
        <f t="shared" si="27"/>
        <v>0</v>
      </c>
    </row>
    <row r="366" spans="76:77" x14ac:dyDescent="0.2">
      <c r="BX366" s="214" t="e">
        <f t="shared" si="26"/>
        <v>#DIV/0!</v>
      </c>
      <c r="BY366" s="215">
        <f t="shared" si="27"/>
        <v>0</v>
      </c>
    </row>
    <row r="367" spans="76:77" x14ac:dyDescent="0.2">
      <c r="BX367" s="214" t="e">
        <f t="shared" si="26"/>
        <v>#DIV/0!</v>
      </c>
      <c r="BY367" s="215">
        <f t="shared" si="27"/>
        <v>0</v>
      </c>
    </row>
    <row r="368" spans="76:77" x14ac:dyDescent="0.2">
      <c r="BX368" s="214" t="e">
        <f t="shared" si="26"/>
        <v>#DIV/0!</v>
      </c>
      <c r="BY368" s="215">
        <f t="shared" si="27"/>
        <v>0</v>
      </c>
    </row>
    <row r="369" spans="76:77" x14ac:dyDescent="0.2">
      <c r="BX369" s="214" t="e">
        <f t="shared" si="26"/>
        <v>#DIV/0!</v>
      </c>
      <c r="BY369" s="215">
        <f t="shared" si="27"/>
        <v>0</v>
      </c>
    </row>
    <row r="370" spans="76:77" x14ac:dyDescent="0.2">
      <c r="BX370" s="214" t="e">
        <f t="shared" si="26"/>
        <v>#DIV/0!</v>
      </c>
      <c r="BY370" s="215">
        <f t="shared" si="27"/>
        <v>0</v>
      </c>
    </row>
    <row r="371" spans="76:77" x14ac:dyDescent="0.2">
      <c r="BX371" s="214" t="e">
        <f t="shared" si="26"/>
        <v>#DIV/0!</v>
      </c>
      <c r="BY371" s="215">
        <f t="shared" si="27"/>
        <v>0</v>
      </c>
    </row>
    <row r="372" spans="76:77" x14ac:dyDescent="0.2">
      <c r="BX372" s="214" t="e">
        <f t="shared" si="26"/>
        <v>#DIV/0!</v>
      </c>
      <c r="BY372" s="215">
        <f t="shared" si="27"/>
        <v>0</v>
      </c>
    </row>
    <row r="373" spans="76:77" x14ac:dyDescent="0.2">
      <c r="BX373" s="214" t="e">
        <f t="shared" si="26"/>
        <v>#DIV/0!</v>
      </c>
      <c r="BY373" s="215">
        <f t="shared" si="27"/>
        <v>0</v>
      </c>
    </row>
    <row r="374" spans="76:77" x14ac:dyDescent="0.2">
      <c r="BX374" s="214" t="e">
        <f t="shared" si="26"/>
        <v>#DIV/0!</v>
      </c>
      <c r="BY374" s="215">
        <f t="shared" si="27"/>
        <v>0</v>
      </c>
    </row>
    <row r="375" spans="76:77" x14ac:dyDescent="0.2">
      <c r="BX375" s="214" t="e">
        <f t="shared" si="26"/>
        <v>#DIV/0!</v>
      </c>
      <c r="BY375" s="215">
        <f t="shared" si="27"/>
        <v>0</v>
      </c>
    </row>
    <row r="376" spans="76:77" x14ac:dyDescent="0.2">
      <c r="BX376" s="214" t="e">
        <f t="shared" si="26"/>
        <v>#DIV/0!</v>
      </c>
      <c r="BY376" s="215">
        <f t="shared" si="27"/>
        <v>0</v>
      </c>
    </row>
    <row r="377" spans="76:77" x14ac:dyDescent="0.2">
      <c r="BX377" s="214" t="e">
        <f t="shared" si="26"/>
        <v>#DIV/0!</v>
      </c>
      <c r="BY377" s="215">
        <f t="shared" si="27"/>
        <v>0</v>
      </c>
    </row>
    <row r="378" spans="76:77" x14ac:dyDescent="0.2">
      <c r="BX378" s="214" t="e">
        <f t="shared" si="26"/>
        <v>#DIV/0!</v>
      </c>
      <c r="BY378" s="215">
        <f t="shared" si="27"/>
        <v>0</v>
      </c>
    </row>
    <row r="379" spans="76:77" x14ac:dyDescent="0.2">
      <c r="BX379" s="214" t="e">
        <f t="shared" si="26"/>
        <v>#DIV/0!</v>
      </c>
      <c r="BY379" s="215">
        <f t="shared" si="27"/>
        <v>0</v>
      </c>
    </row>
    <row r="380" spans="76:77" x14ac:dyDescent="0.2">
      <c r="BX380" s="214" t="e">
        <f t="shared" si="26"/>
        <v>#DIV/0!</v>
      </c>
      <c r="BY380" s="215">
        <f t="shared" si="27"/>
        <v>0</v>
      </c>
    </row>
    <row r="381" spans="76:77" x14ac:dyDescent="0.2">
      <c r="BX381" s="214" t="e">
        <f t="shared" si="26"/>
        <v>#DIV/0!</v>
      </c>
      <c r="BY381" s="215">
        <f t="shared" si="27"/>
        <v>0</v>
      </c>
    </row>
    <row r="382" spans="76:77" x14ac:dyDescent="0.2">
      <c r="BX382" s="214" t="e">
        <f t="shared" si="26"/>
        <v>#DIV/0!</v>
      </c>
      <c r="BY382" s="215">
        <f t="shared" si="27"/>
        <v>0</v>
      </c>
    </row>
    <row r="383" spans="76:77" x14ac:dyDescent="0.2">
      <c r="BX383" s="214" t="e">
        <f t="shared" si="26"/>
        <v>#DIV/0!</v>
      </c>
      <c r="BY383" s="215">
        <f t="shared" si="27"/>
        <v>0</v>
      </c>
    </row>
    <row r="384" spans="76:77" x14ac:dyDescent="0.2">
      <c r="BX384" s="214" t="e">
        <f t="shared" si="26"/>
        <v>#DIV/0!</v>
      </c>
      <c r="BY384" s="215">
        <f t="shared" si="27"/>
        <v>0</v>
      </c>
    </row>
    <row r="385" spans="76:77" x14ac:dyDescent="0.2">
      <c r="BX385" s="214" t="e">
        <f t="shared" si="26"/>
        <v>#DIV/0!</v>
      </c>
      <c r="BY385" s="215">
        <f t="shared" si="27"/>
        <v>0</v>
      </c>
    </row>
    <row r="386" spans="76:77" x14ac:dyDescent="0.2">
      <c r="BX386" s="214" t="e">
        <f t="shared" si="26"/>
        <v>#DIV/0!</v>
      </c>
      <c r="BY386" s="215">
        <f t="shared" si="27"/>
        <v>0</v>
      </c>
    </row>
    <row r="387" spans="76:77" x14ac:dyDescent="0.2">
      <c r="BX387" s="214" t="e">
        <f t="shared" si="26"/>
        <v>#DIV/0!</v>
      </c>
      <c r="BY387" s="215">
        <f t="shared" si="27"/>
        <v>0</v>
      </c>
    </row>
    <row r="388" spans="76:77" x14ac:dyDescent="0.2">
      <c r="BX388" s="214" t="e">
        <f t="shared" si="26"/>
        <v>#DIV/0!</v>
      </c>
      <c r="BY388" s="215">
        <f t="shared" si="27"/>
        <v>0</v>
      </c>
    </row>
    <row r="389" spans="76:77" x14ac:dyDescent="0.2">
      <c r="BX389" s="214" t="e">
        <f t="shared" si="26"/>
        <v>#DIV/0!</v>
      </c>
      <c r="BY389" s="215">
        <f t="shared" si="27"/>
        <v>0</v>
      </c>
    </row>
    <row r="390" spans="76:77" x14ac:dyDescent="0.2">
      <c r="BX390" s="214" t="e">
        <f t="shared" si="26"/>
        <v>#DIV/0!</v>
      </c>
      <c r="BY390" s="215">
        <f t="shared" si="27"/>
        <v>0</v>
      </c>
    </row>
    <row r="391" spans="76:77" x14ac:dyDescent="0.2">
      <c r="BX391" s="214" t="e">
        <f t="shared" si="26"/>
        <v>#DIV/0!</v>
      </c>
      <c r="BY391" s="215">
        <f t="shared" si="27"/>
        <v>0</v>
      </c>
    </row>
    <row r="392" spans="76:77" x14ac:dyDescent="0.2">
      <c r="BX392" s="214" t="e">
        <f t="shared" si="26"/>
        <v>#DIV/0!</v>
      </c>
      <c r="BY392" s="215">
        <f t="shared" si="27"/>
        <v>0</v>
      </c>
    </row>
    <row r="393" spans="76:77" x14ac:dyDescent="0.2">
      <c r="BX393" s="214" t="e">
        <f t="shared" si="26"/>
        <v>#DIV/0!</v>
      </c>
      <c r="BY393" s="215">
        <f t="shared" si="27"/>
        <v>0</v>
      </c>
    </row>
    <row r="394" spans="76:77" x14ac:dyDescent="0.2">
      <c r="BX394" s="214" t="e">
        <f t="shared" si="26"/>
        <v>#DIV/0!</v>
      </c>
      <c r="BY394" s="215">
        <f t="shared" si="27"/>
        <v>0</v>
      </c>
    </row>
    <row r="395" spans="76:77" x14ac:dyDescent="0.2">
      <c r="BX395" s="214" t="e">
        <f t="shared" si="26"/>
        <v>#DIV/0!</v>
      </c>
      <c r="BY395" s="215">
        <f t="shared" si="27"/>
        <v>0</v>
      </c>
    </row>
    <row r="396" spans="76:77" x14ac:dyDescent="0.2">
      <c r="BX396" s="214" t="e">
        <f t="shared" si="26"/>
        <v>#DIV/0!</v>
      </c>
      <c r="BY396" s="215">
        <f t="shared" si="27"/>
        <v>0</v>
      </c>
    </row>
    <row r="397" spans="76:77" x14ac:dyDescent="0.2">
      <c r="BX397" s="214" t="e">
        <f t="shared" ref="BX397:BX460" si="28">BY397/BV397</f>
        <v>#DIV/0!</v>
      </c>
      <c r="BY397" s="215">
        <f t="shared" si="27"/>
        <v>0</v>
      </c>
    </row>
    <row r="398" spans="76:77" x14ac:dyDescent="0.2">
      <c r="BX398" s="214" t="e">
        <f t="shared" si="28"/>
        <v>#DIV/0!</v>
      </c>
      <c r="BY398" s="215">
        <f t="shared" ref="BY398:BY461" si="29">BY397+BW398*(BV398-BV397)</f>
        <v>0</v>
      </c>
    </row>
    <row r="399" spans="76:77" x14ac:dyDescent="0.2">
      <c r="BX399" s="214" t="e">
        <f t="shared" si="28"/>
        <v>#DIV/0!</v>
      </c>
      <c r="BY399" s="215">
        <f t="shared" si="29"/>
        <v>0</v>
      </c>
    </row>
    <row r="400" spans="76:77" x14ac:dyDescent="0.2">
      <c r="BX400" s="214" t="e">
        <f t="shared" si="28"/>
        <v>#DIV/0!</v>
      </c>
      <c r="BY400" s="215">
        <f t="shared" si="29"/>
        <v>0</v>
      </c>
    </row>
    <row r="401" spans="76:77" x14ac:dyDescent="0.2">
      <c r="BX401" s="214" t="e">
        <f t="shared" si="28"/>
        <v>#DIV/0!</v>
      </c>
      <c r="BY401" s="215">
        <f t="shared" si="29"/>
        <v>0</v>
      </c>
    </row>
    <row r="402" spans="76:77" x14ac:dyDescent="0.2">
      <c r="BX402" s="214" t="e">
        <f t="shared" si="28"/>
        <v>#DIV/0!</v>
      </c>
      <c r="BY402" s="215">
        <f t="shared" si="29"/>
        <v>0</v>
      </c>
    </row>
    <row r="403" spans="76:77" x14ac:dyDescent="0.2">
      <c r="BX403" s="214" t="e">
        <f t="shared" si="28"/>
        <v>#DIV/0!</v>
      </c>
      <c r="BY403" s="215">
        <f t="shared" si="29"/>
        <v>0</v>
      </c>
    </row>
    <row r="404" spans="76:77" x14ac:dyDescent="0.2">
      <c r="BX404" s="214" t="e">
        <f t="shared" si="28"/>
        <v>#DIV/0!</v>
      </c>
      <c r="BY404" s="215">
        <f t="shared" si="29"/>
        <v>0</v>
      </c>
    </row>
    <row r="405" spans="76:77" x14ac:dyDescent="0.2">
      <c r="BX405" s="214" t="e">
        <f t="shared" si="28"/>
        <v>#DIV/0!</v>
      </c>
      <c r="BY405" s="215">
        <f t="shared" si="29"/>
        <v>0</v>
      </c>
    </row>
    <row r="406" spans="76:77" x14ac:dyDescent="0.2">
      <c r="BX406" s="214" t="e">
        <f t="shared" si="28"/>
        <v>#DIV/0!</v>
      </c>
      <c r="BY406" s="215">
        <f t="shared" si="29"/>
        <v>0</v>
      </c>
    </row>
    <row r="407" spans="76:77" x14ac:dyDescent="0.2">
      <c r="BX407" s="214" t="e">
        <f t="shared" si="28"/>
        <v>#DIV/0!</v>
      </c>
      <c r="BY407" s="215">
        <f t="shared" si="29"/>
        <v>0</v>
      </c>
    </row>
    <row r="408" spans="76:77" x14ac:dyDescent="0.2">
      <c r="BX408" s="214" t="e">
        <f t="shared" si="28"/>
        <v>#DIV/0!</v>
      </c>
      <c r="BY408" s="215">
        <f t="shared" si="29"/>
        <v>0</v>
      </c>
    </row>
    <row r="409" spans="76:77" x14ac:dyDescent="0.2">
      <c r="BX409" s="214" t="e">
        <f t="shared" si="28"/>
        <v>#DIV/0!</v>
      </c>
      <c r="BY409" s="215">
        <f t="shared" si="29"/>
        <v>0</v>
      </c>
    </row>
    <row r="410" spans="76:77" x14ac:dyDescent="0.2">
      <c r="BX410" s="214" t="e">
        <f t="shared" si="28"/>
        <v>#DIV/0!</v>
      </c>
      <c r="BY410" s="215">
        <f t="shared" si="29"/>
        <v>0</v>
      </c>
    </row>
    <row r="411" spans="76:77" x14ac:dyDescent="0.2">
      <c r="BX411" s="214" t="e">
        <f t="shared" si="28"/>
        <v>#DIV/0!</v>
      </c>
      <c r="BY411" s="215">
        <f t="shared" si="29"/>
        <v>0</v>
      </c>
    </row>
    <row r="412" spans="76:77" x14ac:dyDescent="0.2">
      <c r="BX412" s="214" t="e">
        <f t="shared" si="28"/>
        <v>#DIV/0!</v>
      </c>
      <c r="BY412" s="215">
        <f t="shared" si="29"/>
        <v>0</v>
      </c>
    </row>
    <row r="413" spans="76:77" x14ac:dyDescent="0.2">
      <c r="BX413" s="214" t="e">
        <f t="shared" si="28"/>
        <v>#DIV/0!</v>
      </c>
      <c r="BY413" s="215">
        <f t="shared" si="29"/>
        <v>0</v>
      </c>
    </row>
    <row r="414" spans="76:77" x14ac:dyDescent="0.2">
      <c r="BX414" s="214" t="e">
        <f t="shared" si="28"/>
        <v>#DIV/0!</v>
      </c>
      <c r="BY414" s="215">
        <f t="shared" si="29"/>
        <v>0</v>
      </c>
    </row>
    <row r="415" spans="76:77" x14ac:dyDescent="0.2">
      <c r="BX415" s="214" t="e">
        <f t="shared" si="28"/>
        <v>#DIV/0!</v>
      </c>
      <c r="BY415" s="215">
        <f t="shared" si="29"/>
        <v>0</v>
      </c>
    </row>
    <row r="416" spans="76:77" x14ac:dyDescent="0.2">
      <c r="BX416" s="214" t="e">
        <f t="shared" si="28"/>
        <v>#DIV/0!</v>
      </c>
      <c r="BY416" s="215">
        <f t="shared" si="29"/>
        <v>0</v>
      </c>
    </row>
    <row r="417" spans="76:77" x14ac:dyDescent="0.2">
      <c r="BX417" s="214" t="e">
        <f t="shared" si="28"/>
        <v>#DIV/0!</v>
      </c>
      <c r="BY417" s="215">
        <f t="shared" si="29"/>
        <v>0</v>
      </c>
    </row>
    <row r="418" spans="76:77" x14ac:dyDescent="0.2">
      <c r="BX418" s="214" t="e">
        <f t="shared" si="28"/>
        <v>#DIV/0!</v>
      </c>
      <c r="BY418" s="215">
        <f t="shared" si="29"/>
        <v>0</v>
      </c>
    </row>
    <row r="419" spans="76:77" x14ac:dyDescent="0.2">
      <c r="BX419" s="214" t="e">
        <f t="shared" si="28"/>
        <v>#DIV/0!</v>
      </c>
      <c r="BY419" s="215">
        <f t="shared" si="29"/>
        <v>0</v>
      </c>
    </row>
    <row r="420" spans="76:77" x14ac:dyDescent="0.2">
      <c r="BX420" s="214" t="e">
        <f t="shared" si="28"/>
        <v>#DIV/0!</v>
      </c>
      <c r="BY420" s="215">
        <f t="shared" si="29"/>
        <v>0</v>
      </c>
    </row>
    <row r="421" spans="76:77" x14ac:dyDescent="0.2">
      <c r="BX421" s="214" t="e">
        <f t="shared" si="28"/>
        <v>#DIV/0!</v>
      </c>
      <c r="BY421" s="215">
        <f t="shared" si="29"/>
        <v>0</v>
      </c>
    </row>
    <row r="422" spans="76:77" x14ac:dyDescent="0.2">
      <c r="BX422" s="214" t="e">
        <f t="shared" si="28"/>
        <v>#DIV/0!</v>
      </c>
      <c r="BY422" s="215">
        <f t="shared" si="29"/>
        <v>0</v>
      </c>
    </row>
    <row r="423" spans="76:77" x14ac:dyDescent="0.2">
      <c r="BX423" s="214" t="e">
        <f t="shared" si="28"/>
        <v>#DIV/0!</v>
      </c>
      <c r="BY423" s="215">
        <f t="shared" si="29"/>
        <v>0</v>
      </c>
    </row>
    <row r="424" spans="76:77" x14ac:dyDescent="0.2">
      <c r="BX424" s="214" t="e">
        <f t="shared" si="28"/>
        <v>#DIV/0!</v>
      </c>
      <c r="BY424" s="215">
        <f t="shared" si="29"/>
        <v>0</v>
      </c>
    </row>
    <row r="425" spans="76:77" x14ac:dyDescent="0.2">
      <c r="BX425" s="214" t="e">
        <f t="shared" si="28"/>
        <v>#DIV/0!</v>
      </c>
      <c r="BY425" s="215">
        <f t="shared" si="29"/>
        <v>0</v>
      </c>
    </row>
    <row r="426" spans="76:77" x14ac:dyDescent="0.2">
      <c r="BX426" s="214" t="e">
        <f t="shared" si="28"/>
        <v>#DIV/0!</v>
      </c>
      <c r="BY426" s="215">
        <f t="shared" si="29"/>
        <v>0</v>
      </c>
    </row>
    <row r="427" spans="76:77" x14ac:dyDescent="0.2">
      <c r="BX427" s="214" t="e">
        <f t="shared" si="28"/>
        <v>#DIV/0!</v>
      </c>
      <c r="BY427" s="215">
        <f t="shared" si="29"/>
        <v>0</v>
      </c>
    </row>
    <row r="428" spans="76:77" x14ac:dyDescent="0.2">
      <c r="BX428" s="214" t="e">
        <f t="shared" si="28"/>
        <v>#DIV/0!</v>
      </c>
      <c r="BY428" s="215">
        <f t="shared" si="29"/>
        <v>0</v>
      </c>
    </row>
    <row r="429" spans="76:77" x14ac:dyDescent="0.2">
      <c r="BX429" s="214" t="e">
        <f t="shared" si="28"/>
        <v>#DIV/0!</v>
      </c>
      <c r="BY429" s="215">
        <f t="shared" si="29"/>
        <v>0</v>
      </c>
    </row>
    <row r="430" spans="76:77" x14ac:dyDescent="0.2">
      <c r="BX430" s="214" t="e">
        <f t="shared" si="28"/>
        <v>#DIV/0!</v>
      </c>
      <c r="BY430" s="215">
        <f t="shared" si="29"/>
        <v>0</v>
      </c>
    </row>
    <row r="431" spans="76:77" x14ac:dyDescent="0.2">
      <c r="BX431" s="214" t="e">
        <f t="shared" si="28"/>
        <v>#DIV/0!</v>
      </c>
      <c r="BY431" s="215">
        <f t="shared" si="29"/>
        <v>0</v>
      </c>
    </row>
    <row r="432" spans="76:77" x14ac:dyDescent="0.2">
      <c r="BX432" s="214" t="e">
        <f t="shared" si="28"/>
        <v>#DIV/0!</v>
      </c>
      <c r="BY432" s="215">
        <f t="shared" si="29"/>
        <v>0</v>
      </c>
    </row>
    <row r="433" spans="76:77" x14ac:dyDescent="0.2">
      <c r="BX433" s="214" t="e">
        <f t="shared" si="28"/>
        <v>#DIV/0!</v>
      </c>
      <c r="BY433" s="215">
        <f t="shared" si="29"/>
        <v>0</v>
      </c>
    </row>
    <row r="434" spans="76:77" x14ac:dyDescent="0.2">
      <c r="BX434" s="214" t="e">
        <f t="shared" si="28"/>
        <v>#DIV/0!</v>
      </c>
      <c r="BY434" s="215">
        <f t="shared" si="29"/>
        <v>0</v>
      </c>
    </row>
    <row r="435" spans="76:77" x14ac:dyDescent="0.2">
      <c r="BX435" s="214" t="e">
        <f t="shared" si="28"/>
        <v>#DIV/0!</v>
      </c>
      <c r="BY435" s="215">
        <f t="shared" si="29"/>
        <v>0</v>
      </c>
    </row>
    <row r="436" spans="76:77" x14ac:dyDescent="0.2">
      <c r="BX436" s="214" t="e">
        <f t="shared" si="28"/>
        <v>#DIV/0!</v>
      </c>
      <c r="BY436" s="215">
        <f t="shared" si="29"/>
        <v>0</v>
      </c>
    </row>
    <row r="437" spans="76:77" x14ac:dyDescent="0.2">
      <c r="BX437" s="214" t="e">
        <f t="shared" si="28"/>
        <v>#DIV/0!</v>
      </c>
      <c r="BY437" s="215">
        <f t="shared" si="29"/>
        <v>0</v>
      </c>
    </row>
    <row r="438" spans="76:77" x14ac:dyDescent="0.2">
      <c r="BX438" s="214" t="e">
        <f t="shared" si="28"/>
        <v>#DIV/0!</v>
      </c>
      <c r="BY438" s="215">
        <f t="shared" si="29"/>
        <v>0</v>
      </c>
    </row>
    <row r="439" spans="76:77" x14ac:dyDescent="0.2">
      <c r="BX439" s="214" t="e">
        <f t="shared" si="28"/>
        <v>#DIV/0!</v>
      </c>
      <c r="BY439" s="215">
        <f t="shared" si="29"/>
        <v>0</v>
      </c>
    </row>
    <row r="440" spans="76:77" x14ac:dyDescent="0.2">
      <c r="BX440" s="214" t="e">
        <f t="shared" si="28"/>
        <v>#DIV/0!</v>
      </c>
      <c r="BY440" s="215">
        <f t="shared" si="29"/>
        <v>0</v>
      </c>
    </row>
    <row r="441" spans="76:77" x14ac:dyDescent="0.2">
      <c r="BX441" s="214" t="e">
        <f t="shared" si="28"/>
        <v>#DIV/0!</v>
      </c>
      <c r="BY441" s="215">
        <f t="shared" si="29"/>
        <v>0</v>
      </c>
    </row>
    <row r="442" spans="76:77" x14ac:dyDescent="0.2">
      <c r="BX442" s="214" t="e">
        <f t="shared" si="28"/>
        <v>#DIV/0!</v>
      </c>
      <c r="BY442" s="215">
        <f t="shared" si="29"/>
        <v>0</v>
      </c>
    </row>
    <row r="443" spans="76:77" x14ac:dyDescent="0.2">
      <c r="BX443" s="214" t="e">
        <f t="shared" si="28"/>
        <v>#DIV/0!</v>
      </c>
      <c r="BY443" s="215">
        <f t="shared" si="29"/>
        <v>0</v>
      </c>
    </row>
    <row r="444" spans="76:77" x14ac:dyDescent="0.2">
      <c r="BX444" s="214" t="e">
        <f t="shared" si="28"/>
        <v>#DIV/0!</v>
      </c>
      <c r="BY444" s="215">
        <f t="shared" si="29"/>
        <v>0</v>
      </c>
    </row>
    <row r="445" spans="76:77" x14ac:dyDescent="0.2">
      <c r="BX445" s="214" t="e">
        <f t="shared" si="28"/>
        <v>#DIV/0!</v>
      </c>
      <c r="BY445" s="215">
        <f t="shared" si="29"/>
        <v>0</v>
      </c>
    </row>
    <row r="446" spans="76:77" x14ac:dyDescent="0.2">
      <c r="BX446" s="214" t="e">
        <f t="shared" si="28"/>
        <v>#DIV/0!</v>
      </c>
      <c r="BY446" s="215">
        <f t="shared" si="29"/>
        <v>0</v>
      </c>
    </row>
    <row r="447" spans="76:77" x14ac:dyDescent="0.2">
      <c r="BX447" s="214" t="e">
        <f t="shared" si="28"/>
        <v>#DIV/0!</v>
      </c>
      <c r="BY447" s="215">
        <f t="shared" si="29"/>
        <v>0</v>
      </c>
    </row>
    <row r="448" spans="76:77" x14ac:dyDescent="0.2">
      <c r="BX448" s="214" t="e">
        <f t="shared" si="28"/>
        <v>#DIV/0!</v>
      </c>
      <c r="BY448" s="215">
        <f t="shared" si="29"/>
        <v>0</v>
      </c>
    </row>
    <row r="449" spans="76:77" x14ac:dyDescent="0.2">
      <c r="BX449" s="214" t="e">
        <f t="shared" si="28"/>
        <v>#DIV/0!</v>
      </c>
      <c r="BY449" s="215">
        <f t="shared" si="29"/>
        <v>0</v>
      </c>
    </row>
    <row r="450" spans="76:77" x14ac:dyDescent="0.2">
      <c r="BX450" s="214" t="e">
        <f t="shared" si="28"/>
        <v>#DIV/0!</v>
      </c>
      <c r="BY450" s="215">
        <f t="shared" si="29"/>
        <v>0</v>
      </c>
    </row>
    <row r="451" spans="76:77" x14ac:dyDescent="0.2">
      <c r="BX451" s="214" t="e">
        <f t="shared" si="28"/>
        <v>#DIV/0!</v>
      </c>
      <c r="BY451" s="215">
        <f t="shared" si="29"/>
        <v>0</v>
      </c>
    </row>
    <row r="452" spans="76:77" x14ac:dyDescent="0.2">
      <c r="BX452" s="214" t="e">
        <f t="shared" si="28"/>
        <v>#DIV/0!</v>
      </c>
      <c r="BY452" s="215">
        <f t="shared" si="29"/>
        <v>0</v>
      </c>
    </row>
    <row r="453" spans="76:77" x14ac:dyDescent="0.2">
      <c r="BX453" s="214" t="e">
        <f t="shared" si="28"/>
        <v>#DIV/0!</v>
      </c>
      <c r="BY453" s="215">
        <f t="shared" si="29"/>
        <v>0</v>
      </c>
    </row>
    <row r="454" spans="76:77" x14ac:dyDescent="0.2">
      <c r="BX454" s="214" t="e">
        <f t="shared" si="28"/>
        <v>#DIV/0!</v>
      </c>
      <c r="BY454" s="215">
        <f t="shared" si="29"/>
        <v>0</v>
      </c>
    </row>
    <row r="455" spans="76:77" x14ac:dyDescent="0.2">
      <c r="BX455" s="214" t="e">
        <f t="shared" si="28"/>
        <v>#DIV/0!</v>
      </c>
      <c r="BY455" s="215">
        <f t="shared" si="29"/>
        <v>0</v>
      </c>
    </row>
    <row r="456" spans="76:77" x14ac:dyDescent="0.2">
      <c r="BX456" s="214" t="e">
        <f t="shared" si="28"/>
        <v>#DIV/0!</v>
      </c>
      <c r="BY456" s="215">
        <f t="shared" si="29"/>
        <v>0</v>
      </c>
    </row>
    <row r="457" spans="76:77" x14ac:dyDescent="0.2">
      <c r="BX457" s="214" t="e">
        <f t="shared" si="28"/>
        <v>#DIV/0!</v>
      </c>
      <c r="BY457" s="215">
        <f t="shared" si="29"/>
        <v>0</v>
      </c>
    </row>
    <row r="458" spans="76:77" x14ac:dyDescent="0.2">
      <c r="BX458" s="214" t="e">
        <f t="shared" si="28"/>
        <v>#DIV/0!</v>
      </c>
      <c r="BY458" s="215">
        <f t="shared" si="29"/>
        <v>0</v>
      </c>
    </row>
    <row r="459" spans="76:77" x14ac:dyDescent="0.2">
      <c r="BX459" s="214" t="e">
        <f t="shared" si="28"/>
        <v>#DIV/0!</v>
      </c>
      <c r="BY459" s="215">
        <f t="shared" si="29"/>
        <v>0</v>
      </c>
    </row>
    <row r="460" spans="76:77" x14ac:dyDescent="0.2">
      <c r="BX460" s="214" t="e">
        <f t="shared" si="28"/>
        <v>#DIV/0!</v>
      </c>
      <c r="BY460" s="215">
        <f t="shared" si="29"/>
        <v>0</v>
      </c>
    </row>
    <row r="461" spans="76:77" x14ac:dyDescent="0.2">
      <c r="BX461" s="214" t="e">
        <f t="shared" ref="BX461:BX524" si="30">BY461/BV461</f>
        <v>#DIV/0!</v>
      </c>
      <c r="BY461" s="215">
        <f t="shared" si="29"/>
        <v>0</v>
      </c>
    </row>
    <row r="462" spans="76:77" x14ac:dyDescent="0.2">
      <c r="BX462" s="214" t="e">
        <f t="shared" si="30"/>
        <v>#DIV/0!</v>
      </c>
      <c r="BY462" s="215">
        <f t="shared" ref="BY462:BY525" si="31">BY461+BW462*(BV462-BV461)</f>
        <v>0</v>
      </c>
    </row>
    <row r="463" spans="76:77" x14ac:dyDescent="0.2">
      <c r="BX463" s="214" t="e">
        <f t="shared" si="30"/>
        <v>#DIV/0!</v>
      </c>
      <c r="BY463" s="215">
        <f t="shared" si="31"/>
        <v>0</v>
      </c>
    </row>
    <row r="464" spans="76:77" x14ac:dyDescent="0.2">
      <c r="BX464" s="214" t="e">
        <f t="shared" si="30"/>
        <v>#DIV/0!</v>
      </c>
      <c r="BY464" s="215">
        <f t="shared" si="31"/>
        <v>0</v>
      </c>
    </row>
    <row r="465" spans="76:77" x14ac:dyDescent="0.2">
      <c r="BX465" s="214" t="e">
        <f t="shared" si="30"/>
        <v>#DIV/0!</v>
      </c>
      <c r="BY465" s="215">
        <f t="shared" si="31"/>
        <v>0</v>
      </c>
    </row>
    <row r="466" spans="76:77" x14ac:dyDescent="0.2">
      <c r="BX466" s="214" t="e">
        <f t="shared" si="30"/>
        <v>#DIV/0!</v>
      </c>
      <c r="BY466" s="215">
        <f t="shared" si="31"/>
        <v>0</v>
      </c>
    </row>
    <row r="467" spans="76:77" x14ac:dyDescent="0.2">
      <c r="BX467" s="214" t="e">
        <f t="shared" si="30"/>
        <v>#DIV/0!</v>
      </c>
      <c r="BY467" s="215">
        <f t="shared" si="31"/>
        <v>0</v>
      </c>
    </row>
    <row r="468" spans="76:77" x14ac:dyDescent="0.2">
      <c r="BX468" s="214" t="e">
        <f t="shared" si="30"/>
        <v>#DIV/0!</v>
      </c>
      <c r="BY468" s="215">
        <f t="shared" si="31"/>
        <v>0</v>
      </c>
    </row>
    <row r="469" spans="76:77" x14ac:dyDescent="0.2">
      <c r="BX469" s="214" t="e">
        <f t="shared" si="30"/>
        <v>#DIV/0!</v>
      </c>
      <c r="BY469" s="215">
        <f t="shared" si="31"/>
        <v>0</v>
      </c>
    </row>
    <row r="470" spans="76:77" x14ac:dyDescent="0.2">
      <c r="BX470" s="214" t="e">
        <f t="shared" si="30"/>
        <v>#DIV/0!</v>
      </c>
      <c r="BY470" s="215">
        <f t="shared" si="31"/>
        <v>0</v>
      </c>
    </row>
    <row r="471" spans="76:77" x14ac:dyDescent="0.2">
      <c r="BX471" s="214" t="e">
        <f t="shared" si="30"/>
        <v>#DIV/0!</v>
      </c>
      <c r="BY471" s="215">
        <f t="shared" si="31"/>
        <v>0</v>
      </c>
    </row>
    <row r="472" spans="76:77" x14ac:dyDescent="0.2">
      <c r="BX472" s="214" t="e">
        <f t="shared" si="30"/>
        <v>#DIV/0!</v>
      </c>
      <c r="BY472" s="215">
        <f t="shared" si="31"/>
        <v>0</v>
      </c>
    </row>
    <row r="473" spans="76:77" x14ac:dyDescent="0.2">
      <c r="BX473" s="214" t="e">
        <f t="shared" si="30"/>
        <v>#DIV/0!</v>
      </c>
      <c r="BY473" s="215">
        <f t="shared" si="31"/>
        <v>0</v>
      </c>
    </row>
    <row r="474" spans="76:77" x14ac:dyDescent="0.2">
      <c r="BX474" s="214" t="e">
        <f t="shared" si="30"/>
        <v>#DIV/0!</v>
      </c>
      <c r="BY474" s="215">
        <f t="shared" si="31"/>
        <v>0</v>
      </c>
    </row>
    <row r="475" spans="76:77" x14ac:dyDescent="0.2">
      <c r="BX475" s="214" t="e">
        <f t="shared" si="30"/>
        <v>#DIV/0!</v>
      </c>
      <c r="BY475" s="215">
        <f t="shared" si="31"/>
        <v>0</v>
      </c>
    </row>
    <row r="476" spans="76:77" x14ac:dyDescent="0.2">
      <c r="BX476" s="214" t="e">
        <f t="shared" si="30"/>
        <v>#DIV/0!</v>
      </c>
      <c r="BY476" s="215">
        <f t="shared" si="31"/>
        <v>0</v>
      </c>
    </row>
    <row r="477" spans="76:77" x14ac:dyDescent="0.2">
      <c r="BX477" s="214" t="e">
        <f t="shared" si="30"/>
        <v>#DIV/0!</v>
      </c>
      <c r="BY477" s="215">
        <f t="shared" si="31"/>
        <v>0</v>
      </c>
    </row>
    <row r="478" spans="76:77" x14ac:dyDescent="0.2">
      <c r="BX478" s="214" t="e">
        <f t="shared" si="30"/>
        <v>#DIV/0!</v>
      </c>
      <c r="BY478" s="215">
        <f t="shared" si="31"/>
        <v>0</v>
      </c>
    </row>
    <row r="479" spans="76:77" x14ac:dyDescent="0.2">
      <c r="BX479" s="214" t="e">
        <f t="shared" si="30"/>
        <v>#DIV/0!</v>
      </c>
      <c r="BY479" s="215">
        <f t="shared" si="31"/>
        <v>0</v>
      </c>
    </row>
    <row r="480" spans="76:77" x14ac:dyDescent="0.2">
      <c r="BX480" s="214" t="e">
        <f t="shared" si="30"/>
        <v>#DIV/0!</v>
      </c>
      <c r="BY480" s="215">
        <f t="shared" si="31"/>
        <v>0</v>
      </c>
    </row>
    <row r="481" spans="76:77" x14ac:dyDescent="0.2">
      <c r="BX481" s="214" t="e">
        <f t="shared" si="30"/>
        <v>#DIV/0!</v>
      </c>
      <c r="BY481" s="215">
        <f t="shared" si="31"/>
        <v>0</v>
      </c>
    </row>
    <row r="482" spans="76:77" x14ac:dyDescent="0.2">
      <c r="BX482" s="214" t="e">
        <f t="shared" si="30"/>
        <v>#DIV/0!</v>
      </c>
      <c r="BY482" s="215">
        <f t="shared" si="31"/>
        <v>0</v>
      </c>
    </row>
    <row r="483" spans="76:77" x14ac:dyDescent="0.2">
      <c r="BX483" s="214" t="e">
        <f t="shared" si="30"/>
        <v>#DIV/0!</v>
      </c>
      <c r="BY483" s="215">
        <f t="shared" si="31"/>
        <v>0</v>
      </c>
    </row>
    <row r="484" spans="76:77" x14ac:dyDescent="0.2">
      <c r="BX484" s="214" t="e">
        <f t="shared" si="30"/>
        <v>#DIV/0!</v>
      </c>
      <c r="BY484" s="215">
        <f t="shared" si="31"/>
        <v>0</v>
      </c>
    </row>
    <row r="485" spans="76:77" x14ac:dyDescent="0.2">
      <c r="BX485" s="214" t="e">
        <f t="shared" si="30"/>
        <v>#DIV/0!</v>
      </c>
      <c r="BY485" s="215">
        <f t="shared" si="31"/>
        <v>0</v>
      </c>
    </row>
    <row r="486" spans="76:77" x14ac:dyDescent="0.2">
      <c r="BX486" s="214" t="e">
        <f t="shared" si="30"/>
        <v>#DIV/0!</v>
      </c>
      <c r="BY486" s="215">
        <f t="shared" si="31"/>
        <v>0</v>
      </c>
    </row>
    <row r="487" spans="76:77" x14ac:dyDescent="0.2">
      <c r="BX487" s="214" t="e">
        <f t="shared" si="30"/>
        <v>#DIV/0!</v>
      </c>
      <c r="BY487" s="215">
        <f t="shared" si="31"/>
        <v>0</v>
      </c>
    </row>
    <row r="488" spans="76:77" x14ac:dyDescent="0.2">
      <c r="BX488" s="214" t="e">
        <f t="shared" si="30"/>
        <v>#DIV/0!</v>
      </c>
      <c r="BY488" s="215">
        <f t="shared" si="31"/>
        <v>0</v>
      </c>
    </row>
    <row r="489" spans="76:77" x14ac:dyDescent="0.2">
      <c r="BX489" s="214" t="e">
        <f t="shared" si="30"/>
        <v>#DIV/0!</v>
      </c>
      <c r="BY489" s="215">
        <f t="shared" si="31"/>
        <v>0</v>
      </c>
    </row>
    <row r="490" spans="76:77" x14ac:dyDescent="0.2">
      <c r="BX490" s="214" t="e">
        <f t="shared" si="30"/>
        <v>#DIV/0!</v>
      </c>
      <c r="BY490" s="215">
        <f t="shared" si="31"/>
        <v>0</v>
      </c>
    </row>
    <row r="491" spans="76:77" x14ac:dyDescent="0.2">
      <c r="BX491" s="214" t="e">
        <f t="shared" si="30"/>
        <v>#DIV/0!</v>
      </c>
      <c r="BY491" s="215">
        <f t="shared" si="31"/>
        <v>0</v>
      </c>
    </row>
    <row r="492" spans="76:77" x14ac:dyDescent="0.2">
      <c r="BX492" s="214" t="e">
        <f t="shared" si="30"/>
        <v>#DIV/0!</v>
      </c>
      <c r="BY492" s="215">
        <f t="shared" si="31"/>
        <v>0</v>
      </c>
    </row>
    <row r="493" spans="76:77" x14ac:dyDescent="0.2">
      <c r="BX493" s="214" t="e">
        <f t="shared" si="30"/>
        <v>#DIV/0!</v>
      </c>
      <c r="BY493" s="215">
        <f t="shared" si="31"/>
        <v>0</v>
      </c>
    </row>
    <row r="494" spans="76:77" x14ac:dyDescent="0.2">
      <c r="BX494" s="214" t="e">
        <f t="shared" si="30"/>
        <v>#DIV/0!</v>
      </c>
      <c r="BY494" s="215">
        <f t="shared" si="31"/>
        <v>0</v>
      </c>
    </row>
    <row r="495" spans="76:77" x14ac:dyDescent="0.2">
      <c r="BX495" s="214" t="e">
        <f t="shared" si="30"/>
        <v>#DIV/0!</v>
      </c>
      <c r="BY495" s="215">
        <f t="shared" si="31"/>
        <v>0</v>
      </c>
    </row>
    <row r="496" spans="76:77" x14ac:dyDescent="0.2">
      <c r="BX496" s="214" t="e">
        <f t="shared" si="30"/>
        <v>#DIV/0!</v>
      </c>
      <c r="BY496" s="215">
        <f t="shared" si="31"/>
        <v>0</v>
      </c>
    </row>
    <row r="497" spans="76:77" x14ac:dyDescent="0.2">
      <c r="BX497" s="214" t="e">
        <f t="shared" si="30"/>
        <v>#DIV/0!</v>
      </c>
      <c r="BY497" s="215">
        <f t="shared" si="31"/>
        <v>0</v>
      </c>
    </row>
    <row r="498" spans="76:77" x14ac:dyDescent="0.2">
      <c r="BX498" s="214" t="e">
        <f t="shared" si="30"/>
        <v>#DIV/0!</v>
      </c>
      <c r="BY498" s="215">
        <f t="shared" si="31"/>
        <v>0</v>
      </c>
    </row>
    <row r="499" spans="76:77" x14ac:dyDescent="0.2">
      <c r="BX499" s="214" t="e">
        <f t="shared" si="30"/>
        <v>#DIV/0!</v>
      </c>
      <c r="BY499" s="215">
        <f t="shared" si="31"/>
        <v>0</v>
      </c>
    </row>
    <row r="500" spans="76:77" x14ac:dyDescent="0.2">
      <c r="BX500" s="214" t="e">
        <f t="shared" si="30"/>
        <v>#DIV/0!</v>
      </c>
      <c r="BY500" s="215">
        <f t="shared" si="31"/>
        <v>0</v>
      </c>
    </row>
    <row r="501" spans="76:77" x14ac:dyDescent="0.2">
      <c r="BX501" s="214" t="e">
        <f t="shared" si="30"/>
        <v>#DIV/0!</v>
      </c>
      <c r="BY501" s="215">
        <f t="shared" si="31"/>
        <v>0</v>
      </c>
    </row>
    <row r="502" spans="76:77" x14ac:dyDescent="0.2">
      <c r="BX502" s="214" t="e">
        <f t="shared" si="30"/>
        <v>#DIV/0!</v>
      </c>
      <c r="BY502" s="215">
        <f t="shared" si="31"/>
        <v>0</v>
      </c>
    </row>
    <row r="503" spans="76:77" x14ac:dyDescent="0.2">
      <c r="BX503" s="214" t="e">
        <f t="shared" si="30"/>
        <v>#DIV/0!</v>
      </c>
      <c r="BY503" s="215">
        <f t="shared" si="31"/>
        <v>0</v>
      </c>
    </row>
    <row r="504" spans="76:77" x14ac:dyDescent="0.2">
      <c r="BX504" s="214" t="e">
        <f t="shared" si="30"/>
        <v>#DIV/0!</v>
      </c>
      <c r="BY504" s="215">
        <f t="shared" si="31"/>
        <v>0</v>
      </c>
    </row>
    <row r="505" spans="76:77" x14ac:dyDescent="0.2">
      <c r="BX505" s="214" t="e">
        <f t="shared" si="30"/>
        <v>#DIV/0!</v>
      </c>
      <c r="BY505" s="215">
        <f t="shared" si="31"/>
        <v>0</v>
      </c>
    </row>
    <row r="506" spans="76:77" x14ac:dyDescent="0.2">
      <c r="BX506" s="214" t="e">
        <f t="shared" si="30"/>
        <v>#DIV/0!</v>
      </c>
      <c r="BY506" s="215">
        <f t="shared" si="31"/>
        <v>0</v>
      </c>
    </row>
    <row r="507" spans="76:77" x14ac:dyDescent="0.2">
      <c r="BX507" s="214" t="e">
        <f t="shared" si="30"/>
        <v>#DIV/0!</v>
      </c>
      <c r="BY507" s="215">
        <f t="shared" si="31"/>
        <v>0</v>
      </c>
    </row>
    <row r="508" spans="76:77" x14ac:dyDescent="0.2">
      <c r="BX508" s="214" t="e">
        <f t="shared" si="30"/>
        <v>#DIV/0!</v>
      </c>
      <c r="BY508" s="215">
        <f t="shared" si="31"/>
        <v>0</v>
      </c>
    </row>
    <row r="509" spans="76:77" x14ac:dyDescent="0.2">
      <c r="BX509" s="214" t="e">
        <f t="shared" si="30"/>
        <v>#DIV/0!</v>
      </c>
      <c r="BY509" s="215">
        <f t="shared" si="31"/>
        <v>0</v>
      </c>
    </row>
    <row r="510" spans="76:77" x14ac:dyDescent="0.2">
      <c r="BX510" s="214" t="e">
        <f t="shared" si="30"/>
        <v>#DIV/0!</v>
      </c>
      <c r="BY510" s="215">
        <f t="shared" si="31"/>
        <v>0</v>
      </c>
    </row>
    <row r="511" spans="76:77" x14ac:dyDescent="0.2">
      <c r="BX511" s="214" t="e">
        <f t="shared" si="30"/>
        <v>#DIV/0!</v>
      </c>
      <c r="BY511" s="215">
        <f t="shared" si="31"/>
        <v>0</v>
      </c>
    </row>
    <row r="512" spans="76:77" x14ac:dyDescent="0.2">
      <c r="BX512" s="214" t="e">
        <f t="shared" si="30"/>
        <v>#DIV/0!</v>
      </c>
      <c r="BY512" s="215">
        <f t="shared" si="31"/>
        <v>0</v>
      </c>
    </row>
    <row r="513" spans="76:77" x14ac:dyDescent="0.2">
      <c r="BX513" s="214" t="e">
        <f t="shared" si="30"/>
        <v>#DIV/0!</v>
      </c>
      <c r="BY513" s="215">
        <f t="shared" si="31"/>
        <v>0</v>
      </c>
    </row>
    <row r="514" spans="76:77" x14ac:dyDescent="0.2">
      <c r="BX514" s="214" t="e">
        <f t="shared" si="30"/>
        <v>#DIV/0!</v>
      </c>
      <c r="BY514" s="215">
        <f t="shared" si="31"/>
        <v>0</v>
      </c>
    </row>
    <row r="515" spans="76:77" x14ac:dyDescent="0.2">
      <c r="BX515" s="214" t="e">
        <f t="shared" si="30"/>
        <v>#DIV/0!</v>
      </c>
      <c r="BY515" s="215">
        <f t="shared" si="31"/>
        <v>0</v>
      </c>
    </row>
    <row r="516" spans="76:77" x14ac:dyDescent="0.2">
      <c r="BX516" s="214" t="e">
        <f t="shared" si="30"/>
        <v>#DIV/0!</v>
      </c>
      <c r="BY516" s="215">
        <f t="shared" si="31"/>
        <v>0</v>
      </c>
    </row>
    <row r="517" spans="76:77" x14ac:dyDescent="0.2">
      <c r="BX517" s="214" t="e">
        <f t="shared" si="30"/>
        <v>#DIV/0!</v>
      </c>
      <c r="BY517" s="215">
        <f t="shared" si="31"/>
        <v>0</v>
      </c>
    </row>
    <row r="518" spans="76:77" x14ac:dyDescent="0.2">
      <c r="BX518" s="214" t="e">
        <f t="shared" si="30"/>
        <v>#DIV/0!</v>
      </c>
      <c r="BY518" s="215">
        <f t="shared" si="31"/>
        <v>0</v>
      </c>
    </row>
    <row r="519" spans="76:77" x14ac:dyDescent="0.2">
      <c r="BX519" s="214" t="e">
        <f t="shared" si="30"/>
        <v>#DIV/0!</v>
      </c>
      <c r="BY519" s="215">
        <f t="shared" si="31"/>
        <v>0</v>
      </c>
    </row>
    <row r="520" spans="76:77" x14ac:dyDescent="0.2">
      <c r="BX520" s="214" t="e">
        <f t="shared" si="30"/>
        <v>#DIV/0!</v>
      </c>
      <c r="BY520" s="215">
        <f t="shared" si="31"/>
        <v>0</v>
      </c>
    </row>
    <row r="521" spans="76:77" x14ac:dyDescent="0.2">
      <c r="BX521" s="214" t="e">
        <f t="shared" si="30"/>
        <v>#DIV/0!</v>
      </c>
      <c r="BY521" s="215">
        <f t="shared" si="31"/>
        <v>0</v>
      </c>
    </row>
    <row r="522" spans="76:77" x14ac:dyDescent="0.2">
      <c r="BX522" s="214" t="e">
        <f t="shared" si="30"/>
        <v>#DIV/0!</v>
      </c>
      <c r="BY522" s="215">
        <f t="shared" si="31"/>
        <v>0</v>
      </c>
    </row>
    <row r="523" spans="76:77" x14ac:dyDescent="0.2">
      <c r="BX523" s="214" t="e">
        <f t="shared" si="30"/>
        <v>#DIV/0!</v>
      </c>
      <c r="BY523" s="215">
        <f t="shared" si="31"/>
        <v>0</v>
      </c>
    </row>
    <row r="524" spans="76:77" x14ac:dyDescent="0.2">
      <c r="BX524" s="214" t="e">
        <f t="shared" si="30"/>
        <v>#DIV/0!</v>
      </c>
      <c r="BY524" s="215">
        <f t="shared" si="31"/>
        <v>0</v>
      </c>
    </row>
    <row r="525" spans="76:77" x14ac:dyDescent="0.2">
      <c r="BX525" s="214" t="e">
        <f t="shared" ref="BX525:BX588" si="32">BY525/BV525</f>
        <v>#DIV/0!</v>
      </c>
      <c r="BY525" s="215">
        <f t="shared" si="31"/>
        <v>0</v>
      </c>
    </row>
    <row r="526" spans="76:77" x14ac:dyDescent="0.2">
      <c r="BX526" s="214" t="e">
        <f t="shared" si="32"/>
        <v>#DIV/0!</v>
      </c>
      <c r="BY526" s="215">
        <f t="shared" ref="BY526:BY589" si="33">BY525+BW526*(BV526-BV525)</f>
        <v>0</v>
      </c>
    </row>
    <row r="527" spans="76:77" x14ac:dyDescent="0.2">
      <c r="BX527" s="214" t="e">
        <f t="shared" si="32"/>
        <v>#DIV/0!</v>
      </c>
      <c r="BY527" s="215">
        <f t="shared" si="33"/>
        <v>0</v>
      </c>
    </row>
    <row r="528" spans="76:77" x14ac:dyDescent="0.2">
      <c r="BX528" s="214" t="e">
        <f t="shared" si="32"/>
        <v>#DIV/0!</v>
      </c>
      <c r="BY528" s="215">
        <f t="shared" si="33"/>
        <v>0</v>
      </c>
    </row>
    <row r="529" spans="76:77" x14ac:dyDescent="0.2">
      <c r="BX529" s="214" t="e">
        <f t="shared" si="32"/>
        <v>#DIV/0!</v>
      </c>
      <c r="BY529" s="215">
        <f t="shared" si="33"/>
        <v>0</v>
      </c>
    </row>
    <row r="530" spans="76:77" x14ac:dyDescent="0.2">
      <c r="BX530" s="214" t="e">
        <f t="shared" si="32"/>
        <v>#DIV/0!</v>
      </c>
      <c r="BY530" s="215">
        <f t="shared" si="33"/>
        <v>0</v>
      </c>
    </row>
    <row r="531" spans="76:77" x14ac:dyDescent="0.2">
      <c r="BX531" s="214" t="e">
        <f t="shared" si="32"/>
        <v>#DIV/0!</v>
      </c>
      <c r="BY531" s="215">
        <f t="shared" si="33"/>
        <v>0</v>
      </c>
    </row>
    <row r="532" spans="76:77" x14ac:dyDescent="0.2">
      <c r="BX532" s="214" t="e">
        <f t="shared" si="32"/>
        <v>#DIV/0!</v>
      </c>
      <c r="BY532" s="215">
        <f t="shared" si="33"/>
        <v>0</v>
      </c>
    </row>
    <row r="533" spans="76:77" x14ac:dyDescent="0.2">
      <c r="BX533" s="214" t="e">
        <f t="shared" si="32"/>
        <v>#DIV/0!</v>
      </c>
      <c r="BY533" s="215">
        <f t="shared" si="33"/>
        <v>0</v>
      </c>
    </row>
    <row r="534" spans="76:77" x14ac:dyDescent="0.2">
      <c r="BX534" s="214" t="e">
        <f t="shared" si="32"/>
        <v>#DIV/0!</v>
      </c>
      <c r="BY534" s="215">
        <f t="shared" si="33"/>
        <v>0</v>
      </c>
    </row>
    <row r="535" spans="76:77" x14ac:dyDescent="0.2">
      <c r="BX535" s="214" t="e">
        <f t="shared" si="32"/>
        <v>#DIV/0!</v>
      </c>
      <c r="BY535" s="215">
        <f t="shared" si="33"/>
        <v>0</v>
      </c>
    </row>
    <row r="536" spans="76:77" x14ac:dyDescent="0.2">
      <c r="BX536" s="214" t="e">
        <f t="shared" si="32"/>
        <v>#DIV/0!</v>
      </c>
      <c r="BY536" s="215">
        <f t="shared" si="33"/>
        <v>0</v>
      </c>
    </row>
    <row r="537" spans="76:77" x14ac:dyDescent="0.2">
      <c r="BX537" s="214" t="e">
        <f t="shared" si="32"/>
        <v>#DIV/0!</v>
      </c>
      <c r="BY537" s="215">
        <f t="shared" si="33"/>
        <v>0</v>
      </c>
    </row>
    <row r="538" spans="76:77" x14ac:dyDescent="0.2">
      <c r="BX538" s="214" t="e">
        <f t="shared" si="32"/>
        <v>#DIV/0!</v>
      </c>
      <c r="BY538" s="215">
        <f t="shared" si="33"/>
        <v>0</v>
      </c>
    </row>
    <row r="539" spans="76:77" x14ac:dyDescent="0.2">
      <c r="BX539" s="214" t="e">
        <f t="shared" si="32"/>
        <v>#DIV/0!</v>
      </c>
      <c r="BY539" s="215">
        <f t="shared" si="33"/>
        <v>0</v>
      </c>
    </row>
    <row r="540" spans="76:77" x14ac:dyDescent="0.2">
      <c r="BX540" s="214" t="e">
        <f t="shared" si="32"/>
        <v>#DIV/0!</v>
      </c>
      <c r="BY540" s="215">
        <f t="shared" si="33"/>
        <v>0</v>
      </c>
    </row>
    <row r="541" spans="76:77" x14ac:dyDescent="0.2">
      <c r="BX541" s="214" t="e">
        <f t="shared" si="32"/>
        <v>#DIV/0!</v>
      </c>
      <c r="BY541" s="215">
        <f t="shared" si="33"/>
        <v>0</v>
      </c>
    </row>
    <row r="542" spans="76:77" x14ac:dyDescent="0.2">
      <c r="BX542" s="214" t="e">
        <f t="shared" si="32"/>
        <v>#DIV/0!</v>
      </c>
      <c r="BY542" s="215">
        <f t="shared" si="33"/>
        <v>0</v>
      </c>
    </row>
    <row r="543" spans="76:77" x14ac:dyDescent="0.2">
      <c r="BX543" s="214" t="e">
        <f t="shared" si="32"/>
        <v>#DIV/0!</v>
      </c>
      <c r="BY543" s="215">
        <f t="shared" si="33"/>
        <v>0</v>
      </c>
    </row>
    <row r="544" spans="76:77" x14ac:dyDescent="0.2">
      <c r="BX544" s="214" t="e">
        <f t="shared" si="32"/>
        <v>#DIV/0!</v>
      </c>
      <c r="BY544" s="215">
        <f t="shared" si="33"/>
        <v>0</v>
      </c>
    </row>
    <row r="545" spans="76:77" x14ac:dyDescent="0.2">
      <c r="BX545" s="214" t="e">
        <f t="shared" si="32"/>
        <v>#DIV/0!</v>
      </c>
      <c r="BY545" s="215">
        <f t="shared" si="33"/>
        <v>0</v>
      </c>
    </row>
    <row r="546" spans="76:77" x14ac:dyDescent="0.2">
      <c r="BX546" s="214" t="e">
        <f t="shared" si="32"/>
        <v>#DIV/0!</v>
      </c>
      <c r="BY546" s="215">
        <f t="shared" si="33"/>
        <v>0</v>
      </c>
    </row>
    <row r="547" spans="76:77" x14ac:dyDescent="0.2">
      <c r="BX547" s="214" t="e">
        <f t="shared" si="32"/>
        <v>#DIV/0!</v>
      </c>
      <c r="BY547" s="215">
        <f t="shared" si="33"/>
        <v>0</v>
      </c>
    </row>
    <row r="548" spans="76:77" x14ac:dyDescent="0.2">
      <c r="BX548" s="214" t="e">
        <f t="shared" si="32"/>
        <v>#DIV/0!</v>
      </c>
      <c r="BY548" s="215">
        <f t="shared" si="33"/>
        <v>0</v>
      </c>
    </row>
    <row r="549" spans="76:77" x14ac:dyDescent="0.2">
      <c r="BX549" s="214" t="e">
        <f t="shared" si="32"/>
        <v>#DIV/0!</v>
      </c>
      <c r="BY549" s="215">
        <f t="shared" si="33"/>
        <v>0</v>
      </c>
    </row>
    <row r="550" spans="76:77" x14ac:dyDescent="0.2">
      <c r="BX550" s="214" t="e">
        <f t="shared" si="32"/>
        <v>#DIV/0!</v>
      </c>
      <c r="BY550" s="215">
        <f t="shared" si="33"/>
        <v>0</v>
      </c>
    </row>
    <row r="551" spans="76:77" x14ac:dyDescent="0.2">
      <c r="BX551" s="214" t="e">
        <f t="shared" si="32"/>
        <v>#DIV/0!</v>
      </c>
      <c r="BY551" s="215">
        <f t="shared" si="33"/>
        <v>0</v>
      </c>
    </row>
    <row r="552" spans="76:77" x14ac:dyDescent="0.2">
      <c r="BX552" s="214" t="e">
        <f t="shared" si="32"/>
        <v>#DIV/0!</v>
      </c>
      <c r="BY552" s="215">
        <f t="shared" si="33"/>
        <v>0</v>
      </c>
    </row>
    <row r="553" spans="76:77" x14ac:dyDescent="0.2">
      <c r="BX553" s="214" t="e">
        <f t="shared" si="32"/>
        <v>#DIV/0!</v>
      </c>
      <c r="BY553" s="215">
        <f t="shared" si="33"/>
        <v>0</v>
      </c>
    </row>
    <row r="554" spans="76:77" x14ac:dyDescent="0.2">
      <c r="BX554" s="214" t="e">
        <f t="shared" si="32"/>
        <v>#DIV/0!</v>
      </c>
      <c r="BY554" s="215">
        <f t="shared" si="33"/>
        <v>0</v>
      </c>
    </row>
    <row r="555" spans="76:77" x14ac:dyDescent="0.2">
      <c r="BX555" s="214" t="e">
        <f t="shared" si="32"/>
        <v>#DIV/0!</v>
      </c>
      <c r="BY555" s="215">
        <f t="shared" si="33"/>
        <v>0</v>
      </c>
    </row>
    <row r="556" spans="76:77" x14ac:dyDescent="0.2">
      <c r="BX556" s="214" t="e">
        <f t="shared" si="32"/>
        <v>#DIV/0!</v>
      </c>
      <c r="BY556" s="215">
        <f t="shared" si="33"/>
        <v>0</v>
      </c>
    </row>
    <row r="557" spans="76:77" x14ac:dyDescent="0.2">
      <c r="BX557" s="214" t="e">
        <f t="shared" si="32"/>
        <v>#DIV/0!</v>
      </c>
      <c r="BY557" s="215">
        <f t="shared" si="33"/>
        <v>0</v>
      </c>
    </row>
    <row r="558" spans="76:77" x14ac:dyDescent="0.2">
      <c r="BX558" s="214" t="e">
        <f t="shared" si="32"/>
        <v>#DIV/0!</v>
      </c>
      <c r="BY558" s="215">
        <f t="shared" si="33"/>
        <v>0</v>
      </c>
    </row>
    <row r="559" spans="76:77" x14ac:dyDescent="0.2">
      <c r="BX559" s="214" t="e">
        <f t="shared" si="32"/>
        <v>#DIV/0!</v>
      </c>
      <c r="BY559" s="215">
        <f t="shared" si="33"/>
        <v>0</v>
      </c>
    </row>
    <row r="560" spans="76:77" x14ac:dyDescent="0.2">
      <c r="BX560" s="214" t="e">
        <f t="shared" si="32"/>
        <v>#DIV/0!</v>
      </c>
      <c r="BY560" s="215">
        <f t="shared" si="33"/>
        <v>0</v>
      </c>
    </row>
    <row r="561" spans="76:77" x14ac:dyDescent="0.2">
      <c r="BX561" s="214" t="e">
        <f t="shared" si="32"/>
        <v>#DIV/0!</v>
      </c>
      <c r="BY561" s="215">
        <f t="shared" si="33"/>
        <v>0</v>
      </c>
    </row>
    <row r="562" spans="76:77" x14ac:dyDescent="0.2">
      <c r="BX562" s="214" t="e">
        <f t="shared" si="32"/>
        <v>#DIV/0!</v>
      </c>
      <c r="BY562" s="215">
        <f t="shared" si="33"/>
        <v>0</v>
      </c>
    </row>
    <row r="563" spans="76:77" x14ac:dyDescent="0.2">
      <c r="BX563" s="214" t="e">
        <f t="shared" si="32"/>
        <v>#DIV/0!</v>
      </c>
      <c r="BY563" s="215">
        <f t="shared" si="33"/>
        <v>0</v>
      </c>
    </row>
    <row r="564" spans="76:77" x14ac:dyDescent="0.2">
      <c r="BX564" s="214" t="e">
        <f t="shared" si="32"/>
        <v>#DIV/0!</v>
      </c>
      <c r="BY564" s="215">
        <f t="shared" si="33"/>
        <v>0</v>
      </c>
    </row>
    <row r="565" spans="76:77" x14ac:dyDescent="0.2">
      <c r="BX565" s="214" t="e">
        <f t="shared" si="32"/>
        <v>#DIV/0!</v>
      </c>
      <c r="BY565" s="215">
        <f t="shared" si="33"/>
        <v>0</v>
      </c>
    </row>
    <row r="566" spans="76:77" x14ac:dyDescent="0.2">
      <c r="BX566" s="214" t="e">
        <f t="shared" si="32"/>
        <v>#DIV/0!</v>
      </c>
      <c r="BY566" s="215">
        <f t="shared" si="33"/>
        <v>0</v>
      </c>
    </row>
    <row r="567" spans="76:77" x14ac:dyDescent="0.2">
      <c r="BX567" s="214" t="e">
        <f t="shared" si="32"/>
        <v>#DIV/0!</v>
      </c>
      <c r="BY567" s="215">
        <f t="shared" si="33"/>
        <v>0</v>
      </c>
    </row>
    <row r="568" spans="76:77" x14ac:dyDescent="0.2">
      <c r="BX568" s="214" t="e">
        <f t="shared" si="32"/>
        <v>#DIV/0!</v>
      </c>
      <c r="BY568" s="215">
        <f t="shared" si="33"/>
        <v>0</v>
      </c>
    </row>
    <row r="569" spans="76:77" x14ac:dyDescent="0.2">
      <c r="BX569" s="214" t="e">
        <f t="shared" si="32"/>
        <v>#DIV/0!</v>
      </c>
      <c r="BY569" s="215">
        <f t="shared" si="33"/>
        <v>0</v>
      </c>
    </row>
    <row r="570" spans="76:77" x14ac:dyDescent="0.2">
      <c r="BX570" s="214" t="e">
        <f t="shared" si="32"/>
        <v>#DIV/0!</v>
      </c>
      <c r="BY570" s="215">
        <f t="shared" si="33"/>
        <v>0</v>
      </c>
    </row>
    <row r="571" spans="76:77" x14ac:dyDescent="0.2">
      <c r="BX571" s="214" t="e">
        <f t="shared" si="32"/>
        <v>#DIV/0!</v>
      </c>
      <c r="BY571" s="215">
        <f t="shared" si="33"/>
        <v>0</v>
      </c>
    </row>
    <row r="572" spans="76:77" x14ac:dyDescent="0.2">
      <c r="BX572" s="214" t="e">
        <f t="shared" si="32"/>
        <v>#DIV/0!</v>
      </c>
      <c r="BY572" s="215">
        <f t="shared" si="33"/>
        <v>0</v>
      </c>
    </row>
    <row r="573" spans="76:77" x14ac:dyDescent="0.2">
      <c r="BX573" s="214" t="e">
        <f t="shared" si="32"/>
        <v>#DIV/0!</v>
      </c>
      <c r="BY573" s="215">
        <f t="shared" si="33"/>
        <v>0</v>
      </c>
    </row>
    <row r="574" spans="76:77" x14ac:dyDescent="0.2">
      <c r="BX574" s="214" t="e">
        <f t="shared" si="32"/>
        <v>#DIV/0!</v>
      </c>
      <c r="BY574" s="215">
        <f t="shared" si="33"/>
        <v>0</v>
      </c>
    </row>
    <row r="575" spans="76:77" x14ac:dyDescent="0.2">
      <c r="BX575" s="214" t="e">
        <f t="shared" si="32"/>
        <v>#DIV/0!</v>
      </c>
      <c r="BY575" s="215">
        <f t="shared" si="33"/>
        <v>0</v>
      </c>
    </row>
    <row r="576" spans="76:77" x14ac:dyDescent="0.2">
      <c r="BX576" s="214" t="e">
        <f t="shared" si="32"/>
        <v>#DIV/0!</v>
      </c>
      <c r="BY576" s="215">
        <f t="shared" si="33"/>
        <v>0</v>
      </c>
    </row>
    <row r="577" spans="76:77" x14ac:dyDescent="0.2">
      <c r="BX577" s="214" t="e">
        <f t="shared" si="32"/>
        <v>#DIV/0!</v>
      </c>
      <c r="BY577" s="215">
        <f t="shared" si="33"/>
        <v>0</v>
      </c>
    </row>
    <row r="578" spans="76:77" x14ac:dyDescent="0.2">
      <c r="BX578" s="214" t="e">
        <f t="shared" si="32"/>
        <v>#DIV/0!</v>
      </c>
      <c r="BY578" s="215">
        <f t="shared" si="33"/>
        <v>0</v>
      </c>
    </row>
    <row r="579" spans="76:77" x14ac:dyDescent="0.2">
      <c r="BX579" s="214" t="e">
        <f t="shared" si="32"/>
        <v>#DIV/0!</v>
      </c>
      <c r="BY579" s="215">
        <f t="shared" si="33"/>
        <v>0</v>
      </c>
    </row>
    <row r="580" spans="76:77" x14ac:dyDescent="0.2">
      <c r="BX580" s="214" t="e">
        <f t="shared" si="32"/>
        <v>#DIV/0!</v>
      </c>
      <c r="BY580" s="215">
        <f t="shared" si="33"/>
        <v>0</v>
      </c>
    </row>
    <row r="581" spans="76:77" x14ac:dyDescent="0.2">
      <c r="BX581" s="214" t="e">
        <f t="shared" si="32"/>
        <v>#DIV/0!</v>
      </c>
      <c r="BY581" s="215">
        <f t="shared" si="33"/>
        <v>0</v>
      </c>
    </row>
    <row r="582" spans="76:77" x14ac:dyDescent="0.2">
      <c r="BX582" s="214" t="e">
        <f t="shared" si="32"/>
        <v>#DIV/0!</v>
      </c>
      <c r="BY582" s="215">
        <f t="shared" si="33"/>
        <v>0</v>
      </c>
    </row>
    <row r="583" spans="76:77" x14ac:dyDescent="0.2">
      <c r="BX583" s="214" t="e">
        <f t="shared" si="32"/>
        <v>#DIV/0!</v>
      </c>
      <c r="BY583" s="215">
        <f t="shared" si="33"/>
        <v>0</v>
      </c>
    </row>
    <row r="584" spans="76:77" x14ac:dyDescent="0.2">
      <c r="BX584" s="214" t="e">
        <f t="shared" si="32"/>
        <v>#DIV/0!</v>
      </c>
      <c r="BY584" s="215">
        <f t="shared" si="33"/>
        <v>0</v>
      </c>
    </row>
    <row r="585" spans="76:77" x14ac:dyDescent="0.2">
      <c r="BX585" s="214" t="e">
        <f t="shared" si="32"/>
        <v>#DIV/0!</v>
      </c>
      <c r="BY585" s="215">
        <f t="shared" si="33"/>
        <v>0</v>
      </c>
    </row>
    <row r="586" spans="76:77" x14ac:dyDescent="0.2">
      <c r="BX586" s="214" t="e">
        <f t="shared" si="32"/>
        <v>#DIV/0!</v>
      </c>
      <c r="BY586" s="215">
        <f t="shared" si="33"/>
        <v>0</v>
      </c>
    </row>
    <row r="587" spans="76:77" x14ac:dyDescent="0.2">
      <c r="BX587" s="214" t="e">
        <f t="shared" si="32"/>
        <v>#DIV/0!</v>
      </c>
      <c r="BY587" s="215">
        <f t="shared" si="33"/>
        <v>0</v>
      </c>
    </row>
    <row r="588" spans="76:77" x14ac:dyDescent="0.2">
      <c r="BX588" s="214" t="e">
        <f t="shared" si="32"/>
        <v>#DIV/0!</v>
      </c>
      <c r="BY588" s="215">
        <f t="shared" si="33"/>
        <v>0</v>
      </c>
    </row>
    <row r="589" spans="76:77" x14ac:dyDescent="0.2">
      <c r="BX589" s="214" t="e">
        <f t="shared" ref="BX589:BX652" si="34">BY589/BV589</f>
        <v>#DIV/0!</v>
      </c>
      <c r="BY589" s="215">
        <f t="shared" si="33"/>
        <v>0</v>
      </c>
    </row>
    <row r="590" spans="76:77" x14ac:dyDescent="0.2">
      <c r="BX590" s="214" t="e">
        <f t="shared" si="34"/>
        <v>#DIV/0!</v>
      </c>
      <c r="BY590" s="215">
        <f t="shared" ref="BY590:BY653" si="35">BY589+BW590*(BV590-BV589)</f>
        <v>0</v>
      </c>
    </row>
    <row r="591" spans="76:77" x14ac:dyDescent="0.2">
      <c r="BX591" s="214" t="e">
        <f t="shared" si="34"/>
        <v>#DIV/0!</v>
      </c>
      <c r="BY591" s="215">
        <f t="shared" si="35"/>
        <v>0</v>
      </c>
    </row>
    <row r="592" spans="76:77" x14ac:dyDescent="0.2">
      <c r="BX592" s="214" t="e">
        <f t="shared" si="34"/>
        <v>#DIV/0!</v>
      </c>
      <c r="BY592" s="215">
        <f t="shared" si="35"/>
        <v>0</v>
      </c>
    </row>
    <row r="593" spans="76:77" x14ac:dyDescent="0.2">
      <c r="BX593" s="214" t="e">
        <f t="shared" si="34"/>
        <v>#DIV/0!</v>
      </c>
      <c r="BY593" s="215">
        <f t="shared" si="35"/>
        <v>0</v>
      </c>
    </row>
    <row r="594" spans="76:77" x14ac:dyDescent="0.2">
      <c r="BX594" s="214" t="e">
        <f t="shared" si="34"/>
        <v>#DIV/0!</v>
      </c>
      <c r="BY594" s="215">
        <f t="shared" si="35"/>
        <v>0</v>
      </c>
    </row>
    <row r="595" spans="76:77" x14ac:dyDescent="0.2">
      <c r="BX595" s="214" t="e">
        <f t="shared" si="34"/>
        <v>#DIV/0!</v>
      </c>
      <c r="BY595" s="215">
        <f t="shared" si="35"/>
        <v>0</v>
      </c>
    </row>
    <row r="596" spans="76:77" x14ac:dyDescent="0.2">
      <c r="BX596" s="214" t="e">
        <f t="shared" si="34"/>
        <v>#DIV/0!</v>
      </c>
      <c r="BY596" s="215">
        <f t="shared" si="35"/>
        <v>0</v>
      </c>
    </row>
    <row r="597" spans="76:77" x14ac:dyDescent="0.2">
      <c r="BX597" s="214" t="e">
        <f t="shared" si="34"/>
        <v>#DIV/0!</v>
      </c>
      <c r="BY597" s="215">
        <f t="shared" si="35"/>
        <v>0</v>
      </c>
    </row>
    <row r="598" spans="76:77" x14ac:dyDescent="0.2">
      <c r="BX598" s="214" t="e">
        <f t="shared" si="34"/>
        <v>#DIV/0!</v>
      </c>
      <c r="BY598" s="215">
        <f t="shared" si="35"/>
        <v>0</v>
      </c>
    </row>
    <row r="599" spans="76:77" x14ac:dyDescent="0.2">
      <c r="BX599" s="214" t="e">
        <f t="shared" si="34"/>
        <v>#DIV/0!</v>
      </c>
      <c r="BY599" s="215">
        <f t="shared" si="35"/>
        <v>0</v>
      </c>
    </row>
    <row r="600" spans="76:77" x14ac:dyDescent="0.2">
      <c r="BX600" s="214" t="e">
        <f t="shared" si="34"/>
        <v>#DIV/0!</v>
      </c>
      <c r="BY600" s="215">
        <f t="shared" si="35"/>
        <v>0</v>
      </c>
    </row>
    <row r="601" spans="76:77" x14ac:dyDescent="0.2">
      <c r="BX601" s="214" t="e">
        <f t="shared" si="34"/>
        <v>#DIV/0!</v>
      </c>
      <c r="BY601" s="215">
        <f t="shared" si="35"/>
        <v>0</v>
      </c>
    </row>
    <row r="602" spans="76:77" x14ac:dyDescent="0.2">
      <c r="BX602" s="214" t="e">
        <f t="shared" si="34"/>
        <v>#DIV/0!</v>
      </c>
      <c r="BY602" s="215">
        <f t="shared" si="35"/>
        <v>0</v>
      </c>
    </row>
    <row r="603" spans="76:77" x14ac:dyDescent="0.2">
      <c r="BX603" s="214" t="e">
        <f t="shared" si="34"/>
        <v>#DIV/0!</v>
      </c>
      <c r="BY603" s="215">
        <f t="shared" si="35"/>
        <v>0</v>
      </c>
    </row>
    <row r="604" spans="76:77" x14ac:dyDescent="0.2">
      <c r="BX604" s="214" t="e">
        <f t="shared" si="34"/>
        <v>#DIV/0!</v>
      </c>
      <c r="BY604" s="215">
        <f t="shared" si="35"/>
        <v>0</v>
      </c>
    </row>
    <row r="605" spans="76:77" x14ac:dyDescent="0.2">
      <c r="BX605" s="214" t="e">
        <f t="shared" si="34"/>
        <v>#DIV/0!</v>
      </c>
      <c r="BY605" s="215">
        <f t="shared" si="35"/>
        <v>0</v>
      </c>
    </row>
    <row r="606" spans="76:77" x14ac:dyDescent="0.2">
      <c r="BX606" s="214" t="e">
        <f t="shared" si="34"/>
        <v>#DIV/0!</v>
      </c>
      <c r="BY606" s="215">
        <f t="shared" si="35"/>
        <v>0</v>
      </c>
    </row>
    <row r="607" spans="76:77" x14ac:dyDescent="0.2">
      <c r="BX607" s="214" t="e">
        <f t="shared" si="34"/>
        <v>#DIV/0!</v>
      </c>
      <c r="BY607" s="215">
        <f t="shared" si="35"/>
        <v>0</v>
      </c>
    </row>
    <row r="608" spans="76:77" x14ac:dyDescent="0.2">
      <c r="BX608" s="214" t="e">
        <f t="shared" si="34"/>
        <v>#DIV/0!</v>
      </c>
      <c r="BY608" s="215">
        <f t="shared" si="35"/>
        <v>0</v>
      </c>
    </row>
    <row r="609" spans="76:77" x14ac:dyDescent="0.2">
      <c r="BX609" s="214" t="e">
        <f t="shared" si="34"/>
        <v>#DIV/0!</v>
      </c>
      <c r="BY609" s="215">
        <f t="shared" si="35"/>
        <v>0</v>
      </c>
    </row>
    <row r="610" spans="76:77" x14ac:dyDescent="0.2">
      <c r="BX610" s="214" t="e">
        <f t="shared" si="34"/>
        <v>#DIV/0!</v>
      </c>
      <c r="BY610" s="215">
        <f t="shared" si="35"/>
        <v>0</v>
      </c>
    </row>
    <row r="611" spans="76:77" x14ac:dyDescent="0.2">
      <c r="BX611" s="214" t="e">
        <f t="shared" si="34"/>
        <v>#DIV/0!</v>
      </c>
      <c r="BY611" s="215">
        <f t="shared" si="35"/>
        <v>0</v>
      </c>
    </row>
    <row r="612" spans="76:77" x14ac:dyDescent="0.2">
      <c r="BX612" s="214" t="e">
        <f t="shared" si="34"/>
        <v>#DIV/0!</v>
      </c>
      <c r="BY612" s="215">
        <f t="shared" si="35"/>
        <v>0</v>
      </c>
    </row>
    <row r="613" spans="76:77" x14ac:dyDescent="0.2">
      <c r="BX613" s="214" t="e">
        <f t="shared" si="34"/>
        <v>#DIV/0!</v>
      </c>
      <c r="BY613" s="215">
        <f t="shared" si="35"/>
        <v>0</v>
      </c>
    </row>
    <row r="614" spans="76:77" x14ac:dyDescent="0.2">
      <c r="BX614" s="214" t="e">
        <f t="shared" si="34"/>
        <v>#DIV/0!</v>
      </c>
      <c r="BY614" s="215">
        <f t="shared" si="35"/>
        <v>0</v>
      </c>
    </row>
    <row r="615" spans="76:77" x14ac:dyDescent="0.2">
      <c r="BX615" s="214" t="e">
        <f t="shared" si="34"/>
        <v>#DIV/0!</v>
      </c>
      <c r="BY615" s="215">
        <f t="shared" si="35"/>
        <v>0</v>
      </c>
    </row>
    <row r="616" spans="76:77" x14ac:dyDescent="0.2">
      <c r="BX616" s="214" t="e">
        <f t="shared" si="34"/>
        <v>#DIV/0!</v>
      </c>
      <c r="BY616" s="215">
        <f t="shared" si="35"/>
        <v>0</v>
      </c>
    </row>
    <row r="617" spans="76:77" x14ac:dyDescent="0.2">
      <c r="BX617" s="214" t="e">
        <f t="shared" si="34"/>
        <v>#DIV/0!</v>
      </c>
      <c r="BY617" s="215">
        <f t="shared" si="35"/>
        <v>0</v>
      </c>
    </row>
    <row r="618" spans="76:77" x14ac:dyDescent="0.2">
      <c r="BX618" s="214" t="e">
        <f t="shared" si="34"/>
        <v>#DIV/0!</v>
      </c>
      <c r="BY618" s="215">
        <f t="shared" si="35"/>
        <v>0</v>
      </c>
    </row>
    <row r="619" spans="76:77" x14ac:dyDescent="0.2">
      <c r="BX619" s="214" t="e">
        <f t="shared" si="34"/>
        <v>#DIV/0!</v>
      </c>
      <c r="BY619" s="215">
        <f t="shared" si="35"/>
        <v>0</v>
      </c>
    </row>
    <row r="620" spans="76:77" x14ac:dyDescent="0.2">
      <c r="BX620" s="214" t="e">
        <f t="shared" si="34"/>
        <v>#DIV/0!</v>
      </c>
      <c r="BY620" s="215">
        <f t="shared" si="35"/>
        <v>0</v>
      </c>
    </row>
    <row r="621" spans="76:77" x14ac:dyDescent="0.2">
      <c r="BX621" s="214" t="e">
        <f t="shared" si="34"/>
        <v>#DIV/0!</v>
      </c>
      <c r="BY621" s="215">
        <f t="shared" si="35"/>
        <v>0</v>
      </c>
    </row>
    <row r="622" spans="76:77" x14ac:dyDescent="0.2">
      <c r="BX622" s="214" t="e">
        <f t="shared" si="34"/>
        <v>#DIV/0!</v>
      </c>
      <c r="BY622" s="215">
        <f t="shared" si="35"/>
        <v>0</v>
      </c>
    </row>
    <row r="623" spans="76:77" x14ac:dyDescent="0.2">
      <c r="BX623" s="214" t="e">
        <f t="shared" si="34"/>
        <v>#DIV/0!</v>
      </c>
      <c r="BY623" s="215">
        <f t="shared" si="35"/>
        <v>0</v>
      </c>
    </row>
    <row r="624" spans="76:77" x14ac:dyDescent="0.2">
      <c r="BX624" s="214" t="e">
        <f t="shared" si="34"/>
        <v>#DIV/0!</v>
      </c>
      <c r="BY624" s="215">
        <f t="shared" si="35"/>
        <v>0</v>
      </c>
    </row>
    <row r="625" spans="76:77" x14ac:dyDescent="0.2">
      <c r="BX625" s="214" t="e">
        <f t="shared" si="34"/>
        <v>#DIV/0!</v>
      </c>
      <c r="BY625" s="215">
        <f t="shared" si="35"/>
        <v>0</v>
      </c>
    </row>
    <row r="626" spans="76:77" x14ac:dyDescent="0.2">
      <c r="BX626" s="214" t="e">
        <f t="shared" si="34"/>
        <v>#DIV/0!</v>
      </c>
      <c r="BY626" s="215">
        <f t="shared" si="35"/>
        <v>0</v>
      </c>
    </row>
    <row r="627" spans="76:77" x14ac:dyDescent="0.2">
      <c r="BX627" s="214" t="e">
        <f t="shared" si="34"/>
        <v>#DIV/0!</v>
      </c>
      <c r="BY627" s="215">
        <f t="shared" si="35"/>
        <v>0</v>
      </c>
    </row>
    <row r="628" spans="76:77" x14ac:dyDescent="0.2">
      <c r="BX628" s="214" t="e">
        <f t="shared" si="34"/>
        <v>#DIV/0!</v>
      </c>
      <c r="BY628" s="215">
        <f t="shared" si="35"/>
        <v>0</v>
      </c>
    </row>
    <row r="629" spans="76:77" x14ac:dyDescent="0.2">
      <c r="BX629" s="214" t="e">
        <f t="shared" si="34"/>
        <v>#DIV/0!</v>
      </c>
      <c r="BY629" s="215">
        <f t="shared" si="35"/>
        <v>0</v>
      </c>
    </row>
    <row r="630" spans="76:77" x14ac:dyDescent="0.2">
      <c r="BX630" s="214" t="e">
        <f t="shared" si="34"/>
        <v>#DIV/0!</v>
      </c>
      <c r="BY630" s="215">
        <f t="shared" si="35"/>
        <v>0</v>
      </c>
    </row>
    <row r="631" spans="76:77" x14ac:dyDescent="0.2">
      <c r="BX631" s="214" t="e">
        <f t="shared" si="34"/>
        <v>#DIV/0!</v>
      </c>
      <c r="BY631" s="215">
        <f t="shared" si="35"/>
        <v>0</v>
      </c>
    </row>
    <row r="632" spans="76:77" x14ac:dyDescent="0.2">
      <c r="BX632" s="214" t="e">
        <f t="shared" si="34"/>
        <v>#DIV/0!</v>
      </c>
      <c r="BY632" s="215">
        <f t="shared" si="35"/>
        <v>0</v>
      </c>
    </row>
    <row r="633" spans="76:77" x14ac:dyDescent="0.2">
      <c r="BX633" s="214" t="e">
        <f t="shared" si="34"/>
        <v>#DIV/0!</v>
      </c>
      <c r="BY633" s="215">
        <f t="shared" si="35"/>
        <v>0</v>
      </c>
    </row>
    <row r="634" spans="76:77" x14ac:dyDescent="0.2">
      <c r="BX634" s="214" t="e">
        <f t="shared" si="34"/>
        <v>#DIV/0!</v>
      </c>
      <c r="BY634" s="215">
        <f t="shared" si="35"/>
        <v>0</v>
      </c>
    </row>
    <row r="635" spans="76:77" x14ac:dyDescent="0.2">
      <c r="BX635" s="214" t="e">
        <f t="shared" si="34"/>
        <v>#DIV/0!</v>
      </c>
      <c r="BY635" s="215">
        <f t="shared" si="35"/>
        <v>0</v>
      </c>
    </row>
    <row r="636" spans="76:77" x14ac:dyDescent="0.2">
      <c r="BX636" s="214" t="e">
        <f t="shared" si="34"/>
        <v>#DIV/0!</v>
      </c>
      <c r="BY636" s="215">
        <f t="shared" si="35"/>
        <v>0</v>
      </c>
    </row>
    <row r="637" spans="76:77" x14ac:dyDescent="0.2">
      <c r="BX637" s="214" t="e">
        <f t="shared" si="34"/>
        <v>#DIV/0!</v>
      </c>
      <c r="BY637" s="215">
        <f t="shared" si="35"/>
        <v>0</v>
      </c>
    </row>
    <row r="638" spans="76:77" x14ac:dyDescent="0.2">
      <c r="BX638" s="214" t="e">
        <f t="shared" si="34"/>
        <v>#DIV/0!</v>
      </c>
      <c r="BY638" s="215">
        <f t="shared" si="35"/>
        <v>0</v>
      </c>
    </row>
    <row r="639" spans="76:77" x14ac:dyDescent="0.2">
      <c r="BX639" s="214" t="e">
        <f t="shared" si="34"/>
        <v>#DIV/0!</v>
      </c>
      <c r="BY639" s="215">
        <f t="shared" si="35"/>
        <v>0</v>
      </c>
    </row>
    <row r="640" spans="76:77" x14ac:dyDescent="0.2">
      <c r="BX640" s="214" t="e">
        <f t="shared" si="34"/>
        <v>#DIV/0!</v>
      </c>
      <c r="BY640" s="215">
        <f t="shared" si="35"/>
        <v>0</v>
      </c>
    </row>
    <row r="641" spans="76:77" x14ac:dyDescent="0.2">
      <c r="BX641" s="214" t="e">
        <f t="shared" si="34"/>
        <v>#DIV/0!</v>
      </c>
      <c r="BY641" s="215">
        <f t="shared" si="35"/>
        <v>0</v>
      </c>
    </row>
    <row r="642" spans="76:77" x14ac:dyDescent="0.2">
      <c r="BX642" s="214" t="e">
        <f t="shared" si="34"/>
        <v>#DIV/0!</v>
      </c>
      <c r="BY642" s="215">
        <f t="shared" si="35"/>
        <v>0</v>
      </c>
    </row>
    <row r="643" spans="76:77" x14ac:dyDescent="0.2">
      <c r="BX643" s="214" t="e">
        <f t="shared" si="34"/>
        <v>#DIV/0!</v>
      </c>
      <c r="BY643" s="215">
        <f t="shared" si="35"/>
        <v>0</v>
      </c>
    </row>
    <row r="644" spans="76:77" x14ac:dyDescent="0.2">
      <c r="BX644" s="214" t="e">
        <f t="shared" si="34"/>
        <v>#DIV/0!</v>
      </c>
      <c r="BY644" s="215">
        <f t="shared" si="35"/>
        <v>0</v>
      </c>
    </row>
    <row r="645" spans="76:77" x14ac:dyDescent="0.2">
      <c r="BX645" s="214" t="e">
        <f t="shared" si="34"/>
        <v>#DIV/0!</v>
      </c>
      <c r="BY645" s="215">
        <f t="shared" si="35"/>
        <v>0</v>
      </c>
    </row>
    <row r="646" spans="76:77" x14ac:dyDescent="0.2">
      <c r="BX646" s="214" t="e">
        <f t="shared" si="34"/>
        <v>#DIV/0!</v>
      </c>
      <c r="BY646" s="215">
        <f t="shared" si="35"/>
        <v>0</v>
      </c>
    </row>
    <row r="647" spans="76:77" x14ac:dyDescent="0.2">
      <c r="BX647" s="214" t="e">
        <f t="shared" si="34"/>
        <v>#DIV/0!</v>
      </c>
      <c r="BY647" s="215">
        <f t="shared" si="35"/>
        <v>0</v>
      </c>
    </row>
    <row r="648" spans="76:77" x14ac:dyDescent="0.2">
      <c r="BX648" s="214" t="e">
        <f t="shared" si="34"/>
        <v>#DIV/0!</v>
      </c>
      <c r="BY648" s="215">
        <f t="shared" si="35"/>
        <v>0</v>
      </c>
    </row>
    <row r="649" spans="76:77" x14ac:dyDescent="0.2">
      <c r="BX649" s="214" t="e">
        <f t="shared" si="34"/>
        <v>#DIV/0!</v>
      </c>
      <c r="BY649" s="215">
        <f t="shared" si="35"/>
        <v>0</v>
      </c>
    </row>
    <row r="650" spans="76:77" x14ac:dyDescent="0.2">
      <c r="BX650" s="214" t="e">
        <f t="shared" si="34"/>
        <v>#DIV/0!</v>
      </c>
      <c r="BY650" s="215">
        <f t="shared" si="35"/>
        <v>0</v>
      </c>
    </row>
    <row r="651" spans="76:77" x14ac:dyDescent="0.2">
      <c r="BX651" s="214" t="e">
        <f t="shared" si="34"/>
        <v>#DIV/0!</v>
      </c>
      <c r="BY651" s="215">
        <f t="shared" si="35"/>
        <v>0</v>
      </c>
    </row>
    <row r="652" spans="76:77" x14ac:dyDescent="0.2">
      <c r="BX652" s="214" t="e">
        <f t="shared" si="34"/>
        <v>#DIV/0!</v>
      </c>
      <c r="BY652" s="215">
        <f t="shared" si="35"/>
        <v>0</v>
      </c>
    </row>
    <row r="653" spans="76:77" x14ac:dyDescent="0.2">
      <c r="BX653" s="214" t="e">
        <f t="shared" ref="BX653:BX716" si="36">BY653/BV653</f>
        <v>#DIV/0!</v>
      </c>
      <c r="BY653" s="215">
        <f t="shared" si="35"/>
        <v>0</v>
      </c>
    </row>
    <row r="654" spans="76:77" x14ac:dyDescent="0.2">
      <c r="BX654" s="214" t="e">
        <f t="shared" si="36"/>
        <v>#DIV/0!</v>
      </c>
      <c r="BY654" s="215">
        <f t="shared" ref="BY654:BY717" si="37">BY653+BW654*(BV654-BV653)</f>
        <v>0</v>
      </c>
    </row>
    <row r="655" spans="76:77" x14ac:dyDescent="0.2">
      <c r="BX655" s="214" t="e">
        <f t="shared" si="36"/>
        <v>#DIV/0!</v>
      </c>
      <c r="BY655" s="215">
        <f t="shared" si="37"/>
        <v>0</v>
      </c>
    </row>
    <row r="656" spans="76:77" x14ac:dyDescent="0.2">
      <c r="BX656" s="214" t="e">
        <f t="shared" si="36"/>
        <v>#DIV/0!</v>
      </c>
      <c r="BY656" s="215">
        <f t="shared" si="37"/>
        <v>0</v>
      </c>
    </row>
    <row r="657" spans="76:77" x14ac:dyDescent="0.2">
      <c r="BX657" s="214" t="e">
        <f t="shared" si="36"/>
        <v>#DIV/0!</v>
      </c>
      <c r="BY657" s="215">
        <f t="shared" si="37"/>
        <v>0</v>
      </c>
    </row>
    <row r="658" spans="76:77" x14ac:dyDescent="0.2">
      <c r="BX658" s="214" t="e">
        <f t="shared" si="36"/>
        <v>#DIV/0!</v>
      </c>
      <c r="BY658" s="215">
        <f t="shared" si="37"/>
        <v>0</v>
      </c>
    </row>
    <row r="659" spans="76:77" x14ac:dyDescent="0.2">
      <c r="BX659" s="214" t="e">
        <f t="shared" si="36"/>
        <v>#DIV/0!</v>
      </c>
      <c r="BY659" s="215">
        <f t="shared" si="37"/>
        <v>0</v>
      </c>
    </row>
    <row r="660" spans="76:77" x14ac:dyDescent="0.2">
      <c r="BX660" s="214" t="e">
        <f t="shared" si="36"/>
        <v>#DIV/0!</v>
      </c>
      <c r="BY660" s="215">
        <f t="shared" si="37"/>
        <v>0</v>
      </c>
    </row>
    <row r="661" spans="76:77" x14ac:dyDescent="0.2">
      <c r="BX661" s="214" t="e">
        <f t="shared" si="36"/>
        <v>#DIV/0!</v>
      </c>
      <c r="BY661" s="215">
        <f t="shared" si="37"/>
        <v>0</v>
      </c>
    </row>
    <row r="662" spans="76:77" x14ac:dyDescent="0.2">
      <c r="BX662" s="214" t="e">
        <f t="shared" si="36"/>
        <v>#DIV/0!</v>
      </c>
      <c r="BY662" s="215">
        <f t="shared" si="37"/>
        <v>0</v>
      </c>
    </row>
    <row r="663" spans="76:77" x14ac:dyDescent="0.2">
      <c r="BX663" s="214" t="e">
        <f t="shared" si="36"/>
        <v>#DIV/0!</v>
      </c>
      <c r="BY663" s="215">
        <f t="shared" si="37"/>
        <v>0</v>
      </c>
    </row>
    <row r="664" spans="76:77" x14ac:dyDescent="0.2">
      <c r="BX664" s="214" t="e">
        <f t="shared" si="36"/>
        <v>#DIV/0!</v>
      </c>
      <c r="BY664" s="215">
        <f t="shared" si="37"/>
        <v>0</v>
      </c>
    </row>
    <row r="665" spans="76:77" x14ac:dyDescent="0.2">
      <c r="BX665" s="214" t="e">
        <f t="shared" si="36"/>
        <v>#DIV/0!</v>
      </c>
      <c r="BY665" s="215">
        <f t="shared" si="37"/>
        <v>0</v>
      </c>
    </row>
    <row r="666" spans="76:77" x14ac:dyDescent="0.2">
      <c r="BX666" s="214" t="e">
        <f t="shared" si="36"/>
        <v>#DIV/0!</v>
      </c>
      <c r="BY666" s="215">
        <f t="shared" si="37"/>
        <v>0</v>
      </c>
    </row>
    <row r="667" spans="76:77" x14ac:dyDescent="0.2">
      <c r="BX667" s="214" t="e">
        <f t="shared" si="36"/>
        <v>#DIV/0!</v>
      </c>
      <c r="BY667" s="215">
        <f t="shared" si="37"/>
        <v>0</v>
      </c>
    </row>
    <row r="668" spans="76:77" x14ac:dyDescent="0.2">
      <c r="BX668" s="214" t="e">
        <f t="shared" si="36"/>
        <v>#DIV/0!</v>
      </c>
      <c r="BY668" s="215">
        <f t="shared" si="37"/>
        <v>0</v>
      </c>
    </row>
    <row r="669" spans="76:77" x14ac:dyDescent="0.2">
      <c r="BX669" s="214" t="e">
        <f t="shared" si="36"/>
        <v>#DIV/0!</v>
      </c>
      <c r="BY669" s="215">
        <f t="shared" si="37"/>
        <v>0</v>
      </c>
    </row>
    <row r="670" spans="76:77" x14ac:dyDescent="0.2">
      <c r="BX670" s="214" t="e">
        <f t="shared" si="36"/>
        <v>#DIV/0!</v>
      </c>
      <c r="BY670" s="215">
        <f t="shared" si="37"/>
        <v>0</v>
      </c>
    </row>
    <row r="671" spans="76:77" x14ac:dyDescent="0.2">
      <c r="BX671" s="214" t="e">
        <f t="shared" si="36"/>
        <v>#DIV/0!</v>
      </c>
      <c r="BY671" s="215">
        <f t="shared" si="37"/>
        <v>0</v>
      </c>
    </row>
    <row r="672" spans="76:77" x14ac:dyDescent="0.2">
      <c r="BX672" s="214" t="e">
        <f t="shared" si="36"/>
        <v>#DIV/0!</v>
      </c>
      <c r="BY672" s="215">
        <f t="shared" si="37"/>
        <v>0</v>
      </c>
    </row>
    <row r="673" spans="76:77" x14ac:dyDescent="0.2">
      <c r="BX673" s="214" t="e">
        <f t="shared" si="36"/>
        <v>#DIV/0!</v>
      </c>
      <c r="BY673" s="215">
        <f t="shared" si="37"/>
        <v>0</v>
      </c>
    </row>
    <row r="674" spans="76:77" x14ac:dyDescent="0.2">
      <c r="BX674" s="214" t="e">
        <f t="shared" si="36"/>
        <v>#DIV/0!</v>
      </c>
      <c r="BY674" s="215">
        <f t="shared" si="37"/>
        <v>0</v>
      </c>
    </row>
    <row r="675" spans="76:77" x14ac:dyDescent="0.2">
      <c r="BX675" s="214" t="e">
        <f t="shared" si="36"/>
        <v>#DIV/0!</v>
      </c>
      <c r="BY675" s="215">
        <f t="shared" si="37"/>
        <v>0</v>
      </c>
    </row>
    <row r="676" spans="76:77" x14ac:dyDescent="0.2">
      <c r="BX676" s="214" t="e">
        <f t="shared" si="36"/>
        <v>#DIV/0!</v>
      </c>
      <c r="BY676" s="215">
        <f t="shared" si="37"/>
        <v>0</v>
      </c>
    </row>
    <row r="677" spans="76:77" x14ac:dyDescent="0.2">
      <c r="BX677" s="214" t="e">
        <f t="shared" si="36"/>
        <v>#DIV/0!</v>
      </c>
      <c r="BY677" s="215">
        <f t="shared" si="37"/>
        <v>0</v>
      </c>
    </row>
    <row r="678" spans="76:77" x14ac:dyDescent="0.2">
      <c r="BX678" s="214" t="e">
        <f t="shared" si="36"/>
        <v>#DIV/0!</v>
      </c>
      <c r="BY678" s="215">
        <f t="shared" si="37"/>
        <v>0</v>
      </c>
    </row>
    <row r="679" spans="76:77" x14ac:dyDescent="0.2">
      <c r="BX679" s="214" t="e">
        <f t="shared" si="36"/>
        <v>#DIV/0!</v>
      </c>
      <c r="BY679" s="215">
        <f t="shared" si="37"/>
        <v>0</v>
      </c>
    </row>
    <row r="680" spans="76:77" x14ac:dyDescent="0.2">
      <c r="BX680" s="214" t="e">
        <f t="shared" si="36"/>
        <v>#DIV/0!</v>
      </c>
      <c r="BY680" s="215">
        <f t="shared" si="37"/>
        <v>0</v>
      </c>
    </row>
    <row r="681" spans="76:77" x14ac:dyDescent="0.2">
      <c r="BX681" s="214" t="e">
        <f t="shared" si="36"/>
        <v>#DIV/0!</v>
      </c>
      <c r="BY681" s="215">
        <f t="shared" si="37"/>
        <v>0</v>
      </c>
    </row>
    <row r="682" spans="76:77" x14ac:dyDescent="0.2">
      <c r="BX682" s="214" t="e">
        <f t="shared" si="36"/>
        <v>#DIV/0!</v>
      </c>
      <c r="BY682" s="215">
        <f t="shared" si="37"/>
        <v>0</v>
      </c>
    </row>
    <row r="683" spans="76:77" x14ac:dyDescent="0.2">
      <c r="BX683" s="214" t="e">
        <f t="shared" si="36"/>
        <v>#DIV/0!</v>
      </c>
      <c r="BY683" s="215">
        <f t="shared" si="37"/>
        <v>0</v>
      </c>
    </row>
    <row r="684" spans="76:77" x14ac:dyDescent="0.2">
      <c r="BX684" s="214" t="e">
        <f t="shared" si="36"/>
        <v>#DIV/0!</v>
      </c>
      <c r="BY684" s="215">
        <f t="shared" si="37"/>
        <v>0</v>
      </c>
    </row>
    <row r="685" spans="76:77" x14ac:dyDescent="0.2">
      <c r="BX685" s="214" t="e">
        <f t="shared" si="36"/>
        <v>#DIV/0!</v>
      </c>
      <c r="BY685" s="215">
        <f t="shared" si="37"/>
        <v>0</v>
      </c>
    </row>
    <row r="686" spans="76:77" x14ac:dyDescent="0.2">
      <c r="BX686" s="214" t="e">
        <f t="shared" si="36"/>
        <v>#DIV/0!</v>
      </c>
      <c r="BY686" s="215">
        <f t="shared" si="37"/>
        <v>0</v>
      </c>
    </row>
    <row r="687" spans="76:77" x14ac:dyDescent="0.2">
      <c r="BX687" s="214" t="e">
        <f t="shared" si="36"/>
        <v>#DIV/0!</v>
      </c>
      <c r="BY687" s="215">
        <f t="shared" si="37"/>
        <v>0</v>
      </c>
    </row>
    <row r="688" spans="76:77" x14ac:dyDescent="0.2">
      <c r="BX688" s="214" t="e">
        <f t="shared" si="36"/>
        <v>#DIV/0!</v>
      </c>
      <c r="BY688" s="215">
        <f t="shared" si="37"/>
        <v>0</v>
      </c>
    </row>
    <row r="689" spans="76:77" x14ac:dyDescent="0.2">
      <c r="BX689" s="214" t="e">
        <f t="shared" si="36"/>
        <v>#DIV/0!</v>
      </c>
      <c r="BY689" s="215">
        <f t="shared" si="37"/>
        <v>0</v>
      </c>
    </row>
    <row r="690" spans="76:77" x14ac:dyDescent="0.2">
      <c r="BX690" s="214" t="e">
        <f t="shared" si="36"/>
        <v>#DIV/0!</v>
      </c>
      <c r="BY690" s="215">
        <f t="shared" si="37"/>
        <v>0</v>
      </c>
    </row>
    <row r="691" spans="76:77" x14ac:dyDescent="0.2">
      <c r="BX691" s="214" t="e">
        <f t="shared" si="36"/>
        <v>#DIV/0!</v>
      </c>
      <c r="BY691" s="215">
        <f t="shared" si="37"/>
        <v>0</v>
      </c>
    </row>
    <row r="692" spans="76:77" x14ac:dyDescent="0.2">
      <c r="BX692" s="214" t="e">
        <f t="shared" si="36"/>
        <v>#DIV/0!</v>
      </c>
      <c r="BY692" s="215">
        <f t="shared" si="37"/>
        <v>0</v>
      </c>
    </row>
    <row r="693" spans="76:77" x14ac:dyDescent="0.2">
      <c r="BX693" s="214" t="e">
        <f t="shared" si="36"/>
        <v>#DIV/0!</v>
      </c>
      <c r="BY693" s="215">
        <f t="shared" si="37"/>
        <v>0</v>
      </c>
    </row>
    <row r="694" spans="76:77" x14ac:dyDescent="0.2">
      <c r="BX694" s="214" t="e">
        <f t="shared" si="36"/>
        <v>#DIV/0!</v>
      </c>
      <c r="BY694" s="215">
        <f t="shared" si="37"/>
        <v>0</v>
      </c>
    </row>
    <row r="695" spans="76:77" x14ac:dyDescent="0.2">
      <c r="BX695" s="214" t="e">
        <f t="shared" si="36"/>
        <v>#DIV/0!</v>
      </c>
      <c r="BY695" s="215">
        <f t="shared" si="37"/>
        <v>0</v>
      </c>
    </row>
    <row r="696" spans="76:77" x14ac:dyDescent="0.2">
      <c r="BX696" s="214" t="e">
        <f t="shared" si="36"/>
        <v>#DIV/0!</v>
      </c>
      <c r="BY696" s="215">
        <f t="shared" si="37"/>
        <v>0</v>
      </c>
    </row>
    <row r="697" spans="76:77" x14ac:dyDescent="0.2">
      <c r="BX697" s="214" t="e">
        <f t="shared" si="36"/>
        <v>#DIV/0!</v>
      </c>
      <c r="BY697" s="215">
        <f t="shared" si="37"/>
        <v>0</v>
      </c>
    </row>
    <row r="698" spans="76:77" x14ac:dyDescent="0.2">
      <c r="BX698" s="214" t="e">
        <f t="shared" si="36"/>
        <v>#DIV/0!</v>
      </c>
      <c r="BY698" s="215">
        <f t="shared" si="37"/>
        <v>0</v>
      </c>
    </row>
    <row r="699" spans="76:77" x14ac:dyDescent="0.2">
      <c r="BX699" s="214" t="e">
        <f t="shared" si="36"/>
        <v>#DIV/0!</v>
      </c>
      <c r="BY699" s="215">
        <f t="shared" si="37"/>
        <v>0</v>
      </c>
    </row>
    <row r="700" spans="76:77" x14ac:dyDescent="0.2">
      <c r="BX700" s="214" t="e">
        <f t="shared" si="36"/>
        <v>#DIV/0!</v>
      </c>
      <c r="BY700" s="215">
        <f t="shared" si="37"/>
        <v>0</v>
      </c>
    </row>
    <row r="701" spans="76:77" x14ac:dyDescent="0.2">
      <c r="BX701" s="214" t="e">
        <f t="shared" si="36"/>
        <v>#DIV/0!</v>
      </c>
      <c r="BY701" s="215">
        <f t="shared" si="37"/>
        <v>0</v>
      </c>
    </row>
    <row r="702" spans="76:77" x14ac:dyDescent="0.2">
      <c r="BX702" s="214" t="e">
        <f t="shared" si="36"/>
        <v>#DIV/0!</v>
      </c>
      <c r="BY702" s="215">
        <f t="shared" si="37"/>
        <v>0</v>
      </c>
    </row>
    <row r="703" spans="76:77" x14ac:dyDescent="0.2">
      <c r="BX703" s="214" t="e">
        <f t="shared" si="36"/>
        <v>#DIV/0!</v>
      </c>
      <c r="BY703" s="215">
        <f t="shared" si="37"/>
        <v>0</v>
      </c>
    </row>
    <row r="704" spans="76:77" x14ac:dyDescent="0.2">
      <c r="BX704" s="214" t="e">
        <f t="shared" si="36"/>
        <v>#DIV/0!</v>
      </c>
      <c r="BY704" s="215">
        <f t="shared" si="37"/>
        <v>0</v>
      </c>
    </row>
    <row r="705" spans="76:77" x14ac:dyDescent="0.2">
      <c r="BX705" s="214" t="e">
        <f t="shared" si="36"/>
        <v>#DIV/0!</v>
      </c>
      <c r="BY705" s="215">
        <f t="shared" si="37"/>
        <v>0</v>
      </c>
    </row>
    <row r="706" spans="76:77" x14ac:dyDescent="0.2">
      <c r="BX706" s="214" t="e">
        <f t="shared" si="36"/>
        <v>#DIV/0!</v>
      </c>
      <c r="BY706" s="215">
        <f t="shared" si="37"/>
        <v>0</v>
      </c>
    </row>
    <row r="707" spans="76:77" x14ac:dyDescent="0.2">
      <c r="BX707" s="214" t="e">
        <f t="shared" si="36"/>
        <v>#DIV/0!</v>
      </c>
      <c r="BY707" s="215">
        <f t="shared" si="37"/>
        <v>0</v>
      </c>
    </row>
    <row r="708" spans="76:77" x14ac:dyDescent="0.2">
      <c r="BX708" s="214" t="e">
        <f t="shared" si="36"/>
        <v>#DIV/0!</v>
      </c>
      <c r="BY708" s="215">
        <f t="shared" si="37"/>
        <v>0</v>
      </c>
    </row>
    <row r="709" spans="76:77" x14ac:dyDescent="0.2">
      <c r="BX709" s="214" t="e">
        <f t="shared" si="36"/>
        <v>#DIV/0!</v>
      </c>
      <c r="BY709" s="215">
        <f t="shared" si="37"/>
        <v>0</v>
      </c>
    </row>
    <row r="710" spans="76:77" x14ac:dyDescent="0.2">
      <c r="BX710" s="214" t="e">
        <f t="shared" si="36"/>
        <v>#DIV/0!</v>
      </c>
      <c r="BY710" s="215">
        <f t="shared" si="37"/>
        <v>0</v>
      </c>
    </row>
    <row r="711" spans="76:77" x14ac:dyDescent="0.2">
      <c r="BX711" s="214" t="e">
        <f t="shared" si="36"/>
        <v>#DIV/0!</v>
      </c>
      <c r="BY711" s="215">
        <f t="shared" si="37"/>
        <v>0</v>
      </c>
    </row>
    <row r="712" spans="76:77" x14ac:dyDescent="0.2">
      <c r="BX712" s="214" t="e">
        <f t="shared" si="36"/>
        <v>#DIV/0!</v>
      </c>
      <c r="BY712" s="215">
        <f t="shared" si="37"/>
        <v>0</v>
      </c>
    </row>
    <row r="713" spans="76:77" x14ac:dyDescent="0.2">
      <c r="BX713" s="214" t="e">
        <f t="shared" si="36"/>
        <v>#DIV/0!</v>
      </c>
      <c r="BY713" s="215">
        <f t="shared" si="37"/>
        <v>0</v>
      </c>
    </row>
    <row r="714" spans="76:77" x14ac:dyDescent="0.2">
      <c r="BX714" s="214" t="e">
        <f t="shared" si="36"/>
        <v>#DIV/0!</v>
      </c>
      <c r="BY714" s="215">
        <f t="shared" si="37"/>
        <v>0</v>
      </c>
    </row>
    <row r="715" spans="76:77" x14ac:dyDescent="0.2">
      <c r="BX715" s="214" t="e">
        <f t="shared" si="36"/>
        <v>#DIV/0!</v>
      </c>
      <c r="BY715" s="215">
        <f t="shared" si="37"/>
        <v>0</v>
      </c>
    </row>
    <row r="716" spans="76:77" x14ac:dyDescent="0.2">
      <c r="BX716" s="214" t="e">
        <f t="shared" si="36"/>
        <v>#DIV/0!</v>
      </c>
      <c r="BY716" s="215">
        <f t="shared" si="37"/>
        <v>0</v>
      </c>
    </row>
    <row r="717" spans="76:77" x14ac:dyDescent="0.2">
      <c r="BX717" s="214" t="e">
        <f t="shared" ref="BX717:BX780" si="38">BY717/BV717</f>
        <v>#DIV/0!</v>
      </c>
      <c r="BY717" s="215">
        <f t="shared" si="37"/>
        <v>0</v>
      </c>
    </row>
    <row r="718" spans="76:77" x14ac:dyDescent="0.2">
      <c r="BX718" s="214" t="e">
        <f t="shared" si="38"/>
        <v>#DIV/0!</v>
      </c>
      <c r="BY718" s="215">
        <f t="shared" ref="BY718:BY781" si="39">BY717+BW718*(BV718-BV717)</f>
        <v>0</v>
      </c>
    </row>
    <row r="719" spans="76:77" x14ac:dyDescent="0.2">
      <c r="BX719" s="214" t="e">
        <f t="shared" si="38"/>
        <v>#DIV/0!</v>
      </c>
      <c r="BY719" s="215">
        <f t="shared" si="39"/>
        <v>0</v>
      </c>
    </row>
    <row r="720" spans="76:77" x14ac:dyDescent="0.2">
      <c r="BX720" s="214" t="e">
        <f t="shared" si="38"/>
        <v>#DIV/0!</v>
      </c>
      <c r="BY720" s="215">
        <f t="shared" si="39"/>
        <v>0</v>
      </c>
    </row>
    <row r="721" spans="76:77" x14ac:dyDescent="0.2">
      <c r="BX721" s="214" t="e">
        <f t="shared" si="38"/>
        <v>#DIV/0!</v>
      </c>
      <c r="BY721" s="215">
        <f t="shared" si="39"/>
        <v>0</v>
      </c>
    </row>
    <row r="722" spans="76:77" x14ac:dyDescent="0.2">
      <c r="BX722" s="214" t="e">
        <f t="shared" si="38"/>
        <v>#DIV/0!</v>
      </c>
      <c r="BY722" s="215">
        <f t="shared" si="39"/>
        <v>0</v>
      </c>
    </row>
    <row r="723" spans="76:77" x14ac:dyDescent="0.2">
      <c r="BX723" s="214" t="e">
        <f t="shared" si="38"/>
        <v>#DIV/0!</v>
      </c>
      <c r="BY723" s="215">
        <f t="shared" si="39"/>
        <v>0</v>
      </c>
    </row>
    <row r="724" spans="76:77" x14ac:dyDescent="0.2">
      <c r="BX724" s="214" t="e">
        <f t="shared" si="38"/>
        <v>#DIV/0!</v>
      </c>
      <c r="BY724" s="215">
        <f t="shared" si="39"/>
        <v>0</v>
      </c>
    </row>
    <row r="725" spans="76:77" x14ac:dyDescent="0.2">
      <c r="BX725" s="214" t="e">
        <f t="shared" si="38"/>
        <v>#DIV/0!</v>
      </c>
      <c r="BY725" s="215">
        <f t="shared" si="39"/>
        <v>0</v>
      </c>
    </row>
    <row r="726" spans="76:77" x14ac:dyDescent="0.2">
      <c r="BX726" s="214" t="e">
        <f t="shared" si="38"/>
        <v>#DIV/0!</v>
      </c>
      <c r="BY726" s="215">
        <f t="shared" si="39"/>
        <v>0</v>
      </c>
    </row>
    <row r="727" spans="76:77" x14ac:dyDescent="0.2">
      <c r="BX727" s="214" t="e">
        <f t="shared" si="38"/>
        <v>#DIV/0!</v>
      </c>
      <c r="BY727" s="215">
        <f t="shared" si="39"/>
        <v>0</v>
      </c>
    </row>
    <row r="728" spans="76:77" x14ac:dyDescent="0.2">
      <c r="BX728" s="214" t="e">
        <f t="shared" si="38"/>
        <v>#DIV/0!</v>
      </c>
      <c r="BY728" s="215">
        <f t="shared" si="39"/>
        <v>0</v>
      </c>
    </row>
    <row r="729" spans="76:77" x14ac:dyDescent="0.2">
      <c r="BX729" s="214" t="e">
        <f t="shared" si="38"/>
        <v>#DIV/0!</v>
      </c>
      <c r="BY729" s="215">
        <f t="shared" si="39"/>
        <v>0</v>
      </c>
    </row>
    <row r="730" spans="76:77" x14ac:dyDescent="0.2">
      <c r="BX730" s="214" t="e">
        <f t="shared" si="38"/>
        <v>#DIV/0!</v>
      </c>
      <c r="BY730" s="215">
        <f t="shared" si="39"/>
        <v>0</v>
      </c>
    </row>
    <row r="731" spans="76:77" x14ac:dyDescent="0.2">
      <c r="BX731" s="214" t="e">
        <f t="shared" si="38"/>
        <v>#DIV/0!</v>
      </c>
      <c r="BY731" s="215">
        <f t="shared" si="39"/>
        <v>0</v>
      </c>
    </row>
    <row r="732" spans="76:77" x14ac:dyDescent="0.2">
      <c r="BX732" s="214" t="e">
        <f t="shared" si="38"/>
        <v>#DIV/0!</v>
      </c>
      <c r="BY732" s="215">
        <f t="shared" si="39"/>
        <v>0</v>
      </c>
    </row>
    <row r="733" spans="76:77" x14ac:dyDescent="0.2">
      <c r="BX733" s="214" t="e">
        <f t="shared" si="38"/>
        <v>#DIV/0!</v>
      </c>
      <c r="BY733" s="215">
        <f t="shared" si="39"/>
        <v>0</v>
      </c>
    </row>
    <row r="734" spans="76:77" x14ac:dyDescent="0.2">
      <c r="BX734" s="214" t="e">
        <f t="shared" si="38"/>
        <v>#DIV/0!</v>
      </c>
      <c r="BY734" s="215">
        <f t="shared" si="39"/>
        <v>0</v>
      </c>
    </row>
    <row r="735" spans="76:77" x14ac:dyDescent="0.2">
      <c r="BX735" s="214" t="e">
        <f t="shared" si="38"/>
        <v>#DIV/0!</v>
      </c>
      <c r="BY735" s="215">
        <f t="shared" si="39"/>
        <v>0</v>
      </c>
    </row>
    <row r="736" spans="76:77" x14ac:dyDescent="0.2">
      <c r="BX736" s="214" t="e">
        <f t="shared" si="38"/>
        <v>#DIV/0!</v>
      </c>
      <c r="BY736" s="215">
        <f t="shared" si="39"/>
        <v>0</v>
      </c>
    </row>
    <row r="737" spans="76:77" x14ac:dyDescent="0.2">
      <c r="BX737" s="214" t="e">
        <f t="shared" si="38"/>
        <v>#DIV/0!</v>
      </c>
      <c r="BY737" s="215">
        <f t="shared" si="39"/>
        <v>0</v>
      </c>
    </row>
    <row r="738" spans="76:77" x14ac:dyDescent="0.2">
      <c r="BX738" s="214" t="e">
        <f t="shared" si="38"/>
        <v>#DIV/0!</v>
      </c>
      <c r="BY738" s="215">
        <f t="shared" si="39"/>
        <v>0</v>
      </c>
    </row>
    <row r="739" spans="76:77" x14ac:dyDescent="0.2">
      <c r="BX739" s="214" t="e">
        <f t="shared" si="38"/>
        <v>#DIV/0!</v>
      </c>
      <c r="BY739" s="215">
        <f t="shared" si="39"/>
        <v>0</v>
      </c>
    </row>
    <row r="740" spans="76:77" x14ac:dyDescent="0.2">
      <c r="BX740" s="214" t="e">
        <f t="shared" si="38"/>
        <v>#DIV/0!</v>
      </c>
      <c r="BY740" s="215">
        <f t="shared" si="39"/>
        <v>0</v>
      </c>
    </row>
    <row r="741" spans="76:77" x14ac:dyDescent="0.2">
      <c r="BX741" s="214" t="e">
        <f t="shared" si="38"/>
        <v>#DIV/0!</v>
      </c>
      <c r="BY741" s="215">
        <f t="shared" si="39"/>
        <v>0</v>
      </c>
    </row>
    <row r="742" spans="76:77" x14ac:dyDescent="0.2">
      <c r="BX742" s="214" t="e">
        <f t="shared" si="38"/>
        <v>#DIV/0!</v>
      </c>
      <c r="BY742" s="215">
        <f t="shared" si="39"/>
        <v>0</v>
      </c>
    </row>
    <row r="743" spans="76:77" x14ac:dyDescent="0.2">
      <c r="BX743" s="214" t="e">
        <f t="shared" si="38"/>
        <v>#DIV/0!</v>
      </c>
      <c r="BY743" s="215">
        <f t="shared" si="39"/>
        <v>0</v>
      </c>
    </row>
    <row r="744" spans="76:77" x14ac:dyDescent="0.2">
      <c r="BX744" s="214" t="e">
        <f t="shared" si="38"/>
        <v>#DIV/0!</v>
      </c>
      <c r="BY744" s="215">
        <f t="shared" si="39"/>
        <v>0</v>
      </c>
    </row>
    <row r="745" spans="76:77" x14ac:dyDescent="0.2">
      <c r="BX745" s="214" t="e">
        <f t="shared" si="38"/>
        <v>#DIV/0!</v>
      </c>
      <c r="BY745" s="215">
        <f t="shared" si="39"/>
        <v>0</v>
      </c>
    </row>
    <row r="746" spans="76:77" x14ac:dyDescent="0.2">
      <c r="BX746" s="214" t="e">
        <f t="shared" si="38"/>
        <v>#DIV/0!</v>
      </c>
      <c r="BY746" s="215">
        <f t="shared" si="39"/>
        <v>0</v>
      </c>
    </row>
    <row r="747" spans="76:77" x14ac:dyDescent="0.2">
      <c r="BX747" s="214" t="e">
        <f t="shared" si="38"/>
        <v>#DIV/0!</v>
      </c>
      <c r="BY747" s="215">
        <f t="shared" si="39"/>
        <v>0</v>
      </c>
    </row>
    <row r="748" spans="76:77" x14ac:dyDescent="0.2">
      <c r="BX748" s="214" t="e">
        <f t="shared" si="38"/>
        <v>#DIV/0!</v>
      </c>
      <c r="BY748" s="215">
        <f t="shared" si="39"/>
        <v>0</v>
      </c>
    </row>
    <row r="749" spans="76:77" x14ac:dyDescent="0.2">
      <c r="BX749" s="214" t="e">
        <f t="shared" si="38"/>
        <v>#DIV/0!</v>
      </c>
      <c r="BY749" s="215">
        <f t="shared" si="39"/>
        <v>0</v>
      </c>
    </row>
    <row r="750" spans="76:77" x14ac:dyDescent="0.2">
      <c r="BX750" s="214" t="e">
        <f t="shared" si="38"/>
        <v>#DIV/0!</v>
      </c>
      <c r="BY750" s="215">
        <f t="shared" si="39"/>
        <v>0</v>
      </c>
    </row>
    <row r="751" spans="76:77" x14ac:dyDescent="0.2">
      <c r="BX751" s="214" t="e">
        <f t="shared" si="38"/>
        <v>#DIV/0!</v>
      </c>
      <c r="BY751" s="215">
        <f t="shared" si="39"/>
        <v>0</v>
      </c>
    </row>
    <row r="752" spans="76:77" x14ac:dyDescent="0.2">
      <c r="BX752" s="214" t="e">
        <f t="shared" si="38"/>
        <v>#DIV/0!</v>
      </c>
      <c r="BY752" s="215">
        <f t="shared" si="39"/>
        <v>0</v>
      </c>
    </row>
    <row r="753" spans="76:77" x14ac:dyDescent="0.2">
      <c r="BX753" s="214" t="e">
        <f t="shared" si="38"/>
        <v>#DIV/0!</v>
      </c>
      <c r="BY753" s="215">
        <f t="shared" si="39"/>
        <v>0</v>
      </c>
    </row>
    <row r="754" spans="76:77" x14ac:dyDescent="0.2">
      <c r="BX754" s="214" t="e">
        <f t="shared" si="38"/>
        <v>#DIV/0!</v>
      </c>
      <c r="BY754" s="215">
        <f t="shared" si="39"/>
        <v>0</v>
      </c>
    </row>
    <row r="755" spans="76:77" x14ac:dyDescent="0.2">
      <c r="BX755" s="214" t="e">
        <f t="shared" si="38"/>
        <v>#DIV/0!</v>
      </c>
      <c r="BY755" s="215">
        <f t="shared" si="39"/>
        <v>0</v>
      </c>
    </row>
    <row r="756" spans="76:77" x14ac:dyDescent="0.2">
      <c r="BX756" s="214" t="e">
        <f t="shared" si="38"/>
        <v>#DIV/0!</v>
      </c>
      <c r="BY756" s="215">
        <f t="shared" si="39"/>
        <v>0</v>
      </c>
    </row>
    <row r="757" spans="76:77" x14ac:dyDescent="0.2">
      <c r="BX757" s="214" t="e">
        <f t="shared" si="38"/>
        <v>#DIV/0!</v>
      </c>
      <c r="BY757" s="215">
        <f t="shared" si="39"/>
        <v>0</v>
      </c>
    </row>
    <row r="758" spans="76:77" x14ac:dyDescent="0.2">
      <c r="BX758" s="214" t="e">
        <f t="shared" si="38"/>
        <v>#DIV/0!</v>
      </c>
      <c r="BY758" s="215">
        <f t="shared" si="39"/>
        <v>0</v>
      </c>
    </row>
    <row r="759" spans="76:77" x14ac:dyDescent="0.2">
      <c r="BX759" s="214" t="e">
        <f t="shared" si="38"/>
        <v>#DIV/0!</v>
      </c>
      <c r="BY759" s="215">
        <f t="shared" si="39"/>
        <v>0</v>
      </c>
    </row>
    <row r="760" spans="76:77" x14ac:dyDescent="0.2">
      <c r="BX760" s="214" t="e">
        <f t="shared" si="38"/>
        <v>#DIV/0!</v>
      </c>
      <c r="BY760" s="215">
        <f t="shared" si="39"/>
        <v>0</v>
      </c>
    </row>
    <row r="761" spans="76:77" x14ac:dyDescent="0.2">
      <c r="BX761" s="214" t="e">
        <f t="shared" si="38"/>
        <v>#DIV/0!</v>
      </c>
      <c r="BY761" s="215">
        <f t="shared" si="39"/>
        <v>0</v>
      </c>
    </row>
    <row r="762" spans="76:77" x14ac:dyDescent="0.2">
      <c r="BX762" s="214" t="e">
        <f t="shared" si="38"/>
        <v>#DIV/0!</v>
      </c>
      <c r="BY762" s="215">
        <f t="shared" si="39"/>
        <v>0</v>
      </c>
    </row>
    <row r="763" spans="76:77" x14ac:dyDescent="0.2">
      <c r="BX763" s="214" t="e">
        <f t="shared" si="38"/>
        <v>#DIV/0!</v>
      </c>
      <c r="BY763" s="215">
        <f t="shared" si="39"/>
        <v>0</v>
      </c>
    </row>
    <row r="764" spans="76:77" x14ac:dyDescent="0.2">
      <c r="BX764" s="214" t="e">
        <f t="shared" si="38"/>
        <v>#DIV/0!</v>
      </c>
      <c r="BY764" s="215">
        <f t="shared" si="39"/>
        <v>0</v>
      </c>
    </row>
    <row r="765" spans="76:77" x14ac:dyDescent="0.2">
      <c r="BX765" s="214" t="e">
        <f t="shared" si="38"/>
        <v>#DIV/0!</v>
      </c>
      <c r="BY765" s="215">
        <f t="shared" si="39"/>
        <v>0</v>
      </c>
    </row>
    <row r="766" spans="76:77" x14ac:dyDescent="0.2">
      <c r="BX766" s="214" t="e">
        <f t="shared" si="38"/>
        <v>#DIV/0!</v>
      </c>
      <c r="BY766" s="215">
        <f t="shared" si="39"/>
        <v>0</v>
      </c>
    </row>
    <row r="767" spans="76:77" x14ac:dyDescent="0.2">
      <c r="BX767" s="214" t="e">
        <f t="shared" si="38"/>
        <v>#DIV/0!</v>
      </c>
      <c r="BY767" s="215">
        <f t="shared" si="39"/>
        <v>0</v>
      </c>
    </row>
    <row r="768" spans="76:77" x14ac:dyDescent="0.2">
      <c r="BX768" s="214" t="e">
        <f t="shared" si="38"/>
        <v>#DIV/0!</v>
      </c>
      <c r="BY768" s="215">
        <f t="shared" si="39"/>
        <v>0</v>
      </c>
    </row>
    <row r="769" spans="76:77" x14ac:dyDescent="0.2">
      <c r="BX769" s="214" t="e">
        <f t="shared" si="38"/>
        <v>#DIV/0!</v>
      </c>
      <c r="BY769" s="215">
        <f t="shared" si="39"/>
        <v>0</v>
      </c>
    </row>
    <row r="770" spans="76:77" x14ac:dyDescent="0.2">
      <c r="BX770" s="214" t="e">
        <f t="shared" si="38"/>
        <v>#DIV/0!</v>
      </c>
      <c r="BY770" s="215">
        <f t="shared" si="39"/>
        <v>0</v>
      </c>
    </row>
    <row r="771" spans="76:77" x14ac:dyDescent="0.2">
      <c r="BX771" s="214" t="e">
        <f t="shared" si="38"/>
        <v>#DIV/0!</v>
      </c>
      <c r="BY771" s="215">
        <f t="shared" si="39"/>
        <v>0</v>
      </c>
    </row>
    <row r="772" spans="76:77" x14ac:dyDescent="0.2">
      <c r="BX772" s="214" t="e">
        <f t="shared" si="38"/>
        <v>#DIV/0!</v>
      </c>
      <c r="BY772" s="215">
        <f t="shared" si="39"/>
        <v>0</v>
      </c>
    </row>
    <row r="773" spans="76:77" x14ac:dyDescent="0.2">
      <c r="BX773" s="214" t="e">
        <f t="shared" si="38"/>
        <v>#DIV/0!</v>
      </c>
      <c r="BY773" s="215">
        <f t="shared" si="39"/>
        <v>0</v>
      </c>
    </row>
    <row r="774" spans="76:77" x14ac:dyDescent="0.2">
      <c r="BX774" s="214" t="e">
        <f t="shared" si="38"/>
        <v>#DIV/0!</v>
      </c>
      <c r="BY774" s="215">
        <f t="shared" si="39"/>
        <v>0</v>
      </c>
    </row>
    <row r="775" spans="76:77" x14ac:dyDescent="0.2">
      <c r="BX775" s="214" t="e">
        <f t="shared" si="38"/>
        <v>#DIV/0!</v>
      </c>
      <c r="BY775" s="215">
        <f t="shared" si="39"/>
        <v>0</v>
      </c>
    </row>
    <row r="776" spans="76:77" x14ac:dyDescent="0.2">
      <c r="BX776" s="214" t="e">
        <f t="shared" si="38"/>
        <v>#DIV/0!</v>
      </c>
      <c r="BY776" s="215">
        <f t="shared" si="39"/>
        <v>0</v>
      </c>
    </row>
    <row r="777" spans="76:77" x14ac:dyDescent="0.2">
      <c r="BX777" s="214" t="e">
        <f t="shared" si="38"/>
        <v>#DIV/0!</v>
      </c>
      <c r="BY777" s="215">
        <f t="shared" si="39"/>
        <v>0</v>
      </c>
    </row>
    <row r="778" spans="76:77" x14ac:dyDescent="0.2">
      <c r="BX778" s="214" t="e">
        <f t="shared" si="38"/>
        <v>#DIV/0!</v>
      </c>
      <c r="BY778" s="215">
        <f t="shared" si="39"/>
        <v>0</v>
      </c>
    </row>
    <row r="779" spans="76:77" x14ac:dyDescent="0.2">
      <c r="BX779" s="214" t="e">
        <f t="shared" si="38"/>
        <v>#DIV/0!</v>
      </c>
      <c r="BY779" s="215">
        <f t="shared" si="39"/>
        <v>0</v>
      </c>
    </row>
    <row r="780" spans="76:77" x14ac:dyDescent="0.2">
      <c r="BX780" s="214" t="e">
        <f t="shared" si="38"/>
        <v>#DIV/0!</v>
      </c>
      <c r="BY780" s="215">
        <f t="shared" si="39"/>
        <v>0</v>
      </c>
    </row>
    <row r="781" spans="76:77" x14ac:dyDescent="0.2">
      <c r="BX781" s="214" t="e">
        <f t="shared" ref="BX781:BX844" si="40">BY781/BV781</f>
        <v>#DIV/0!</v>
      </c>
      <c r="BY781" s="215">
        <f t="shared" si="39"/>
        <v>0</v>
      </c>
    </row>
    <row r="782" spans="76:77" x14ac:dyDescent="0.2">
      <c r="BX782" s="214" t="e">
        <f t="shared" si="40"/>
        <v>#DIV/0!</v>
      </c>
      <c r="BY782" s="215">
        <f t="shared" ref="BY782:BY845" si="41">BY781+BW782*(BV782-BV781)</f>
        <v>0</v>
      </c>
    </row>
    <row r="783" spans="76:77" x14ac:dyDescent="0.2">
      <c r="BX783" s="214" t="e">
        <f t="shared" si="40"/>
        <v>#DIV/0!</v>
      </c>
      <c r="BY783" s="215">
        <f t="shared" si="41"/>
        <v>0</v>
      </c>
    </row>
    <row r="784" spans="76:77" x14ac:dyDescent="0.2">
      <c r="BX784" s="214" t="e">
        <f t="shared" si="40"/>
        <v>#DIV/0!</v>
      </c>
      <c r="BY784" s="215">
        <f t="shared" si="41"/>
        <v>0</v>
      </c>
    </row>
    <row r="785" spans="76:77" x14ac:dyDescent="0.2">
      <c r="BX785" s="214" t="e">
        <f t="shared" si="40"/>
        <v>#DIV/0!</v>
      </c>
      <c r="BY785" s="215">
        <f t="shared" si="41"/>
        <v>0</v>
      </c>
    </row>
    <row r="786" spans="76:77" x14ac:dyDescent="0.2">
      <c r="BX786" s="214" t="e">
        <f t="shared" si="40"/>
        <v>#DIV/0!</v>
      </c>
      <c r="BY786" s="215">
        <f t="shared" si="41"/>
        <v>0</v>
      </c>
    </row>
    <row r="787" spans="76:77" x14ac:dyDescent="0.2">
      <c r="BX787" s="214" t="e">
        <f t="shared" si="40"/>
        <v>#DIV/0!</v>
      </c>
      <c r="BY787" s="215">
        <f t="shared" si="41"/>
        <v>0</v>
      </c>
    </row>
    <row r="788" spans="76:77" x14ac:dyDescent="0.2">
      <c r="BX788" s="214" t="e">
        <f t="shared" si="40"/>
        <v>#DIV/0!</v>
      </c>
      <c r="BY788" s="215">
        <f t="shared" si="41"/>
        <v>0</v>
      </c>
    </row>
    <row r="789" spans="76:77" x14ac:dyDescent="0.2">
      <c r="BX789" s="214" t="e">
        <f t="shared" si="40"/>
        <v>#DIV/0!</v>
      </c>
      <c r="BY789" s="215">
        <f t="shared" si="41"/>
        <v>0</v>
      </c>
    </row>
    <row r="790" spans="76:77" x14ac:dyDescent="0.2">
      <c r="BX790" s="214" t="e">
        <f t="shared" si="40"/>
        <v>#DIV/0!</v>
      </c>
      <c r="BY790" s="215">
        <f t="shared" si="41"/>
        <v>0</v>
      </c>
    </row>
    <row r="791" spans="76:77" x14ac:dyDescent="0.2">
      <c r="BX791" s="214" t="e">
        <f t="shared" si="40"/>
        <v>#DIV/0!</v>
      </c>
      <c r="BY791" s="215">
        <f t="shared" si="41"/>
        <v>0</v>
      </c>
    </row>
    <row r="792" spans="76:77" x14ac:dyDescent="0.2">
      <c r="BX792" s="214" t="e">
        <f t="shared" si="40"/>
        <v>#DIV/0!</v>
      </c>
      <c r="BY792" s="215">
        <f t="shared" si="41"/>
        <v>0</v>
      </c>
    </row>
    <row r="793" spans="76:77" x14ac:dyDescent="0.2">
      <c r="BX793" s="214" t="e">
        <f t="shared" si="40"/>
        <v>#DIV/0!</v>
      </c>
      <c r="BY793" s="215">
        <f t="shared" si="41"/>
        <v>0</v>
      </c>
    </row>
    <row r="794" spans="76:77" x14ac:dyDescent="0.2">
      <c r="BX794" s="214" t="e">
        <f t="shared" si="40"/>
        <v>#DIV/0!</v>
      </c>
      <c r="BY794" s="215">
        <f t="shared" si="41"/>
        <v>0</v>
      </c>
    </row>
    <row r="795" spans="76:77" x14ac:dyDescent="0.2">
      <c r="BX795" s="214" t="e">
        <f t="shared" si="40"/>
        <v>#DIV/0!</v>
      </c>
      <c r="BY795" s="215">
        <f t="shared" si="41"/>
        <v>0</v>
      </c>
    </row>
    <row r="796" spans="76:77" x14ac:dyDescent="0.2">
      <c r="BX796" s="214" t="e">
        <f t="shared" si="40"/>
        <v>#DIV/0!</v>
      </c>
      <c r="BY796" s="215">
        <f t="shared" si="41"/>
        <v>0</v>
      </c>
    </row>
    <row r="797" spans="76:77" x14ac:dyDescent="0.2">
      <c r="BX797" s="214" t="e">
        <f t="shared" si="40"/>
        <v>#DIV/0!</v>
      </c>
      <c r="BY797" s="215">
        <f t="shared" si="41"/>
        <v>0</v>
      </c>
    </row>
    <row r="798" spans="76:77" x14ac:dyDescent="0.2">
      <c r="BX798" s="214" t="e">
        <f t="shared" si="40"/>
        <v>#DIV/0!</v>
      </c>
      <c r="BY798" s="215">
        <f t="shared" si="41"/>
        <v>0</v>
      </c>
    </row>
    <row r="799" spans="76:77" x14ac:dyDescent="0.2">
      <c r="BX799" s="214" t="e">
        <f t="shared" si="40"/>
        <v>#DIV/0!</v>
      </c>
      <c r="BY799" s="215">
        <f t="shared" si="41"/>
        <v>0</v>
      </c>
    </row>
    <row r="800" spans="76:77" x14ac:dyDescent="0.2">
      <c r="BX800" s="214" t="e">
        <f t="shared" si="40"/>
        <v>#DIV/0!</v>
      </c>
      <c r="BY800" s="215">
        <f t="shared" si="41"/>
        <v>0</v>
      </c>
    </row>
    <row r="801" spans="76:77" x14ac:dyDescent="0.2">
      <c r="BX801" s="214" t="e">
        <f t="shared" si="40"/>
        <v>#DIV/0!</v>
      </c>
      <c r="BY801" s="215">
        <f t="shared" si="41"/>
        <v>0</v>
      </c>
    </row>
    <row r="802" spans="76:77" x14ac:dyDescent="0.2">
      <c r="BX802" s="214" t="e">
        <f t="shared" si="40"/>
        <v>#DIV/0!</v>
      </c>
      <c r="BY802" s="215">
        <f t="shared" si="41"/>
        <v>0</v>
      </c>
    </row>
    <row r="803" spans="76:77" x14ac:dyDescent="0.2">
      <c r="BX803" s="214" t="e">
        <f t="shared" si="40"/>
        <v>#DIV/0!</v>
      </c>
      <c r="BY803" s="215">
        <f t="shared" si="41"/>
        <v>0</v>
      </c>
    </row>
    <row r="804" spans="76:77" x14ac:dyDescent="0.2">
      <c r="BX804" s="214" t="e">
        <f t="shared" si="40"/>
        <v>#DIV/0!</v>
      </c>
      <c r="BY804" s="215">
        <f t="shared" si="41"/>
        <v>0</v>
      </c>
    </row>
    <row r="805" spans="76:77" x14ac:dyDescent="0.2">
      <c r="BX805" s="214" t="e">
        <f t="shared" si="40"/>
        <v>#DIV/0!</v>
      </c>
      <c r="BY805" s="215">
        <f t="shared" si="41"/>
        <v>0</v>
      </c>
    </row>
    <row r="806" spans="76:77" x14ac:dyDescent="0.2">
      <c r="BX806" s="214" t="e">
        <f t="shared" si="40"/>
        <v>#DIV/0!</v>
      </c>
      <c r="BY806" s="215">
        <f t="shared" si="41"/>
        <v>0</v>
      </c>
    </row>
    <row r="807" spans="76:77" x14ac:dyDescent="0.2">
      <c r="BX807" s="214" t="e">
        <f t="shared" si="40"/>
        <v>#DIV/0!</v>
      </c>
      <c r="BY807" s="215">
        <f t="shared" si="41"/>
        <v>0</v>
      </c>
    </row>
    <row r="808" spans="76:77" x14ac:dyDescent="0.2">
      <c r="BX808" s="214" t="e">
        <f t="shared" si="40"/>
        <v>#DIV/0!</v>
      </c>
      <c r="BY808" s="215">
        <f t="shared" si="41"/>
        <v>0</v>
      </c>
    </row>
    <row r="809" spans="76:77" x14ac:dyDescent="0.2">
      <c r="BX809" s="214" t="e">
        <f t="shared" si="40"/>
        <v>#DIV/0!</v>
      </c>
      <c r="BY809" s="215">
        <f t="shared" si="41"/>
        <v>0</v>
      </c>
    </row>
    <row r="810" spans="76:77" x14ac:dyDescent="0.2">
      <c r="BX810" s="214" t="e">
        <f t="shared" si="40"/>
        <v>#DIV/0!</v>
      </c>
      <c r="BY810" s="215">
        <f t="shared" si="41"/>
        <v>0</v>
      </c>
    </row>
    <row r="811" spans="76:77" x14ac:dyDescent="0.2">
      <c r="BX811" s="214" t="e">
        <f t="shared" si="40"/>
        <v>#DIV/0!</v>
      </c>
      <c r="BY811" s="215">
        <f t="shared" si="41"/>
        <v>0</v>
      </c>
    </row>
    <row r="812" spans="76:77" x14ac:dyDescent="0.2">
      <c r="BX812" s="214" t="e">
        <f t="shared" si="40"/>
        <v>#DIV/0!</v>
      </c>
      <c r="BY812" s="215">
        <f t="shared" si="41"/>
        <v>0</v>
      </c>
    </row>
    <row r="813" spans="76:77" x14ac:dyDescent="0.2">
      <c r="BX813" s="214" t="e">
        <f t="shared" si="40"/>
        <v>#DIV/0!</v>
      </c>
      <c r="BY813" s="215">
        <f t="shared" si="41"/>
        <v>0</v>
      </c>
    </row>
    <row r="814" spans="76:77" x14ac:dyDescent="0.2">
      <c r="BX814" s="214" t="e">
        <f t="shared" si="40"/>
        <v>#DIV/0!</v>
      </c>
      <c r="BY814" s="215">
        <f t="shared" si="41"/>
        <v>0</v>
      </c>
    </row>
    <row r="815" spans="76:77" x14ac:dyDescent="0.2">
      <c r="BX815" s="214" t="e">
        <f t="shared" si="40"/>
        <v>#DIV/0!</v>
      </c>
      <c r="BY815" s="215">
        <f t="shared" si="41"/>
        <v>0</v>
      </c>
    </row>
    <row r="816" spans="76:77" x14ac:dyDescent="0.2">
      <c r="BX816" s="214" t="e">
        <f t="shared" si="40"/>
        <v>#DIV/0!</v>
      </c>
      <c r="BY816" s="215">
        <f t="shared" si="41"/>
        <v>0</v>
      </c>
    </row>
    <row r="817" spans="76:77" x14ac:dyDescent="0.2">
      <c r="BX817" s="214" t="e">
        <f t="shared" si="40"/>
        <v>#DIV/0!</v>
      </c>
      <c r="BY817" s="215">
        <f t="shared" si="41"/>
        <v>0</v>
      </c>
    </row>
    <row r="818" spans="76:77" x14ac:dyDescent="0.2">
      <c r="BX818" s="214" t="e">
        <f t="shared" si="40"/>
        <v>#DIV/0!</v>
      </c>
      <c r="BY818" s="215">
        <f t="shared" si="41"/>
        <v>0</v>
      </c>
    </row>
    <row r="819" spans="76:77" x14ac:dyDescent="0.2">
      <c r="BX819" s="214" t="e">
        <f t="shared" si="40"/>
        <v>#DIV/0!</v>
      </c>
      <c r="BY819" s="215">
        <f t="shared" si="41"/>
        <v>0</v>
      </c>
    </row>
    <row r="820" spans="76:77" x14ac:dyDescent="0.2">
      <c r="BX820" s="214" t="e">
        <f t="shared" si="40"/>
        <v>#DIV/0!</v>
      </c>
      <c r="BY820" s="215">
        <f t="shared" si="41"/>
        <v>0</v>
      </c>
    </row>
    <row r="821" spans="76:77" x14ac:dyDescent="0.2">
      <c r="BX821" s="214" t="e">
        <f t="shared" si="40"/>
        <v>#DIV/0!</v>
      </c>
      <c r="BY821" s="215">
        <f t="shared" si="41"/>
        <v>0</v>
      </c>
    </row>
    <row r="822" spans="76:77" x14ac:dyDescent="0.2">
      <c r="BX822" s="214" t="e">
        <f t="shared" si="40"/>
        <v>#DIV/0!</v>
      </c>
      <c r="BY822" s="215">
        <f t="shared" si="41"/>
        <v>0</v>
      </c>
    </row>
    <row r="823" spans="76:77" x14ac:dyDescent="0.2">
      <c r="BX823" s="214" t="e">
        <f t="shared" si="40"/>
        <v>#DIV/0!</v>
      </c>
      <c r="BY823" s="215">
        <f t="shared" si="41"/>
        <v>0</v>
      </c>
    </row>
    <row r="824" spans="76:77" x14ac:dyDescent="0.2">
      <c r="BX824" s="214" t="e">
        <f t="shared" si="40"/>
        <v>#DIV/0!</v>
      </c>
      <c r="BY824" s="215">
        <f t="shared" si="41"/>
        <v>0</v>
      </c>
    </row>
    <row r="825" spans="76:77" x14ac:dyDescent="0.2">
      <c r="BX825" s="214" t="e">
        <f t="shared" si="40"/>
        <v>#DIV/0!</v>
      </c>
      <c r="BY825" s="215">
        <f t="shared" si="41"/>
        <v>0</v>
      </c>
    </row>
    <row r="826" spans="76:77" x14ac:dyDescent="0.2">
      <c r="BX826" s="214" t="e">
        <f t="shared" si="40"/>
        <v>#DIV/0!</v>
      </c>
      <c r="BY826" s="215">
        <f t="shared" si="41"/>
        <v>0</v>
      </c>
    </row>
    <row r="827" spans="76:77" x14ac:dyDescent="0.2">
      <c r="BX827" s="214" t="e">
        <f t="shared" si="40"/>
        <v>#DIV/0!</v>
      </c>
      <c r="BY827" s="215">
        <f t="shared" si="41"/>
        <v>0</v>
      </c>
    </row>
    <row r="828" spans="76:77" x14ac:dyDescent="0.2">
      <c r="BX828" s="214" t="e">
        <f t="shared" si="40"/>
        <v>#DIV/0!</v>
      </c>
      <c r="BY828" s="215">
        <f t="shared" si="41"/>
        <v>0</v>
      </c>
    </row>
    <row r="829" spans="76:77" x14ac:dyDescent="0.2">
      <c r="BX829" s="214" t="e">
        <f t="shared" si="40"/>
        <v>#DIV/0!</v>
      </c>
      <c r="BY829" s="215">
        <f t="shared" si="41"/>
        <v>0</v>
      </c>
    </row>
    <row r="830" spans="76:77" x14ac:dyDescent="0.2">
      <c r="BX830" s="214" t="e">
        <f t="shared" si="40"/>
        <v>#DIV/0!</v>
      </c>
      <c r="BY830" s="215">
        <f t="shared" si="41"/>
        <v>0</v>
      </c>
    </row>
    <row r="831" spans="76:77" x14ac:dyDescent="0.2">
      <c r="BX831" s="214" t="e">
        <f t="shared" si="40"/>
        <v>#DIV/0!</v>
      </c>
      <c r="BY831" s="215">
        <f t="shared" si="41"/>
        <v>0</v>
      </c>
    </row>
    <row r="832" spans="76:77" x14ac:dyDescent="0.2">
      <c r="BX832" s="214" t="e">
        <f t="shared" si="40"/>
        <v>#DIV/0!</v>
      </c>
      <c r="BY832" s="215">
        <f t="shared" si="41"/>
        <v>0</v>
      </c>
    </row>
    <row r="833" spans="76:77" x14ac:dyDescent="0.2">
      <c r="BX833" s="214" t="e">
        <f t="shared" si="40"/>
        <v>#DIV/0!</v>
      </c>
      <c r="BY833" s="215">
        <f t="shared" si="41"/>
        <v>0</v>
      </c>
    </row>
    <row r="834" spans="76:77" x14ac:dyDescent="0.2">
      <c r="BX834" s="214" t="e">
        <f t="shared" si="40"/>
        <v>#DIV/0!</v>
      </c>
      <c r="BY834" s="215">
        <f t="shared" si="41"/>
        <v>0</v>
      </c>
    </row>
    <row r="835" spans="76:77" x14ac:dyDescent="0.2">
      <c r="BX835" s="214" t="e">
        <f t="shared" si="40"/>
        <v>#DIV/0!</v>
      </c>
      <c r="BY835" s="215">
        <f t="shared" si="41"/>
        <v>0</v>
      </c>
    </row>
    <row r="836" spans="76:77" x14ac:dyDescent="0.2">
      <c r="BX836" s="214" t="e">
        <f t="shared" si="40"/>
        <v>#DIV/0!</v>
      </c>
      <c r="BY836" s="215">
        <f t="shared" si="41"/>
        <v>0</v>
      </c>
    </row>
    <row r="837" spans="76:77" x14ac:dyDescent="0.2">
      <c r="BX837" s="214" t="e">
        <f t="shared" si="40"/>
        <v>#DIV/0!</v>
      </c>
      <c r="BY837" s="215">
        <f t="shared" si="41"/>
        <v>0</v>
      </c>
    </row>
    <row r="838" spans="76:77" x14ac:dyDescent="0.2">
      <c r="BX838" s="214" t="e">
        <f t="shared" si="40"/>
        <v>#DIV/0!</v>
      </c>
      <c r="BY838" s="215">
        <f t="shared" si="41"/>
        <v>0</v>
      </c>
    </row>
    <row r="839" spans="76:77" x14ac:dyDescent="0.2">
      <c r="BX839" s="214" t="e">
        <f t="shared" si="40"/>
        <v>#DIV/0!</v>
      </c>
      <c r="BY839" s="215">
        <f t="shared" si="41"/>
        <v>0</v>
      </c>
    </row>
    <row r="840" spans="76:77" x14ac:dyDescent="0.2">
      <c r="BX840" s="214" t="e">
        <f t="shared" si="40"/>
        <v>#DIV/0!</v>
      </c>
      <c r="BY840" s="215">
        <f t="shared" si="41"/>
        <v>0</v>
      </c>
    </row>
    <row r="841" spans="76:77" x14ac:dyDescent="0.2">
      <c r="BX841" s="214" t="e">
        <f t="shared" si="40"/>
        <v>#DIV/0!</v>
      </c>
      <c r="BY841" s="215">
        <f t="shared" si="41"/>
        <v>0</v>
      </c>
    </row>
    <row r="842" spans="76:77" x14ac:dyDescent="0.2">
      <c r="BX842" s="214" t="e">
        <f t="shared" si="40"/>
        <v>#DIV/0!</v>
      </c>
      <c r="BY842" s="215">
        <f t="shared" si="41"/>
        <v>0</v>
      </c>
    </row>
    <row r="843" spans="76:77" x14ac:dyDescent="0.2">
      <c r="BX843" s="214" t="e">
        <f t="shared" si="40"/>
        <v>#DIV/0!</v>
      </c>
      <c r="BY843" s="215">
        <f t="shared" si="41"/>
        <v>0</v>
      </c>
    </row>
    <row r="844" spans="76:77" x14ac:dyDescent="0.2">
      <c r="BX844" s="214" t="e">
        <f t="shared" si="40"/>
        <v>#DIV/0!</v>
      </c>
      <c r="BY844" s="215">
        <f t="shared" si="41"/>
        <v>0</v>
      </c>
    </row>
    <row r="845" spans="76:77" x14ac:dyDescent="0.2">
      <c r="BX845" s="214" t="e">
        <f t="shared" ref="BX845:BX908" si="42">BY845/BV845</f>
        <v>#DIV/0!</v>
      </c>
      <c r="BY845" s="215">
        <f t="shared" si="41"/>
        <v>0</v>
      </c>
    </row>
    <row r="846" spans="76:77" x14ac:dyDescent="0.2">
      <c r="BX846" s="214" t="e">
        <f t="shared" si="42"/>
        <v>#DIV/0!</v>
      </c>
      <c r="BY846" s="215">
        <f t="shared" ref="BY846:BY909" si="43">BY845+BW846*(BV846-BV845)</f>
        <v>0</v>
      </c>
    </row>
    <row r="847" spans="76:77" x14ac:dyDescent="0.2">
      <c r="BX847" s="214" t="e">
        <f t="shared" si="42"/>
        <v>#DIV/0!</v>
      </c>
      <c r="BY847" s="215">
        <f t="shared" si="43"/>
        <v>0</v>
      </c>
    </row>
    <row r="848" spans="76:77" x14ac:dyDescent="0.2">
      <c r="BX848" s="214" t="e">
        <f t="shared" si="42"/>
        <v>#DIV/0!</v>
      </c>
      <c r="BY848" s="215">
        <f t="shared" si="43"/>
        <v>0</v>
      </c>
    </row>
    <row r="849" spans="76:77" x14ac:dyDescent="0.2">
      <c r="BX849" s="214" t="e">
        <f t="shared" si="42"/>
        <v>#DIV/0!</v>
      </c>
      <c r="BY849" s="215">
        <f t="shared" si="43"/>
        <v>0</v>
      </c>
    </row>
    <row r="850" spans="76:77" x14ac:dyDescent="0.2">
      <c r="BX850" s="214" t="e">
        <f t="shared" si="42"/>
        <v>#DIV/0!</v>
      </c>
      <c r="BY850" s="215">
        <f t="shared" si="43"/>
        <v>0</v>
      </c>
    </row>
    <row r="851" spans="76:77" x14ac:dyDescent="0.2">
      <c r="BX851" s="214" t="e">
        <f t="shared" si="42"/>
        <v>#DIV/0!</v>
      </c>
      <c r="BY851" s="215">
        <f t="shared" si="43"/>
        <v>0</v>
      </c>
    </row>
    <row r="852" spans="76:77" x14ac:dyDescent="0.2">
      <c r="BX852" s="214" t="e">
        <f t="shared" si="42"/>
        <v>#DIV/0!</v>
      </c>
      <c r="BY852" s="215">
        <f t="shared" si="43"/>
        <v>0</v>
      </c>
    </row>
    <row r="853" spans="76:77" x14ac:dyDescent="0.2">
      <c r="BX853" s="214" t="e">
        <f t="shared" si="42"/>
        <v>#DIV/0!</v>
      </c>
      <c r="BY853" s="215">
        <f t="shared" si="43"/>
        <v>0</v>
      </c>
    </row>
    <row r="854" spans="76:77" x14ac:dyDescent="0.2">
      <c r="BX854" s="214" t="e">
        <f t="shared" si="42"/>
        <v>#DIV/0!</v>
      </c>
      <c r="BY854" s="215">
        <f t="shared" si="43"/>
        <v>0</v>
      </c>
    </row>
    <row r="855" spans="76:77" x14ac:dyDescent="0.2">
      <c r="BX855" s="214" t="e">
        <f t="shared" si="42"/>
        <v>#DIV/0!</v>
      </c>
      <c r="BY855" s="215">
        <f t="shared" si="43"/>
        <v>0</v>
      </c>
    </row>
    <row r="856" spans="76:77" x14ac:dyDescent="0.2">
      <c r="BX856" s="214" t="e">
        <f t="shared" si="42"/>
        <v>#DIV/0!</v>
      </c>
      <c r="BY856" s="215">
        <f t="shared" si="43"/>
        <v>0</v>
      </c>
    </row>
    <row r="857" spans="76:77" x14ac:dyDescent="0.2">
      <c r="BX857" s="214" t="e">
        <f t="shared" si="42"/>
        <v>#DIV/0!</v>
      </c>
      <c r="BY857" s="215">
        <f t="shared" si="43"/>
        <v>0</v>
      </c>
    </row>
    <row r="858" spans="76:77" x14ac:dyDescent="0.2">
      <c r="BX858" s="214" t="e">
        <f t="shared" si="42"/>
        <v>#DIV/0!</v>
      </c>
      <c r="BY858" s="215">
        <f t="shared" si="43"/>
        <v>0</v>
      </c>
    </row>
    <row r="859" spans="76:77" x14ac:dyDescent="0.2">
      <c r="BX859" s="214" t="e">
        <f t="shared" si="42"/>
        <v>#DIV/0!</v>
      </c>
      <c r="BY859" s="215">
        <f t="shared" si="43"/>
        <v>0</v>
      </c>
    </row>
    <row r="860" spans="76:77" x14ac:dyDescent="0.2">
      <c r="BX860" s="214" t="e">
        <f t="shared" si="42"/>
        <v>#DIV/0!</v>
      </c>
      <c r="BY860" s="215">
        <f t="shared" si="43"/>
        <v>0</v>
      </c>
    </row>
    <row r="861" spans="76:77" x14ac:dyDescent="0.2">
      <c r="BX861" s="214" t="e">
        <f t="shared" si="42"/>
        <v>#DIV/0!</v>
      </c>
      <c r="BY861" s="215">
        <f t="shared" si="43"/>
        <v>0</v>
      </c>
    </row>
    <row r="862" spans="76:77" x14ac:dyDescent="0.2">
      <c r="BX862" s="214" t="e">
        <f t="shared" si="42"/>
        <v>#DIV/0!</v>
      </c>
      <c r="BY862" s="215">
        <f t="shared" si="43"/>
        <v>0</v>
      </c>
    </row>
    <row r="863" spans="76:77" x14ac:dyDescent="0.2">
      <c r="BX863" s="214" t="e">
        <f t="shared" si="42"/>
        <v>#DIV/0!</v>
      </c>
      <c r="BY863" s="215">
        <f t="shared" si="43"/>
        <v>0</v>
      </c>
    </row>
    <row r="864" spans="76:77" x14ac:dyDescent="0.2">
      <c r="BX864" s="214" t="e">
        <f t="shared" si="42"/>
        <v>#DIV/0!</v>
      </c>
      <c r="BY864" s="215">
        <f t="shared" si="43"/>
        <v>0</v>
      </c>
    </row>
    <row r="865" spans="76:77" x14ac:dyDescent="0.2">
      <c r="BX865" s="214" t="e">
        <f t="shared" si="42"/>
        <v>#DIV/0!</v>
      </c>
      <c r="BY865" s="215">
        <f t="shared" si="43"/>
        <v>0</v>
      </c>
    </row>
    <row r="866" spans="76:77" x14ac:dyDescent="0.2">
      <c r="BX866" s="214" t="e">
        <f t="shared" si="42"/>
        <v>#DIV/0!</v>
      </c>
      <c r="BY866" s="215">
        <f t="shared" si="43"/>
        <v>0</v>
      </c>
    </row>
    <row r="867" spans="76:77" x14ac:dyDescent="0.2">
      <c r="BX867" s="214" t="e">
        <f t="shared" si="42"/>
        <v>#DIV/0!</v>
      </c>
      <c r="BY867" s="215">
        <f t="shared" si="43"/>
        <v>0</v>
      </c>
    </row>
    <row r="868" spans="76:77" x14ac:dyDescent="0.2">
      <c r="BX868" s="214" t="e">
        <f t="shared" si="42"/>
        <v>#DIV/0!</v>
      </c>
      <c r="BY868" s="215">
        <f t="shared" si="43"/>
        <v>0</v>
      </c>
    </row>
    <row r="869" spans="76:77" x14ac:dyDescent="0.2">
      <c r="BX869" s="214" t="e">
        <f t="shared" si="42"/>
        <v>#DIV/0!</v>
      </c>
      <c r="BY869" s="215">
        <f t="shared" si="43"/>
        <v>0</v>
      </c>
    </row>
    <row r="870" spans="76:77" x14ac:dyDescent="0.2">
      <c r="BX870" s="214" t="e">
        <f t="shared" si="42"/>
        <v>#DIV/0!</v>
      </c>
      <c r="BY870" s="215">
        <f t="shared" si="43"/>
        <v>0</v>
      </c>
    </row>
    <row r="871" spans="76:77" x14ac:dyDescent="0.2">
      <c r="BX871" s="214" t="e">
        <f t="shared" si="42"/>
        <v>#DIV/0!</v>
      </c>
      <c r="BY871" s="215">
        <f t="shared" si="43"/>
        <v>0</v>
      </c>
    </row>
    <row r="872" spans="76:77" x14ac:dyDescent="0.2">
      <c r="BX872" s="214" t="e">
        <f t="shared" si="42"/>
        <v>#DIV/0!</v>
      </c>
      <c r="BY872" s="215">
        <f t="shared" si="43"/>
        <v>0</v>
      </c>
    </row>
    <row r="873" spans="76:77" x14ac:dyDescent="0.2">
      <c r="BX873" s="214" t="e">
        <f t="shared" si="42"/>
        <v>#DIV/0!</v>
      </c>
      <c r="BY873" s="215">
        <f t="shared" si="43"/>
        <v>0</v>
      </c>
    </row>
    <row r="874" spans="76:77" x14ac:dyDescent="0.2">
      <c r="BX874" s="214" t="e">
        <f t="shared" si="42"/>
        <v>#DIV/0!</v>
      </c>
      <c r="BY874" s="215">
        <f t="shared" si="43"/>
        <v>0</v>
      </c>
    </row>
    <row r="875" spans="76:77" x14ac:dyDescent="0.2">
      <c r="BX875" s="214" t="e">
        <f t="shared" si="42"/>
        <v>#DIV/0!</v>
      </c>
      <c r="BY875" s="215">
        <f t="shared" si="43"/>
        <v>0</v>
      </c>
    </row>
    <row r="876" spans="76:77" x14ac:dyDescent="0.2">
      <c r="BX876" s="214" t="e">
        <f t="shared" si="42"/>
        <v>#DIV/0!</v>
      </c>
      <c r="BY876" s="215">
        <f t="shared" si="43"/>
        <v>0</v>
      </c>
    </row>
    <row r="877" spans="76:77" x14ac:dyDescent="0.2">
      <c r="BX877" s="214" t="e">
        <f t="shared" si="42"/>
        <v>#DIV/0!</v>
      </c>
      <c r="BY877" s="215">
        <f t="shared" si="43"/>
        <v>0</v>
      </c>
    </row>
    <row r="878" spans="76:77" x14ac:dyDescent="0.2">
      <c r="BX878" s="214" t="e">
        <f t="shared" si="42"/>
        <v>#DIV/0!</v>
      </c>
      <c r="BY878" s="215">
        <f t="shared" si="43"/>
        <v>0</v>
      </c>
    </row>
    <row r="879" spans="76:77" x14ac:dyDescent="0.2">
      <c r="BX879" s="214" t="e">
        <f t="shared" si="42"/>
        <v>#DIV/0!</v>
      </c>
      <c r="BY879" s="215">
        <f t="shared" si="43"/>
        <v>0</v>
      </c>
    </row>
    <row r="880" spans="76:77" x14ac:dyDescent="0.2">
      <c r="BX880" s="214" t="e">
        <f t="shared" si="42"/>
        <v>#DIV/0!</v>
      </c>
      <c r="BY880" s="215">
        <f t="shared" si="43"/>
        <v>0</v>
      </c>
    </row>
    <row r="881" spans="76:77" x14ac:dyDescent="0.2">
      <c r="BX881" s="214" t="e">
        <f t="shared" si="42"/>
        <v>#DIV/0!</v>
      </c>
      <c r="BY881" s="215">
        <f t="shared" si="43"/>
        <v>0</v>
      </c>
    </row>
    <row r="882" spans="76:77" x14ac:dyDescent="0.2">
      <c r="BX882" s="214" t="e">
        <f t="shared" si="42"/>
        <v>#DIV/0!</v>
      </c>
      <c r="BY882" s="215">
        <f t="shared" si="43"/>
        <v>0</v>
      </c>
    </row>
    <row r="883" spans="76:77" x14ac:dyDescent="0.2">
      <c r="BX883" s="214" t="e">
        <f t="shared" si="42"/>
        <v>#DIV/0!</v>
      </c>
      <c r="BY883" s="215">
        <f t="shared" si="43"/>
        <v>0</v>
      </c>
    </row>
    <row r="884" spans="76:77" x14ac:dyDescent="0.2">
      <c r="BX884" s="214" t="e">
        <f t="shared" si="42"/>
        <v>#DIV/0!</v>
      </c>
      <c r="BY884" s="215">
        <f t="shared" si="43"/>
        <v>0</v>
      </c>
    </row>
    <row r="885" spans="76:77" x14ac:dyDescent="0.2">
      <c r="BX885" s="214" t="e">
        <f t="shared" si="42"/>
        <v>#DIV/0!</v>
      </c>
      <c r="BY885" s="215">
        <f t="shared" si="43"/>
        <v>0</v>
      </c>
    </row>
    <row r="886" spans="76:77" x14ac:dyDescent="0.2">
      <c r="BX886" s="214" t="e">
        <f t="shared" si="42"/>
        <v>#DIV/0!</v>
      </c>
      <c r="BY886" s="215">
        <f t="shared" si="43"/>
        <v>0</v>
      </c>
    </row>
    <row r="887" spans="76:77" x14ac:dyDescent="0.2">
      <c r="BX887" s="214" t="e">
        <f t="shared" si="42"/>
        <v>#DIV/0!</v>
      </c>
      <c r="BY887" s="215">
        <f t="shared" si="43"/>
        <v>0</v>
      </c>
    </row>
    <row r="888" spans="76:77" x14ac:dyDescent="0.2">
      <c r="BX888" s="214" t="e">
        <f t="shared" si="42"/>
        <v>#DIV/0!</v>
      </c>
      <c r="BY888" s="215">
        <f t="shared" si="43"/>
        <v>0</v>
      </c>
    </row>
    <row r="889" spans="76:77" x14ac:dyDescent="0.2">
      <c r="BX889" s="214" t="e">
        <f t="shared" si="42"/>
        <v>#DIV/0!</v>
      </c>
      <c r="BY889" s="215">
        <f t="shared" si="43"/>
        <v>0</v>
      </c>
    </row>
    <row r="890" spans="76:77" x14ac:dyDescent="0.2">
      <c r="BX890" s="214" t="e">
        <f t="shared" si="42"/>
        <v>#DIV/0!</v>
      </c>
      <c r="BY890" s="215">
        <f t="shared" si="43"/>
        <v>0</v>
      </c>
    </row>
    <row r="891" spans="76:77" x14ac:dyDescent="0.2">
      <c r="BX891" s="214" t="e">
        <f t="shared" si="42"/>
        <v>#DIV/0!</v>
      </c>
      <c r="BY891" s="215">
        <f t="shared" si="43"/>
        <v>0</v>
      </c>
    </row>
    <row r="892" spans="76:77" x14ac:dyDescent="0.2">
      <c r="BX892" s="214" t="e">
        <f t="shared" si="42"/>
        <v>#DIV/0!</v>
      </c>
      <c r="BY892" s="215">
        <f t="shared" si="43"/>
        <v>0</v>
      </c>
    </row>
    <row r="893" spans="76:77" x14ac:dyDescent="0.2">
      <c r="BX893" s="214" t="e">
        <f t="shared" si="42"/>
        <v>#DIV/0!</v>
      </c>
      <c r="BY893" s="215">
        <f t="shared" si="43"/>
        <v>0</v>
      </c>
    </row>
    <row r="894" spans="76:77" x14ac:dyDescent="0.2">
      <c r="BX894" s="214" t="e">
        <f t="shared" si="42"/>
        <v>#DIV/0!</v>
      </c>
      <c r="BY894" s="215">
        <f t="shared" si="43"/>
        <v>0</v>
      </c>
    </row>
    <row r="895" spans="76:77" x14ac:dyDescent="0.2">
      <c r="BX895" s="214" t="e">
        <f t="shared" si="42"/>
        <v>#DIV/0!</v>
      </c>
      <c r="BY895" s="215">
        <f t="shared" si="43"/>
        <v>0</v>
      </c>
    </row>
    <row r="896" spans="76:77" x14ac:dyDescent="0.2">
      <c r="BX896" s="214" t="e">
        <f t="shared" si="42"/>
        <v>#DIV/0!</v>
      </c>
      <c r="BY896" s="215">
        <f t="shared" si="43"/>
        <v>0</v>
      </c>
    </row>
    <row r="897" spans="76:77" x14ac:dyDescent="0.2">
      <c r="BX897" s="214" t="e">
        <f t="shared" si="42"/>
        <v>#DIV/0!</v>
      </c>
      <c r="BY897" s="215">
        <f t="shared" si="43"/>
        <v>0</v>
      </c>
    </row>
    <row r="898" spans="76:77" x14ac:dyDescent="0.2">
      <c r="BX898" s="214" t="e">
        <f t="shared" si="42"/>
        <v>#DIV/0!</v>
      </c>
      <c r="BY898" s="215">
        <f t="shared" si="43"/>
        <v>0</v>
      </c>
    </row>
    <row r="899" spans="76:77" x14ac:dyDescent="0.2">
      <c r="BX899" s="214" t="e">
        <f t="shared" si="42"/>
        <v>#DIV/0!</v>
      </c>
      <c r="BY899" s="215">
        <f t="shared" si="43"/>
        <v>0</v>
      </c>
    </row>
    <row r="900" spans="76:77" x14ac:dyDescent="0.2">
      <c r="BX900" s="214" t="e">
        <f t="shared" si="42"/>
        <v>#DIV/0!</v>
      </c>
      <c r="BY900" s="215">
        <f t="shared" si="43"/>
        <v>0</v>
      </c>
    </row>
    <row r="901" spans="76:77" x14ac:dyDescent="0.2">
      <c r="BX901" s="214" t="e">
        <f t="shared" si="42"/>
        <v>#DIV/0!</v>
      </c>
      <c r="BY901" s="215">
        <f t="shared" si="43"/>
        <v>0</v>
      </c>
    </row>
    <row r="902" spans="76:77" x14ac:dyDescent="0.2">
      <c r="BX902" s="214" t="e">
        <f t="shared" si="42"/>
        <v>#DIV/0!</v>
      </c>
      <c r="BY902" s="215">
        <f t="shared" si="43"/>
        <v>0</v>
      </c>
    </row>
    <row r="903" spans="76:77" x14ac:dyDescent="0.2">
      <c r="BX903" s="214" t="e">
        <f t="shared" si="42"/>
        <v>#DIV/0!</v>
      </c>
      <c r="BY903" s="215">
        <f t="shared" si="43"/>
        <v>0</v>
      </c>
    </row>
    <row r="904" spans="76:77" x14ac:dyDescent="0.2">
      <c r="BX904" s="214" t="e">
        <f t="shared" si="42"/>
        <v>#DIV/0!</v>
      </c>
      <c r="BY904" s="215">
        <f t="shared" si="43"/>
        <v>0</v>
      </c>
    </row>
    <row r="905" spans="76:77" x14ac:dyDescent="0.2">
      <c r="BX905" s="214" t="e">
        <f t="shared" si="42"/>
        <v>#DIV/0!</v>
      </c>
      <c r="BY905" s="215">
        <f t="shared" si="43"/>
        <v>0</v>
      </c>
    </row>
    <row r="906" spans="76:77" x14ac:dyDescent="0.2">
      <c r="BX906" s="214" t="e">
        <f t="shared" si="42"/>
        <v>#DIV/0!</v>
      </c>
      <c r="BY906" s="215">
        <f t="shared" si="43"/>
        <v>0</v>
      </c>
    </row>
    <row r="907" spans="76:77" x14ac:dyDescent="0.2">
      <c r="BX907" s="214" t="e">
        <f t="shared" si="42"/>
        <v>#DIV/0!</v>
      </c>
      <c r="BY907" s="215">
        <f t="shared" si="43"/>
        <v>0</v>
      </c>
    </row>
    <row r="908" spans="76:77" x14ac:dyDescent="0.2">
      <c r="BX908" s="214" t="e">
        <f t="shared" si="42"/>
        <v>#DIV/0!</v>
      </c>
      <c r="BY908" s="215">
        <f t="shared" si="43"/>
        <v>0</v>
      </c>
    </row>
    <row r="909" spans="76:77" x14ac:dyDescent="0.2">
      <c r="BX909" s="214" t="e">
        <f t="shared" ref="BX909:BX972" si="44">BY909/BV909</f>
        <v>#DIV/0!</v>
      </c>
      <c r="BY909" s="215">
        <f t="shared" si="43"/>
        <v>0</v>
      </c>
    </row>
    <row r="910" spans="76:77" x14ac:dyDescent="0.2">
      <c r="BX910" s="214" t="e">
        <f t="shared" si="44"/>
        <v>#DIV/0!</v>
      </c>
      <c r="BY910" s="215">
        <f t="shared" ref="BY910:BY973" si="45">BY909+BW910*(BV910-BV909)</f>
        <v>0</v>
      </c>
    </row>
    <row r="911" spans="76:77" x14ac:dyDescent="0.2">
      <c r="BX911" s="214" t="e">
        <f t="shared" si="44"/>
        <v>#DIV/0!</v>
      </c>
      <c r="BY911" s="215">
        <f t="shared" si="45"/>
        <v>0</v>
      </c>
    </row>
    <row r="912" spans="76:77" x14ac:dyDescent="0.2">
      <c r="BX912" s="214" t="e">
        <f t="shared" si="44"/>
        <v>#DIV/0!</v>
      </c>
      <c r="BY912" s="215">
        <f t="shared" si="45"/>
        <v>0</v>
      </c>
    </row>
    <row r="913" spans="76:77" x14ac:dyDescent="0.2">
      <c r="BX913" s="214" t="e">
        <f t="shared" si="44"/>
        <v>#DIV/0!</v>
      </c>
      <c r="BY913" s="215">
        <f t="shared" si="45"/>
        <v>0</v>
      </c>
    </row>
    <row r="914" spans="76:77" x14ac:dyDescent="0.2">
      <c r="BX914" s="214" t="e">
        <f t="shared" si="44"/>
        <v>#DIV/0!</v>
      </c>
      <c r="BY914" s="215">
        <f t="shared" si="45"/>
        <v>0</v>
      </c>
    </row>
    <row r="915" spans="76:77" x14ac:dyDescent="0.2">
      <c r="BX915" s="214" t="e">
        <f t="shared" si="44"/>
        <v>#DIV/0!</v>
      </c>
      <c r="BY915" s="215">
        <f t="shared" si="45"/>
        <v>0</v>
      </c>
    </row>
    <row r="916" spans="76:77" x14ac:dyDescent="0.2">
      <c r="BX916" s="214" t="e">
        <f t="shared" si="44"/>
        <v>#DIV/0!</v>
      </c>
      <c r="BY916" s="215">
        <f t="shared" si="45"/>
        <v>0</v>
      </c>
    </row>
    <row r="917" spans="76:77" x14ac:dyDescent="0.2">
      <c r="BX917" s="214" t="e">
        <f t="shared" si="44"/>
        <v>#DIV/0!</v>
      </c>
      <c r="BY917" s="215">
        <f t="shared" si="45"/>
        <v>0</v>
      </c>
    </row>
    <row r="918" spans="76:77" x14ac:dyDescent="0.2">
      <c r="BX918" s="214" t="e">
        <f t="shared" si="44"/>
        <v>#DIV/0!</v>
      </c>
      <c r="BY918" s="215">
        <f t="shared" si="45"/>
        <v>0</v>
      </c>
    </row>
    <row r="919" spans="76:77" x14ac:dyDescent="0.2">
      <c r="BX919" s="214" t="e">
        <f t="shared" si="44"/>
        <v>#DIV/0!</v>
      </c>
      <c r="BY919" s="215">
        <f t="shared" si="45"/>
        <v>0</v>
      </c>
    </row>
    <row r="920" spans="76:77" x14ac:dyDescent="0.2">
      <c r="BX920" s="214" t="e">
        <f t="shared" si="44"/>
        <v>#DIV/0!</v>
      </c>
      <c r="BY920" s="215">
        <f t="shared" si="45"/>
        <v>0</v>
      </c>
    </row>
    <row r="921" spans="76:77" x14ac:dyDescent="0.2">
      <c r="BX921" s="214" t="e">
        <f t="shared" si="44"/>
        <v>#DIV/0!</v>
      </c>
      <c r="BY921" s="215">
        <f t="shared" si="45"/>
        <v>0</v>
      </c>
    </row>
    <row r="922" spans="76:77" x14ac:dyDescent="0.2">
      <c r="BX922" s="214" t="e">
        <f t="shared" si="44"/>
        <v>#DIV/0!</v>
      </c>
      <c r="BY922" s="215">
        <f t="shared" si="45"/>
        <v>0</v>
      </c>
    </row>
    <row r="923" spans="76:77" x14ac:dyDescent="0.2">
      <c r="BX923" s="214" t="e">
        <f t="shared" si="44"/>
        <v>#DIV/0!</v>
      </c>
      <c r="BY923" s="215">
        <f t="shared" si="45"/>
        <v>0</v>
      </c>
    </row>
    <row r="924" spans="76:77" x14ac:dyDescent="0.2">
      <c r="BX924" s="214" t="e">
        <f t="shared" si="44"/>
        <v>#DIV/0!</v>
      </c>
      <c r="BY924" s="215">
        <f t="shared" si="45"/>
        <v>0</v>
      </c>
    </row>
    <row r="925" spans="76:77" x14ac:dyDescent="0.2">
      <c r="BX925" s="214" t="e">
        <f t="shared" si="44"/>
        <v>#DIV/0!</v>
      </c>
      <c r="BY925" s="215">
        <f t="shared" si="45"/>
        <v>0</v>
      </c>
    </row>
    <row r="926" spans="76:77" x14ac:dyDescent="0.2">
      <c r="BX926" s="214" t="e">
        <f t="shared" si="44"/>
        <v>#DIV/0!</v>
      </c>
      <c r="BY926" s="215">
        <f t="shared" si="45"/>
        <v>0</v>
      </c>
    </row>
    <row r="927" spans="76:77" x14ac:dyDescent="0.2">
      <c r="BX927" s="214" t="e">
        <f t="shared" si="44"/>
        <v>#DIV/0!</v>
      </c>
      <c r="BY927" s="215">
        <f t="shared" si="45"/>
        <v>0</v>
      </c>
    </row>
    <row r="928" spans="76:77" x14ac:dyDescent="0.2">
      <c r="BX928" s="214" t="e">
        <f t="shared" si="44"/>
        <v>#DIV/0!</v>
      </c>
      <c r="BY928" s="215">
        <f t="shared" si="45"/>
        <v>0</v>
      </c>
    </row>
    <row r="929" spans="76:77" x14ac:dyDescent="0.2">
      <c r="BX929" s="214" t="e">
        <f t="shared" si="44"/>
        <v>#DIV/0!</v>
      </c>
      <c r="BY929" s="215">
        <f t="shared" si="45"/>
        <v>0</v>
      </c>
    </row>
    <row r="930" spans="76:77" x14ac:dyDescent="0.2">
      <c r="BX930" s="214" t="e">
        <f t="shared" si="44"/>
        <v>#DIV/0!</v>
      </c>
      <c r="BY930" s="215">
        <f t="shared" si="45"/>
        <v>0</v>
      </c>
    </row>
    <row r="931" spans="76:77" x14ac:dyDescent="0.2">
      <c r="BX931" s="214" t="e">
        <f t="shared" si="44"/>
        <v>#DIV/0!</v>
      </c>
      <c r="BY931" s="215">
        <f t="shared" si="45"/>
        <v>0</v>
      </c>
    </row>
    <row r="932" spans="76:77" x14ac:dyDescent="0.2">
      <c r="BX932" s="214" t="e">
        <f t="shared" si="44"/>
        <v>#DIV/0!</v>
      </c>
      <c r="BY932" s="215">
        <f t="shared" si="45"/>
        <v>0</v>
      </c>
    </row>
    <row r="933" spans="76:77" x14ac:dyDescent="0.2">
      <c r="BX933" s="214" t="e">
        <f t="shared" si="44"/>
        <v>#DIV/0!</v>
      </c>
      <c r="BY933" s="215">
        <f t="shared" si="45"/>
        <v>0</v>
      </c>
    </row>
    <row r="934" spans="76:77" x14ac:dyDescent="0.2">
      <c r="BX934" s="214" t="e">
        <f t="shared" si="44"/>
        <v>#DIV/0!</v>
      </c>
      <c r="BY934" s="215">
        <f t="shared" si="45"/>
        <v>0</v>
      </c>
    </row>
    <row r="935" spans="76:77" x14ac:dyDescent="0.2">
      <c r="BX935" s="214" t="e">
        <f t="shared" si="44"/>
        <v>#DIV/0!</v>
      </c>
      <c r="BY935" s="215">
        <f t="shared" si="45"/>
        <v>0</v>
      </c>
    </row>
    <row r="936" spans="76:77" x14ac:dyDescent="0.2">
      <c r="BX936" s="214" t="e">
        <f t="shared" si="44"/>
        <v>#DIV/0!</v>
      </c>
      <c r="BY936" s="215">
        <f t="shared" si="45"/>
        <v>0</v>
      </c>
    </row>
    <row r="937" spans="76:77" x14ac:dyDescent="0.2">
      <c r="BX937" s="214" t="e">
        <f t="shared" si="44"/>
        <v>#DIV/0!</v>
      </c>
      <c r="BY937" s="215">
        <f t="shared" si="45"/>
        <v>0</v>
      </c>
    </row>
    <row r="938" spans="76:77" x14ac:dyDescent="0.2">
      <c r="BX938" s="214" t="e">
        <f t="shared" si="44"/>
        <v>#DIV/0!</v>
      </c>
      <c r="BY938" s="215">
        <f t="shared" si="45"/>
        <v>0</v>
      </c>
    </row>
    <row r="939" spans="76:77" x14ac:dyDescent="0.2">
      <c r="BX939" s="214" t="e">
        <f t="shared" si="44"/>
        <v>#DIV/0!</v>
      </c>
      <c r="BY939" s="215">
        <f t="shared" si="45"/>
        <v>0</v>
      </c>
    </row>
    <row r="940" spans="76:77" x14ac:dyDescent="0.2">
      <c r="BX940" s="214" t="e">
        <f t="shared" si="44"/>
        <v>#DIV/0!</v>
      </c>
      <c r="BY940" s="215">
        <f t="shared" si="45"/>
        <v>0</v>
      </c>
    </row>
    <row r="941" spans="76:77" x14ac:dyDescent="0.2">
      <c r="BX941" s="214" t="e">
        <f t="shared" si="44"/>
        <v>#DIV/0!</v>
      </c>
      <c r="BY941" s="215">
        <f t="shared" si="45"/>
        <v>0</v>
      </c>
    </row>
    <row r="942" spans="76:77" x14ac:dyDescent="0.2">
      <c r="BX942" s="214" t="e">
        <f t="shared" si="44"/>
        <v>#DIV/0!</v>
      </c>
      <c r="BY942" s="215">
        <f t="shared" si="45"/>
        <v>0</v>
      </c>
    </row>
    <row r="943" spans="76:77" x14ac:dyDescent="0.2">
      <c r="BX943" s="214" t="e">
        <f t="shared" si="44"/>
        <v>#DIV/0!</v>
      </c>
      <c r="BY943" s="215">
        <f t="shared" si="45"/>
        <v>0</v>
      </c>
    </row>
    <row r="944" spans="76:77" x14ac:dyDescent="0.2">
      <c r="BX944" s="214" t="e">
        <f t="shared" si="44"/>
        <v>#DIV/0!</v>
      </c>
      <c r="BY944" s="215">
        <f t="shared" si="45"/>
        <v>0</v>
      </c>
    </row>
    <row r="945" spans="76:77" x14ac:dyDescent="0.2">
      <c r="BX945" s="214" t="e">
        <f t="shared" si="44"/>
        <v>#DIV/0!</v>
      </c>
      <c r="BY945" s="215">
        <f t="shared" si="45"/>
        <v>0</v>
      </c>
    </row>
    <row r="946" spans="76:77" x14ac:dyDescent="0.2">
      <c r="BX946" s="214" t="e">
        <f t="shared" si="44"/>
        <v>#DIV/0!</v>
      </c>
      <c r="BY946" s="215">
        <f t="shared" si="45"/>
        <v>0</v>
      </c>
    </row>
    <row r="947" spans="76:77" x14ac:dyDescent="0.2">
      <c r="BX947" s="214" t="e">
        <f t="shared" si="44"/>
        <v>#DIV/0!</v>
      </c>
      <c r="BY947" s="215">
        <f t="shared" si="45"/>
        <v>0</v>
      </c>
    </row>
    <row r="948" spans="76:77" x14ac:dyDescent="0.2">
      <c r="BX948" s="214" t="e">
        <f t="shared" si="44"/>
        <v>#DIV/0!</v>
      </c>
      <c r="BY948" s="215">
        <f t="shared" si="45"/>
        <v>0</v>
      </c>
    </row>
    <row r="949" spans="76:77" x14ac:dyDescent="0.2">
      <c r="BX949" s="214" t="e">
        <f t="shared" si="44"/>
        <v>#DIV/0!</v>
      </c>
      <c r="BY949" s="215">
        <f t="shared" si="45"/>
        <v>0</v>
      </c>
    </row>
    <row r="950" spans="76:77" x14ac:dyDescent="0.2">
      <c r="BX950" s="214" t="e">
        <f t="shared" si="44"/>
        <v>#DIV/0!</v>
      </c>
      <c r="BY950" s="215">
        <f t="shared" si="45"/>
        <v>0</v>
      </c>
    </row>
    <row r="951" spans="76:77" x14ac:dyDescent="0.2">
      <c r="BX951" s="214" t="e">
        <f t="shared" si="44"/>
        <v>#DIV/0!</v>
      </c>
      <c r="BY951" s="215">
        <f t="shared" si="45"/>
        <v>0</v>
      </c>
    </row>
    <row r="952" spans="76:77" x14ac:dyDescent="0.2">
      <c r="BX952" s="214" t="e">
        <f t="shared" si="44"/>
        <v>#DIV/0!</v>
      </c>
      <c r="BY952" s="215">
        <f t="shared" si="45"/>
        <v>0</v>
      </c>
    </row>
    <row r="953" spans="76:77" x14ac:dyDescent="0.2">
      <c r="BX953" s="214" t="e">
        <f t="shared" si="44"/>
        <v>#DIV/0!</v>
      </c>
      <c r="BY953" s="215">
        <f t="shared" si="45"/>
        <v>0</v>
      </c>
    </row>
    <row r="954" spans="76:77" x14ac:dyDescent="0.2">
      <c r="BX954" s="214" t="e">
        <f t="shared" si="44"/>
        <v>#DIV/0!</v>
      </c>
      <c r="BY954" s="215">
        <f t="shared" si="45"/>
        <v>0</v>
      </c>
    </row>
    <row r="955" spans="76:77" x14ac:dyDescent="0.2">
      <c r="BX955" s="214" t="e">
        <f t="shared" si="44"/>
        <v>#DIV/0!</v>
      </c>
      <c r="BY955" s="215">
        <f t="shared" si="45"/>
        <v>0</v>
      </c>
    </row>
    <row r="956" spans="76:77" x14ac:dyDescent="0.2">
      <c r="BX956" s="214" t="e">
        <f t="shared" si="44"/>
        <v>#DIV/0!</v>
      </c>
      <c r="BY956" s="215">
        <f t="shared" si="45"/>
        <v>0</v>
      </c>
    </row>
    <row r="957" spans="76:77" x14ac:dyDescent="0.2">
      <c r="BX957" s="214" t="e">
        <f t="shared" si="44"/>
        <v>#DIV/0!</v>
      </c>
      <c r="BY957" s="215">
        <f t="shared" si="45"/>
        <v>0</v>
      </c>
    </row>
    <row r="958" spans="76:77" x14ac:dyDescent="0.2">
      <c r="BX958" s="214" t="e">
        <f t="shared" si="44"/>
        <v>#DIV/0!</v>
      </c>
      <c r="BY958" s="215">
        <f t="shared" si="45"/>
        <v>0</v>
      </c>
    </row>
    <row r="959" spans="76:77" x14ac:dyDescent="0.2">
      <c r="BX959" s="214" t="e">
        <f t="shared" si="44"/>
        <v>#DIV/0!</v>
      </c>
      <c r="BY959" s="215">
        <f t="shared" si="45"/>
        <v>0</v>
      </c>
    </row>
    <row r="960" spans="76:77" x14ac:dyDescent="0.2">
      <c r="BX960" s="214" t="e">
        <f t="shared" si="44"/>
        <v>#DIV/0!</v>
      </c>
      <c r="BY960" s="215">
        <f t="shared" si="45"/>
        <v>0</v>
      </c>
    </row>
    <row r="961" spans="76:77" x14ac:dyDescent="0.2">
      <c r="BX961" s="214" t="e">
        <f t="shared" si="44"/>
        <v>#DIV/0!</v>
      </c>
      <c r="BY961" s="215">
        <f t="shared" si="45"/>
        <v>0</v>
      </c>
    </row>
    <row r="962" spans="76:77" x14ac:dyDescent="0.2">
      <c r="BX962" s="214" t="e">
        <f t="shared" si="44"/>
        <v>#DIV/0!</v>
      </c>
      <c r="BY962" s="215">
        <f t="shared" si="45"/>
        <v>0</v>
      </c>
    </row>
    <row r="963" spans="76:77" x14ac:dyDescent="0.2">
      <c r="BX963" s="214" t="e">
        <f t="shared" si="44"/>
        <v>#DIV/0!</v>
      </c>
      <c r="BY963" s="215">
        <f t="shared" si="45"/>
        <v>0</v>
      </c>
    </row>
    <row r="964" spans="76:77" x14ac:dyDescent="0.2">
      <c r="BX964" s="214" t="e">
        <f t="shared" si="44"/>
        <v>#DIV/0!</v>
      </c>
      <c r="BY964" s="215">
        <f t="shared" si="45"/>
        <v>0</v>
      </c>
    </row>
    <row r="965" spans="76:77" x14ac:dyDescent="0.2">
      <c r="BX965" s="214" t="e">
        <f t="shared" si="44"/>
        <v>#DIV/0!</v>
      </c>
      <c r="BY965" s="215">
        <f t="shared" si="45"/>
        <v>0</v>
      </c>
    </row>
    <row r="966" spans="76:77" x14ac:dyDescent="0.2">
      <c r="BX966" s="214" t="e">
        <f t="shared" si="44"/>
        <v>#DIV/0!</v>
      </c>
      <c r="BY966" s="215">
        <f t="shared" si="45"/>
        <v>0</v>
      </c>
    </row>
    <row r="967" spans="76:77" x14ac:dyDescent="0.2">
      <c r="BX967" s="214" t="e">
        <f t="shared" si="44"/>
        <v>#DIV/0!</v>
      </c>
      <c r="BY967" s="215">
        <f t="shared" si="45"/>
        <v>0</v>
      </c>
    </row>
    <row r="968" spans="76:77" x14ac:dyDescent="0.2">
      <c r="BX968" s="214" t="e">
        <f t="shared" si="44"/>
        <v>#DIV/0!</v>
      </c>
      <c r="BY968" s="215">
        <f t="shared" si="45"/>
        <v>0</v>
      </c>
    </row>
    <row r="969" spans="76:77" x14ac:dyDescent="0.2">
      <c r="BX969" s="214" t="e">
        <f t="shared" si="44"/>
        <v>#DIV/0!</v>
      </c>
      <c r="BY969" s="215">
        <f t="shared" si="45"/>
        <v>0</v>
      </c>
    </row>
    <row r="970" spans="76:77" x14ac:dyDescent="0.2">
      <c r="BX970" s="214" t="e">
        <f t="shared" si="44"/>
        <v>#DIV/0!</v>
      </c>
      <c r="BY970" s="215">
        <f t="shared" si="45"/>
        <v>0</v>
      </c>
    </row>
    <row r="971" spans="76:77" x14ac:dyDescent="0.2">
      <c r="BX971" s="214" t="e">
        <f t="shared" si="44"/>
        <v>#DIV/0!</v>
      </c>
      <c r="BY971" s="215">
        <f t="shared" si="45"/>
        <v>0</v>
      </c>
    </row>
    <row r="972" spans="76:77" x14ac:dyDescent="0.2">
      <c r="BX972" s="214" t="e">
        <f t="shared" si="44"/>
        <v>#DIV/0!</v>
      </c>
      <c r="BY972" s="215">
        <f t="shared" si="45"/>
        <v>0</v>
      </c>
    </row>
    <row r="973" spans="76:77" x14ac:dyDescent="0.2">
      <c r="BX973" s="214" t="e">
        <f t="shared" ref="BX973:BX1036" si="46">BY973/BV973</f>
        <v>#DIV/0!</v>
      </c>
      <c r="BY973" s="215">
        <f t="shared" si="45"/>
        <v>0</v>
      </c>
    </row>
    <row r="974" spans="76:77" x14ac:dyDescent="0.2">
      <c r="BX974" s="214" t="e">
        <f t="shared" si="46"/>
        <v>#DIV/0!</v>
      </c>
      <c r="BY974" s="215">
        <f t="shared" ref="BY974:BY1037" si="47">BY973+BW974*(BV974-BV973)</f>
        <v>0</v>
      </c>
    </row>
    <row r="975" spans="76:77" x14ac:dyDescent="0.2">
      <c r="BX975" s="214" t="e">
        <f t="shared" si="46"/>
        <v>#DIV/0!</v>
      </c>
      <c r="BY975" s="215">
        <f t="shared" si="47"/>
        <v>0</v>
      </c>
    </row>
    <row r="976" spans="76:77" x14ac:dyDescent="0.2">
      <c r="BX976" s="214" t="e">
        <f t="shared" si="46"/>
        <v>#DIV/0!</v>
      </c>
      <c r="BY976" s="215">
        <f t="shared" si="47"/>
        <v>0</v>
      </c>
    </row>
    <row r="977" spans="76:77" x14ac:dyDescent="0.2">
      <c r="BX977" s="214" t="e">
        <f t="shared" si="46"/>
        <v>#DIV/0!</v>
      </c>
      <c r="BY977" s="215">
        <f t="shared" si="47"/>
        <v>0</v>
      </c>
    </row>
    <row r="978" spans="76:77" x14ac:dyDescent="0.2">
      <c r="BX978" s="214" t="e">
        <f t="shared" si="46"/>
        <v>#DIV/0!</v>
      </c>
      <c r="BY978" s="215">
        <f t="shared" si="47"/>
        <v>0</v>
      </c>
    </row>
    <row r="979" spans="76:77" x14ac:dyDescent="0.2">
      <c r="BX979" s="214" t="e">
        <f t="shared" si="46"/>
        <v>#DIV/0!</v>
      </c>
      <c r="BY979" s="215">
        <f t="shared" si="47"/>
        <v>0</v>
      </c>
    </row>
    <row r="980" spans="76:77" x14ac:dyDescent="0.2">
      <c r="BX980" s="214" t="e">
        <f t="shared" si="46"/>
        <v>#DIV/0!</v>
      </c>
      <c r="BY980" s="215">
        <f t="shared" si="47"/>
        <v>0</v>
      </c>
    </row>
    <row r="981" spans="76:77" x14ac:dyDescent="0.2">
      <c r="BX981" s="214" t="e">
        <f t="shared" si="46"/>
        <v>#DIV/0!</v>
      </c>
      <c r="BY981" s="215">
        <f t="shared" si="47"/>
        <v>0</v>
      </c>
    </row>
    <row r="982" spans="76:77" x14ac:dyDescent="0.2">
      <c r="BX982" s="214" t="e">
        <f t="shared" si="46"/>
        <v>#DIV/0!</v>
      </c>
      <c r="BY982" s="215">
        <f t="shared" si="47"/>
        <v>0</v>
      </c>
    </row>
    <row r="983" spans="76:77" x14ac:dyDescent="0.2">
      <c r="BX983" s="214" t="e">
        <f t="shared" si="46"/>
        <v>#DIV/0!</v>
      </c>
      <c r="BY983" s="215">
        <f t="shared" si="47"/>
        <v>0</v>
      </c>
    </row>
    <row r="984" spans="76:77" x14ac:dyDescent="0.2">
      <c r="BX984" s="214" t="e">
        <f t="shared" si="46"/>
        <v>#DIV/0!</v>
      </c>
      <c r="BY984" s="215">
        <f t="shared" si="47"/>
        <v>0</v>
      </c>
    </row>
    <row r="985" spans="76:77" x14ac:dyDescent="0.2">
      <c r="BX985" s="214" t="e">
        <f t="shared" si="46"/>
        <v>#DIV/0!</v>
      </c>
      <c r="BY985" s="215">
        <f t="shared" si="47"/>
        <v>0</v>
      </c>
    </row>
    <row r="986" spans="76:77" x14ac:dyDescent="0.2">
      <c r="BX986" s="214" t="e">
        <f t="shared" si="46"/>
        <v>#DIV/0!</v>
      </c>
      <c r="BY986" s="215">
        <f t="shared" si="47"/>
        <v>0</v>
      </c>
    </row>
    <row r="987" spans="76:77" x14ac:dyDescent="0.2">
      <c r="BX987" s="214" t="e">
        <f t="shared" si="46"/>
        <v>#DIV/0!</v>
      </c>
      <c r="BY987" s="215">
        <f t="shared" si="47"/>
        <v>0</v>
      </c>
    </row>
    <row r="988" spans="76:77" x14ac:dyDescent="0.2">
      <c r="BX988" s="214" t="e">
        <f t="shared" si="46"/>
        <v>#DIV/0!</v>
      </c>
      <c r="BY988" s="215">
        <f t="shared" si="47"/>
        <v>0</v>
      </c>
    </row>
    <row r="989" spans="76:77" x14ac:dyDescent="0.2">
      <c r="BX989" s="214" t="e">
        <f t="shared" si="46"/>
        <v>#DIV/0!</v>
      </c>
      <c r="BY989" s="215">
        <f t="shared" si="47"/>
        <v>0</v>
      </c>
    </row>
    <row r="990" spans="76:77" x14ac:dyDescent="0.2">
      <c r="BX990" s="214" t="e">
        <f t="shared" si="46"/>
        <v>#DIV/0!</v>
      </c>
      <c r="BY990" s="215">
        <f t="shared" si="47"/>
        <v>0</v>
      </c>
    </row>
    <row r="991" spans="76:77" x14ac:dyDescent="0.2">
      <c r="BX991" s="214" t="e">
        <f t="shared" si="46"/>
        <v>#DIV/0!</v>
      </c>
      <c r="BY991" s="215">
        <f t="shared" si="47"/>
        <v>0</v>
      </c>
    </row>
    <row r="992" spans="76:77" x14ac:dyDescent="0.2">
      <c r="BX992" s="214" t="e">
        <f t="shared" si="46"/>
        <v>#DIV/0!</v>
      </c>
      <c r="BY992" s="215">
        <f t="shared" si="47"/>
        <v>0</v>
      </c>
    </row>
    <row r="993" spans="76:77" x14ac:dyDescent="0.2">
      <c r="BX993" s="214" t="e">
        <f t="shared" si="46"/>
        <v>#DIV/0!</v>
      </c>
      <c r="BY993" s="215">
        <f t="shared" si="47"/>
        <v>0</v>
      </c>
    </row>
    <row r="994" spans="76:77" x14ac:dyDescent="0.2">
      <c r="BX994" s="214" t="e">
        <f t="shared" si="46"/>
        <v>#DIV/0!</v>
      </c>
      <c r="BY994" s="215">
        <f t="shared" si="47"/>
        <v>0</v>
      </c>
    </row>
    <row r="995" spans="76:77" x14ac:dyDescent="0.2">
      <c r="BX995" s="214" t="e">
        <f t="shared" si="46"/>
        <v>#DIV/0!</v>
      </c>
      <c r="BY995" s="215">
        <f t="shared" si="47"/>
        <v>0</v>
      </c>
    </row>
    <row r="996" spans="76:77" x14ac:dyDescent="0.2">
      <c r="BX996" s="214" t="e">
        <f t="shared" si="46"/>
        <v>#DIV/0!</v>
      </c>
      <c r="BY996" s="215">
        <f t="shared" si="47"/>
        <v>0</v>
      </c>
    </row>
    <row r="997" spans="76:77" x14ac:dyDescent="0.2">
      <c r="BX997" s="214" t="e">
        <f t="shared" si="46"/>
        <v>#DIV/0!</v>
      </c>
      <c r="BY997" s="215">
        <f t="shared" si="47"/>
        <v>0</v>
      </c>
    </row>
    <row r="998" spans="76:77" x14ac:dyDescent="0.2">
      <c r="BX998" s="214" t="e">
        <f t="shared" si="46"/>
        <v>#DIV/0!</v>
      </c>
      <c r="BY998" s="215">
        <f t="shared" si="47"/>
        <v>0</v>
      </c>
    </row>
    <row r="999" spans="76:77" x14ac:dyDescent="0.2">
      <c r="BX999" s="214" t="e">
        <f t="shared" si="46"/>
        <v>#DIV/0!</v>
      </c>
      <c r="BY999" s="215">
        <f t="shared" si="47"/>
        <v>0</v>
      </c>
    </row>
    <row r="1000" spans="76:77" x14ac:dyDescent="0.2">
      <c r="BX1000" s="214" t="e">
        <f t="shared" si="46"/>
        <v>#DIV/0!</v>
      </c>
      <c r="BY1000" s="215">
        <f t="shared" si="47"/>
        <v>0</v>
      </c>
    </row>
    <row r="1001" spans="76:77" x14ac:dyDescent="0.2">
      <c r="BX1001" s="214" t="e">
        <f t="shared" si="46"/>
        <v>#DIV/0!</v>
      </c>
      <c r="BY1001" s="215">
        <f t="shared" si="47"/>
        <v>0</v>
      </c>
    </row>
    <row r="1002" spans="76:77" x14ac:dyDescent="0.2">
      <c r="BX1002" s="214" t="e">
        <f t="shared" si="46"/>
        <v>#DIV/0!</v>
      </c>
      <c r="BY1002" s="215">
        <f t="shared" si="47"/>
        <v>0</v>
      </c>
    </row>
    <row r="1003" spans="76:77" x14ac:dyDescent="0.2">
      <c r="BX1003" s="214" t="e">
        <f t="shared" si="46"/>
        <v>#DIV/0!</v>
      </c>
      <c r="BY1003" s="215">
        <f t="shared" si="47"/>
        <v>0</v>
      </c>
    </row>
    <row r="1004" spans="76:77" x14ac:dyDescent="0.2">
      <c r="BX1004" s="214" t="e">
        <f t="shared" si="46"/>
        <v>#DIV/0!</v>
      </c>
      <c r="BY1004" s="215">
        <f t="shared" si="47"/>
        <v>0</v>
      </c>
    </row>
    <row r="1005" spans="76:77" x14ac:dyDescent="0.2">
      <c r="BX1005" s="214" t="e">
        <f t="shared" si="46"/>
        <v>#DIV/0!</v>
      </c>
      <c r="BY1005" s="215">
        <f t="shared" si="47"/>
        <v>0</v>
      </c>
    </row>
    <row r="1006" spans="76:77" x14ac:dyDescent="0.2">
      <c r="BX1006" s="214" t="e">
        <f t="shared" si="46"/>
        <v>#DIV/0!</v>
      </c>
      <c r="BY1006" s="215">
        <f t="shared" si="47"/>
        <v>0</v>
      </c>
    </row>
    <row r="1007" spans="76:77" x14ac:dyDescent="0.2">
      <c r="BX1007" s="214" t="e">
        <f t="shared" si="46"/>
        <v>#DIV/0!</v>
      </c>
      <c r="BY1007" s="215">
        <f t="shared" si="47"/>
        <v>0</v>
      </c>
    </row>
    <row r="1008" spans="76:77" x14ac:dyDescent="0.2">
      <c r="BX1008" s="214" t="e">
        <f t="shared" si="46"/>
        <v>#DIV/0!</v>
      </c>
      <c r="BY1008" s="215">
        <f t="shared" si="47"/>
        <v>0</v>
      </c>
    </row>
    <row r="1009" spans="76:77" x14ac:dyDescent="0.2">
      <c r="BX1009" s="214" t="e">
        <f t="shared" si="46"/>
        <v>#DIV/0!</v>
      </c>
      <c r="BY1009" s="215">
        <f t="shared" si="47"/>
        <v>0</v>
      </c>
    </row>
    <row r="1010" spans="76:77" x14ac:dyDescent="0.2">
      <c r="BX1010" s="214" t="e">
        <f t="shared" si="46"/>
        <v>#DIV/0!</v>
      </c>
      <c r="BY1010" s="215">
        <f t="shared" si="47"/>
        <v>0</v>
      </c>
    </row>
    <row r="1011" spans="76:77" x14ac:dyDescent="0.2">
      <c r="BX1011" s="214" t="e">
        <f t="shared" si="46"/>
        <v>#DIV/0!</v>
      </c>
      <c r="BY1011" s="215">
        <f t="shared" si="47"/>
        <v>0</v>
      </c>
    </row>
    <row r="1012" spans="76:77" x14ac:dyDescent="0.2">
      <c r="BX1012" s="214" t="e">
        <f t="shared" si="46"/>
        <v>#DIV/0!</v>
      </c>
      <c r="BY1012" s="215">
        <f t="shared" si="47"/>
        <v>0</v>
      </c>
    </row>
    <row r="1013" spans="76:77" x14ac:dyDescent="0.2">
      <c r="BX1013" s="214" t="e">
        <f t="shared" si="46"/>
        <v>#DIV/0!</v>
      </c>
      <c r="BY1013" s="215">
        <f t="shared" si="47"/>
        <v>0</v>
      </c>
    </row>
    <row r="1014" spans="76:77" x14ac:dyDescent="0.2">
      <c r="BX1014" s="214" t="e">
        <f t="shared" si="46"/>
        <v>#DIV/0!</v>
      </c>
      <c r="BY1014" s="215">
        <f t="shared" si="47"/>
        <v>0</v>
      </c>
    </row>
    <row r="1015" spans="76:77" x14ac:dyDescent="0.2">
      <c r="BX1015" s="214" t="e">
        <f t="shared" si="46"/>
        <v>#DIV/0!</v>
      </c>
      <c r="BY1015" s="215">
        <f t="shared" si="47"/>
        <v>0</v>
      </c>
    </row>
    <row r="1016" spans="76:77" x14ac:dyDescent="0.2">
      <c r="BX1016" s="214" t="e">
        <f t="shared" si="46"/>
        <v>#DIV/0!</v>
      </c>
      <c r="BY1016" s="215">
        <f t="shared" si="47"/>
        <v>0</v>
      </c>
    </row>
    <row r="1017" spans="76:77" x14ac:dyDescent="0.2">
      <c r="BX1017" s="214" t="e">
        <f t="shared" si="46"/>
        <v>#DIV/0!</v>
      </c>
      <c r="BY1017" s="215">
        <f t="shared" si="47"/>
        <v>0</v>
      </c>
    </row>
    <row r="1018" spans="76:77" x14ac:dyDescent="0.2">
      <c r="BX1018" s="214" t="e">
        <f t="shared" si="46"/>
        <v>#DIV/0!</v>
      </c>
      <c r="BY1018" s="215">
        <f t="shared" si="47"/>
        <v>0</v>
      </c>
    </row>
    <row r="1019" spans="76:77" x14ac:dyDescent="0.2">
      <c r="BX1019" s="214" t="e">
        <f t="shared" si="46"/>
        <v>#DIV/0!</v>
      </c>
      <c r="BY1019" s="215">
        <f t="shared" si="47"/>
        <v>0</v>
      </c>
    </row>
    <row r="1020" spans="76:77" x14ac:dyDescent="0.2">
      <c r="BX1020" s="214" t="e">
        <f t="shared" si="46"/>
        <v>#DIV/0!</v>
      </c>
      <c r="BY1020" s="215">
        <f t="shared" si="47"/>
        <v>0</v>
      </c>
    </row>
    <row r="1021" spans="76:77" x14ac:dyDescent="0.2">
      <c r="BX1021" s="214" t="e">
        <f t="shared" si="46"/>
        <v>#DIV/0!</v>
      </c>
      <c r="BY1021" s="215">
        <f t="shared" si="47"/>
        <v>0</v>
      </c>
    </row>
    <row r="1022" spans="76:77" x14ac:dyDescent="0.2">
      <c r="BX1022" s="214" t="e">
        <f t="shared" si="46"/>
        <v>#DIV/0!</v>
      </c>
      <c r="BY1022" s="215">
        <f t="shared" si="47"/>
        <v>0</v>
      </c>
    </row>
    <row r="1023" spans="76:77" x14ac:dyDescent="0.2">
      <c r="BX1023" s="214" t="e">
        <f t="shared" si="46"/>
        <v>#DIV/0!</v>
      </c>
      <c r="BY1023" s="215">
        <f t="shared" si="47"/>
        <v>0</v>
      </c>
    </row>
    <row r="1024" spans="76:77" x14ac:dyDescent="0.2">
      <c r="BX1024" s="214" t="e">
        <f t="shared" si="46"/>
        <v>#DIV/0!</v>
      </c>
      <c r="BY1024" s="215">
        <f t="shared" si="47"/>
        <v>0</v>
      </c>
    </row>
    <row r="1025" spans="76:77" x14ac:dyDescent="0.2">
      <c r="BX1025" s="214" t="e">
        <f t="shared" si="46"/>
        <v>#DIV/0!</v>
      </c>
      <c r="BY1025" s="215">
        <f t="shared" si="47"/>
        <v>0</v>
      </c>
    </row>
    <row r="1026" spans="76:77" x14ac:dyDescent="0.2">
      <c r="BX1026" s="214" t="e">
        <f t="shared" si="46"/>
        <v>#DIV/0!</v>
      </c>
      <c r="BY1026" s="215">
        <f t="shared" si="47"/>
        <v>0</v>
      </c>
    </row>
    <row r="1027" spans="76:77" x14ac:dyDescent="0.2">
      <c r="BX1027" s="214" t="e">
        <f t="shared" si="46"/>
        <v>#DIV/0!</v>
      </c>
      <c r="BY1027" s="215">
        <f t="shared" si="47"/>
        <v>0</v>
      </c>
    </row>
    <row r="1028" spans="76:77" x14ac:dyDescent="0.2">
      <c r="BX1028" s="214" t="e">
        <f t="shared" si="46"/>
        <v>#DIV/0!</v>
      </c>
      <c r="BY1028" s="215">
        <f t="shared" si="47"/>
        <v>0</v>
      </c>
    </row>
    <row r="1029" spans="76:77" x14ac:dyDescent="0.2">
      <c r="BX1029" s="214" t="e">
        <f t="shared" si="46"/>
        <v>#DIV/0!</v>
      </c>
      <c r="BY1029" s="215">
        <f t="shared" si="47"/>
        <v>0</v>
      </c>
    </row>
    <row r="1030" spans="76:77" x14ac:dyDescent="0.2">
      <c r="BX1030" s="214" t="e">
        <f t="shared" si="46"/>
        <v>#DIV/0!</v>
      </c>
      <c r="BY1030" s="215">
        <f t="shared" si="47"/>
        <v>0</v>
      </c>
    </row>
    <row r="1031" spans="76:77" x14ac:dyDescent="0.2">
      <c r="BX1031" s="214" t="e">
        <f t="shared" si="46"/>
        <v>#DIV/0!</v>
      </c>
      <c r="BY1031" s="215">
        <f t="shared" si="47"/>
        <v>0</v>
      </c>
    </row>
    <row r="1032" spans="76:77" x14ac:dyDescent="0.2">
      <c r="BX1032" s="214" t="e">
        <f t="shared" si="46"/>
        <v>#DIV/0!</v>
      </c>
      <c r="BY1032" s="215">
        <f t="shared" si="47"/>
        <v>0</v>
      </c>
    </row>
    <row r="1033" spans="76:77" x14ac:dyDescent="0.2">
      <c r="BX1033" s="214" t="e">
        <f t="shared" si="46"/>
        <v>#DIV/0!</v>
      </c>
      <c r="BY1033" s="215">
        <f t="shared" si="47"/>
        <v>0</v>
      </c>
    </row>
    <row r="1034" spans="76:77" x14ac:dyDescent="0.2">
      <c r="BX1034" s="214" t="e">
        <f t="shared" si="46"/>
        <v>#DIV/0!</v>
      </c>
      <c r="BY1034" s="215">
        <f t="shared" si="47"/>
        <v>0</v>
      </c>
    </row>
    <row r="1035" spans="76:77" x14ac:dyDescent="0.2">
      <c r="BX1035" s="214" t="e">
        <f t="shared" si="46"/>
        <v>#DIV/0!</v>
      </c>
      <c r="BY1035" s="215">
        <f t="shared" si="47"/>
        <v>0</v>
      </c>
    </row>
    <row r="1036" spans="76:77" x14ac:dyDescent="0.2">
      <c r="BX1036" s="214" t="e">
        <f t="shared" si="46"/>
        <v>#DIV/0!</v>
      </c>
      <c r="BY1036" s="215">
        <f t="shared" si="47"/>
        <v>0</v>
      </c>
    </row>
    <row r="1037" spans="76:77" x14ac:dyDescent="0.2">
      <c r="BX1037" s="214" t="e">
        <f t="shared" ref="BX1037:BX1100" si="48">BY1037/BV1037</f>
        <v>#DIV/0!</v>
      </c>
      <c r="BY1037" s="215">
        <f t="shared" si="47"/>
        <v>0</v>
      </c>
    </row>
    <row r="1038" spans="76:77" x14ac:dyDescent="0.2">
      <c r="BX1038" s="214" t="e">
        <f t="shared" si="48"/>
        <v>#DIV/0!</v>
      </c>
      <c r="BY1038" s="215">
        <f t="shared" ref="BY1038:BY1101" si="49">BY1037+BW1038*(BV1038-BV1037)</f>
        <v>0</v>
      </c>
    </row>
    <row r="1039" spans="76:77" x14ac:dyDescent="0.2">
      <c r="BX1039" s="214" t="e">
        <f t="shared" si="48"/>
        <v>#DIV/0!</v>
      </c>
      <c r="BY1039" s="215">
        <f t="shared" si="49"/>
        <v>0</v>
      </c>
    </row>
    <row r="1040" spans="76:77" x14ac:dyDescent="0.2">
      <c r="BX1040" s="214" t="e">
        <f t="shared" si="48"/>
        <v>#DIV/0!</v>
      </c>
      <c r="BY1040" s="215">
        <f t="shared" si="49"/>
        <v>0</v>
      </c>
    </row>
    <row r="1041" spans="76:77" x14ac:dyDescent="0.2">
      <c r="BX1041" s="214" t="e">
        <f t="shared" si="48"/>
        <v>#DIV/0!</v>
      </c>
      <c r="BY1041" s="215">
        <f t="shared" si="49"/>
        <v>0</v>
      </c>
    </row>
    <row r="1042" spans="76:77" x14ac:dyDescent="0.2">
      <c r="BX1042" s="214" t="e">
        <f t="shared" si="48"/>
        <v>#DIV/0!</v>
      </c>
      <c r="BY1042" s="215">
        <f t="shared" si="49"/>
        <v>0</v>
      </c>
    </row>
    <row r="1043" spans="76:77" x14ac:dyDescent="0.2">
      <c r="BX1043" s="214" t="e">
        <f t="shared" si="48"/>
        <v>#DIV/0!</v>
      </c>
      <c r="BY1043" s="215">
        <f t="shared" si="49"/>
        <v>0</v>
      </c>
    </row>
    <row r="1044" spans="76:77" x14ac:dyDescent="0.2">
      <c r="BX1044" s="214" t="e">
        <f t="shared" si="48"/>
        <v>#DIV/0!</v>
      </c>
      <c r="BY1044" s="215">
        <f t="shared" si="49"/>
        <v>0</v>
      </c>
    </row>
    <row r="1045" spans="76:77" x14ac:dyDescent="0.2">
      <c r="BX1045" s="214" t="e">
        <f t="shared" si="48"/>
        <v>#DIV/0!</v>
      </c>
      <c r="BY1045" s="215">
        <f t="shared" si="49"/>
        <v>0</v>
      </c>
    </row>
    <row r="1046" spans="76:77" x14ac:dyDescent="0.2">
      <c r="BX1046" s="214" t="e">
        <f t="shared" si="48"/>
        <v>#DIV/0!</v>
      </c>
      <c r="BY1046" s="215">
        <f t="shared" si="49"/>
        <v>0</v>
      </c>
    </row>
    <row r="1047" spans="76:77" x14ac:dyDescent="0.2">
      <c r="BX1047" s="214" t="e">
        <f t="shared" si="48"/>
        <v>#DIV/0!</v>
      </c>
      <c r="BY1047" s="215">
        <f t="shared" si="49"/>
        <v>0</v>
      </c>
    </row>
    <row r="1048" spans="76:77" x14ac:dyDescent="0.2">
      <c r="BX1048" s="214" t="e">
        <f t="shared" si="48"/>
        <v>#DIV/0!</v>
      </c>
      <c r="BY1048" s="215">
        <f t="shared" si="49"/>
        <v>0</v>
      </c>
    </row>
    <row r="1049" spans="76:77" x14ac:dyDescent="0.2">
      <c r="BX1049" s="214" t="e">
        <f t="shared" si="48"/>
        <v>#DIV/0!</v>
      </c>
      <c r="BY1049" s="215">
        <f t="shared" si="49"/>
        <v>0</v>
      </c>
    </row>
    <row r="1050" spans="76:77" x14ac:dyDescent="0.2">
      <c r="BX1050" s="214" t="e">
        <f t="shared" si="48"/>
        <v>#DIV/0!</v>
      </c>
      <c r="BY1050" s="215">
        <f t="shared" si="49"/>
        <v>0</v>
      </c>
    </row>
    <row r="1051" spans="76:77" x14ac:dyDescent="0.2">
      <c r="BX1051" s="214" t="e">
        <f t="shared" si="48"/>
        <v>#DIV/0!</v>
      </c>
      <c r="BY1051" s="215">
        <f t="shared" si="49"/>
        <v>0</v>
      </c>
    </row>
    <row r="1052" spans="76:77" x14ac:dyDescent="0.2">
      <c r="BX1052" s="214" t="e">
        <f t="shared" si="48"/>
        <v>#DIV/0!</v>
      </c>
      <c r="BY1052" s="215">
        <f t="shared" si="49"/>
        <v>0</v>
      </c>
    </row>
    <row r="1053" spans="76:77" x14ac:dyDescent="0.2">
      <c r="BX1053" s="214" t="e">
        <f t="shared" si="48"/>
        <v>#DIV/0!</v>
      </c>
      <c r="BY1053" s="215">
        <f t="shared" si="49"/>
        <v>0</v>
      </c>
    </row>
    <row r="1054" spans="76:77" x14ac:dyDescent="0.2">
      <c r="BX1054" s="214" t="e">
        <f t="shared" si="48"/>
        <v>#DIV/0!</v>
      </c>
      <c r="BY1054" s="215">
        <f t="shared" si="49"/>
        <v>0</v>
      </c>
    </row>
    <row r="1055" spans="76:77" x14ac:dyDescent="0.2">
      <c r="BX1055" s="214" t="e">
        <f t="shared" si="48"/>
        <v>#DIV/0!</v>
      </c>
      <c r="BY1055" s="215">
        <f t="shared" si="49"/>
        <v>0</v>
      </c>
    </row>
    <row r="1056" spans="76:77" x14ac:dyDescent="0.2">
      <c r="BX1056" s="214" t="e">
        <f t="shared" si="48"/>
        <v>#DIV/0!</v>
      </c>
      <c r="BY1056" s="215">
        <f t="shared" si="49"/>
        <v>0</v>
      </c>
    </row>
    <row r="1057" spans="76:77" x14ac:dyDescent="0.2">
      <c r="BX1057" s="214" t="e">
        <f t="shared" si="48"/>
        <v>#DIV/0!</v>
      </c>
      <c r="BY1057" s="215">
        <f t="shared" si="49"/>
        <v>0</v>
      </c>
    </row>
    <row r="1058" spans="76:77" x14ac:dyDescent="0.2">
      <c r="BX1058" s="214" t="e">
        <f t="shared" si="48"/>
        <v>#DIV/0!</v>
      </c>
      <c r="BY1058" s="215">
        <f t="shared" si="49"/>
        <v>0</v>
      </c>
    </row>
    <row r="1059" spans="76:77" x14ac:dyDescent="0.2">
      <c r="BX1059" s="214" t="e">
        <f t="shared" si="48"/>
        <v>#DIV/0!</v>
      </c>
      <c r="BY1059" s="215">
        <f t="shared" si="49"/>
        <v>0</v>
      </c>
    </row>
    <row r="1060" spans="76:77" x14ac:dyDescent="0.2">
      <c r="BX1060" s="214" t="e">
        <f t="shared" si="48"/>
        <v>#DIV/0!</v>
      </c>
      <c r="BY1060" s="215">
        <f t="shared" si="49"/>
        <v>0</v>
      </c>
    </row>
    <row r="1061" spans="76:77" x14ac:dyDescent="0.2">
      <c r="BX1061" s="214" t="e">
        <f t="shared" si="48"/>
        <v>#DIV/0!</v>
      </c>
      <c r="BY1061" s="215">
        <f t="shared" si="49"/>
        <v>0</v>
      </c>
    </row>
    <row r="1062" spans="76:77" x14ac:dyDescent="0.2">
      <c r="BX1062" s="214" t="e">
        <f t="shared" si="48"/>
        <v>#DIV/0!</v>
      </c>
      <c r="BY1062" s="215">
        <f t="shared" si="49"/>
        <v>0</v>
      </c>
    </row>
    <row r="1063" spans="76:77" x14ac:dyDescent="0.2">
      <c r="BX1063" s="214" t="e">
        <f t="shared" si="48"/>
        <v>#DIV/0!</v>
      </c>
      <c r="BY1063" s="215">
        <f t="shared" si="49"/>
        <v>0</v>
      </c>
    </row>
    <row r="1064" spans="76:77" x14ac:dyDescent="0.2">
      <c r="BX1064" s="214" t="e">
        <f t="shared" si="48"/>
        <v>#DIV/0!</v>
      </c>
      <c r="BY1064" s="215">
        <f t="shared" si="49"/>
        <v>0</v>
      </c>
    </row>
    <row r="1065" spans="76:77" x14ac:dyDescent="0.2">
      <c r="BX1065" s="214" t="e">
        <f t="shared" si="48"/>
        <v>#DIV/0!</v>
      </c>
      <c r="BY1065" s="215">
        <f t="shared" si="49"/>
        <v>0</v>
      </c>
    </row>
    <row r="1066" spans="76:77" x14ac:dyDescent="0.2">
      <c r="BX1066" s="214" t="e">
        <f t="shared" si="48"/>
        <v>#DIV/0!</v>
      </c>
      <c r="BY1066" s="215">
        <f t="shared" si="49"/>
        <v>0</v>
      </c>
    </row>
    <row r="1067" spans="76:77" x14ac:dyDescent="0.2">
      <c r="BX1067" s="214" t="e">
        <f t="shared" si="48"/>
        <v>#DIV/0!</v>
      </c>
      <c r="BY1067" s="215">
        <f t="shared" si="49"/>
        <v>0</v>
      </c>
    </row>
    <row r="1068" spans="76:77" x14ac:dyDescent="0.2">
      <c r="BX1068" s="214" t="e">
        <f t="shared" si="48"/>
        <v>#DIV/0!</v>
      </c>
      <c r="BY1068" s="215">
        <f t="shared" si="49"/>
        <v>0</v>
      </c>
    </row>
    <row r="1069" spans="76:77" x14ac:dyDescent="0.2">
      <c r="BX1069" s="214" t="e">
        <f t="shared" si="48"/>
        <v>#DIV/0!</v>
      </c>
      <c r="BY1069" s="215">
        <f t="shared" si="49"/>
        <v>0</v>
      </c>
    </row>
    <row r="1070" spans="76:77" x14ac:dyDescent="0.2">
      <c r="BX1070" s="214" t="e">
        <f t="shared" si="48"/>
        <v>#DIV/0!</v>
      </c>
      <c r="BY1070" s="215">
        <f t="shared" si="49"/>
        <v>0</v>
      </c>
    </row>
    <row r="1071" spans="76:77" x14ac:dyDescent="0.2">
      <c r="BX1071" s="214" t="e">
        <f t="shared" si="48"/>
        <v>#DIV/0!</v>
      </c>
      <c r="BY1071" s="215">
        <f t="shared" si="49"/>
        <v>0</v>
      </c>
    </row>
    <row r="1072" spans="76:77" x14ac:dyDescent="0.2">
      <c r="BX1072" s="214" t="e">
        <f t="shared" si="48"/>
        <v>#DIV/0!</v>
      </c>
      <c r="BY1072" s="215">
        <f t="shared" si="49"/>
        <v>0</v>
      </c>
    </row>
    <row r="1073" spans="76:77" x14ac:dyDescent="0.2">
      <c r="BX1073" s="214" t="e">
        <f t="shared" si="48"/>
        <v>#DIV/0!</v>
      </c>
      <c r="BY1073" s="215">
        <f t="shared" si="49"/>
        <v>0</v>
      </c>
    </row>
    <row r="1074" spans="76:77" x14ac:dyDescent="0.2">
      <c r="BX1074" s="214" t="e">
        <f t="shared" si="48"/>
        <v>#DIV/0!</v>
      </c>
      <c r="BY1074" s="215">
        <f t="shared" si="49"/>
        <v>0</v>
      </c>
    </row>
    <row r="1075" spans="76:77" x14ac:dyDescent="0.2">
      <c r="BX1075" s="214" t="e">
        <f t="shared" si="48"/>
        <v>#DIV/0!</v>
      </c>
      <c r="BY1075" s="215">
        <f t="shared" si="49"/>
        <v>0</v>
      </c>
    </row>
    <row r="1076" spans="76:77" x14ac:dyDescent="0.2">
      <c r="BX1076" s="214" t="e">
        <f t="shared" si="48"/>
        <v>#DIV/0!</v>
      </c>
      <c r="BY1076" s="215">
        <f t="shared" si="49"/>
        <v>0</v>
      </c>
    </row>
    <row r="1077" spans="76:77" x14ac:dyDescent="0.2">
      <c r="BX1077" s="214" t="e">
        <f t="shared" si="48"/>
        <v>#DIV/0!</v>
      </c>
      <c r="BY1077" s="215">
        <f t="shared" si="49"/>
        <v>0</v>
      </c>
    </row>
    <row r="1078" spans="76:77" x14ac:dyDescent="0.2">
      <c r="BX1078" s="214" t="e">
        <f t="shared" si="48"/>
        <v>#DIV/0!</v>
      </c>
      <c r="BY1078" s="215">
        <f t="shared" si="49"/>
        <v>0</v>
      </c>
    </row>
    <row r="1079" spans="76:77" x14ac:dyDescent="0.2">
      <c r="BX1079" s="214" t="e">
        <f t="shared" si="48"/>
        <v>#DIV/0!</v>
      </c>
      <c r="BY1079" s="215">
        <f t="shared" si="49"/>
        <v>0</v>
      </c>
    </row>
    <row r="1080" spans="76:77" x14ac:dyDescent="0.2">
      <c r="BX1080" s="214" t="e">
        <f t="shared" si="48"/>
        <v>#DIV/0!</v>
      </c>
      <c r="BY1080" s="215">
        <f t="shared" si="49"/>
        <v>0</v>
      </c>
    </row>
    <row r="1081" spans="76:77" x14ac:dyDescent="0.2">
      <c r="BX1081" s="214" t="e">
        <f t="shared" si="48"/>
        <v>#DIV/0!</v>
      </c>
      <c r="BY1081" s="215">
        <f t="shared" si="49"/>
        <v>0</v>
      </c>
    </row>
    <row r="1082" spans="76:77" x14ac:dyDescent="0.2">
      <c r="BX1082" s="214" t="e">
        <f t="shared" si="48"/>
        <v>#DIV/0!</v>
      </c>
      <c r="BY1082" s="215">
        <f t="shared" si="49"/>
        <v>0</v>
      </c>
    </row>
    <row r="1083" spans="76:77" x14ac:dyDescent="0.2">
      <c r="BX1083" s="214" t="e">
        <f t="shared" si="48"/>
        <v>#DIV/0!</v>
      </c>
      <c r="BY1083" s="215">
        <f t="shared" si="49"/>
        <v>0</v>
      </c>
    </row>
    <row r="1084" spans="76:77" x14ac:dyDescent="0.2">
      <c r="BX1084" s="214" t="e">
        <f t="shared" si="48"/>
        <v>#DIV/0!</v>
      </c>
      <c r="BY1084" s="215">
        <f t="shared" si="49"/>
        <v>0</v>
      </c>
    </row>
    <row r="1085" spans="76:77" x14ac:dyDescent="0.2">
      <c r="BX1085" s="214" t="e">
        <f t="shared" si="48"/>
        <v>#DIV/0!</v>
      </c>
      <c r="BY1085" s="215">
        <f t="shared" si="49"/>
        <v>0</v>
      </c>
    </row>
    <row r="1086" spans="76:77" x14ac:dyDescent="0.2">
      <c r="BX1086" s="214" t="e">
        <f t="shared" si="48"/>
        <v>#DIV/0!</v>
      </c>
      <c r="BY1086" s="215">
        <f t="shared" si="49"/>
        <v>0</v>
      </c>
    </row>
    <row r="1087" spans="76:77" x14ac:dyDescent="0.2">
      <c r="BX1087" s="214" t="e">
        <f t="shared" si="48"/>
        <v>#DIV/0!</v>
      </c>
      <c r="BY1087" s="215">
        <f t="shared" si="49"/>
        <v>0</v>
      </c>
    </row>
    <row r="1088" spans="76:77" x14ac:dyDescent="0.2">
      <c r="BX1088" s="214" t="e">
        <f t="shared" si="48"/>
        <v>#DIV/0!</v>
      </c>
      <c r="BY1088" s="215">
        <f t="shared" si="49"/>
        <v>0</v>
      </c>
    </row>
    <row r="1089" spans="76:77" x14ac:dyDescent="0.2">
      <c r="BX1089" s="214" t="e">
        <f t="shared" si="48"/>
        <v>#DIV/0!</v>
      </c>
      <c r="BY1089" s="215">
        <f t="shared" si="49"/>
        <v>0</v>
      </c>
    </row>
    <row r="1090" spans="76:77" x14ac:dyDescent="0.2">
      <c r="BX1090" s="214" t="e">
        <f t="shared" si="48"/>
        <v>#DIV/0!</v>
      </c>
      <c r="BY1090" s="215">
        <f t="shared" si="49"/>
        <v>0</v>
      </c>
    </row>
    <row r="1091" spans="76:77" x14ac:dyDescent="0.2">
      <c r="BX1091" s="214" t="e">
        <f t="shared" si="48"/>
        <v>#DIV/0!</v>
      </c>
      <c r="BY1091" s="215">
        <f t="shared" si="49"/>
        <v>0</v>
      </c>
    </row>
    <row r="1092" spans="76:77" x14ac:dyDescent="0.2">
      <c r="BX1092" s="214" t="e">
        <f t="shared" si="48"/>
        <v>#DIV/0!</v>
      </c>
      <c r="BY1092" s="215">
        <f t="shared" si="49"/>
        <v>0</v>
      </c>
    </row>
    <row r="1093" spans="76:77" x14ac:dyDescent="0.2">
      <c r="BX1093" s="214" t="e">
        <f t="shared" si="48"/>
        <v>#DIV/0!</v>
      </c>
      <c r="BY1093" s="215">
        <f t="shared" si="49"/>
        <v>0</v>
      </c>
    </row>
    <row r="1094" spans="76:77" x14ac:dyDescent="0.2">
      <c r="BX1094" s="214" t="e">
        <f t="shared" si="48"/>
        <v>#DIV/0!</v>
      </c>
      <c r="BY1094" s="215">
        <f t="shared" si="49"/>
        <v>0</v>
      </c>
    </row>
    <row r="1095" spans="76:77" x14ac:dyDescent="0.2">
      <c r="BX1095" s="214" t="e">
        <f t="shared" si="48"/>
        <v>#DIV/0!</v>
      </c>
      <c r="BY1095" s="215">
        <f t="shared" si="49"/>
        <v>0</v>
      </c>
    </row>
    <row r="1096" spans="76:77" x14ac:dyDescent="0.2">
      <c r="BX1096" s="214" t="e">
        <f t="shared" si="48"/>
        <v>#DIV/0!</v>
      </c>
      <c r="BY1096" s="215">
        <f t="shared" si="49"/>
        <v>0</v>
      </c>
    </row>
    <row r="1097" spans="76:77" x14ac:dyDescent="0.2">
      <c r="BX1097" s="214" t="e">
        <f t="shared" si="48"/>
        <v>#DIV/0!</v>
      </c>
      <c r="BY1097" s="215">
        <f t="shared" si="49"/>
        <v>0</v>
      </c>
    </row>
    <row r="1098" spans="76:77" x14ac:dyDescent="0.2">
      <c r="BX1098" s="214" t="e">
        <f t="shared" si="48"/>
        <v>#DIV/0!</v>
      </c>
      <c r="BY1098" s="215">
        <f t="shared" si="49"/>
        <v>0</v>
      </c>
    </row>
    <row r="1099" spans="76:77" x14ac:dyDescent="0.2">
      <c r="BX1099" s="214" t="e">
        <f t="shared" si="48"/>
        <v>#DIV/0!</v>
      </c>
      <c r="BY1099" s="215">
        <f t="shared" si="49"/>
        <v>0</v>
      </c>
    </row>
    <row r="1100" spans="76:77" x14ac:dyDescent="0.2">
      <c r="BX1100" s="214" t="e">
        <f t="shared" si="48"/>
        <v>#DIV/0!</v>
      </c>
      <c r="BY1100" s="215">
        <f t="shared" si="49"/>
        <v>0</v>
      </c>
    </row>
    <row r="1101" spans="76:77" x14ac:dyDescent="0.2">
      <c r="BX1101" s="214" t="e">
        <f t="shared" ref="BX1101:BX1164" si="50">BY1101/BV1101</f>
        <v>#DIV/0!</v>
      </c>
      <c r="BY1101" s="215">
        <f t="shared" si="49"/>
        <v>0</v>
      </c>
    </row>
    <row r="1102" spans="76:77" x14ac:dyDescent="0.2">
      <c r="BX1102" s="214" t="e">
        <f t="shared" si="50"/>
        <v>#DIV/0!</v>
      </c>
      <c r="BY1102" s="215">
        <f t="shared" ref="BY1102:BY1165" si="51">BY1101+BW1102*(BV1102-BV1101)</f>
        <v>0</v>
      </c>
    </row>
    <row r="1103" spans="76:77" x14ac:dyDescent="0.2">
      <c r="BX1103" s="214" t="e">
        <f t="shared" si="50"/>
        <v>#DIV/0!</v>
      </c>
      <c r="BY1103" s="215">
        <f t="shared" si="51"/>
        <v>0</v>
      </c>
    </row>
    <row r="1104" spans="76:77" x14ac:dyDescent="0.2">
      <c r="BX1104" s="214" t="e">
        <f t="shared" si="50"/>
        <v>#DIV/0!</v>
      </c>
      <c r="BY1104" s="215">
        <f t="shared" si="51"/>
        <v>0</v>
      </c>
    </row>
    <row r="1105" spans="76:77" x14ac:dyDescent="0.2">
      <c r="BX1105" s="214" t="e">
        <f t="shared" si="50"/>
        <v>#DIV/0!</v>
      </c>
      <c r="BY1105" s="215">
        <f t="shared" si="51"/>
        <v>0</v>
      </c>
    </row>
    <row r="1106" spans="76:77" x14ac:dyDescent="0.2">
      <c r="BX1106" s="214" t="e">
        <f t="shared" si="50"/>
        <v>#DIV/0!</v>
      </c>
      <c r="BY1106" s="215">
        <f t="shared" si="51"/>
        <v>0</v>
      </c>
    </row>
    <row r="1107" spans="76:77" x14ac:dyDescent="0.2">
      <c r="BX1107" s="214" t="e">
        <f t="shared" si="50"/>
        <v>#DIV/0!</v>
      </c>
      <c r="BY1107" s="215">
        <f t="shared" si="51"/>
        <v>0</v>
      </c>
    </row>
    <row r="1108" spans="76:77" x14ac:dyDescent="0.2">
      <c r="BX1108" s="214" t="e">
        <f t="shared" si="50"/>
        <v>#DIV/0!</v>
      </c>
      <c r="BY1108" s="215">
        <f t="shared" si="51"/>
        <v>0</v>
      </c>
    </row>
    <row r="1109" spans="76:77" x14ac:dyDescent="0.2">
      <c r="BX1109" s="214" t="e">
        <f t="shared" si="50"/>
        <v>#DIV/0!</v>
      </c>
      <c r="BY1109" s="215">
        <f t="shared" si="51"/>
        <v>0</v>
      </c>
    </row>
    <row r="1110" spans="76:77" x14ac:dyDescent="0.2">
      <c r="BX1110" s="214" t="e">
        <f t="shared" si="50"/>
        <v>#DIV/0!</v>
      </c>
      <c r="BY1110" s="215">
        <f t="shared" si="51"/>
        <v>0</v>
      </c>
    </row>
    <row r="1111" spans="76:77" x14ac:dyDescent="0.2">
      <c r="BX1111" s="214" t="e">
        <f t="shared" si="50"/>
        <v>#DIV/0!</v>
      </c>
      <c r="BY1111" s="215">
        <f t="shared" si="51"/>
        <v>0</v>
      </c>
    </row>
    <row r="1112" spans="76:77" x14ac:dyDescent="0.2">
      <c r="BX1112" s="214" t="e">
        <f t="shared" si="50"/>
        <v>#DIV/0!</v>
      </c>
      <c r="BY1112" s="215">
        <f t="shared" si="51"/>
        <v>0</v>
      </c>
    </row>
    <row r="1113" spans="76:77" x14ac:dyDescent="0.2">
      <c r="BX1113" s="214" t="e">
        <f t="shared" si="50"/>
        <v>#DIV/0!</v>
      </c>
      <c r="BY1113" s="215">
        <f t="shared" si="51"/>
        <v>0</v>
      </c>
    </row>
    <row r="1114" spans="76:77" x14ac:dyDescent="0.2">
      <c r="BX1114" s="214" t="e">
        <f t="shared" si="50"/>
        <v>#DIV/0!</v>
      </c>
      <c r="BY1114" s="215">
        <f t="shared" si="51"/>
        <v>0</v>
      </c>
    </row>
    <row r="1115" spans="76:77" x14ac:dyDescent="0.2">
      <c r="BX1115" s="214" t="e">
        <f t="shared" si="50"/>
        <v>#DIV/0!</v>
      </c>
      <c r="BY1115" s="215">
        <f t="shared" si="51"/>
        <v>0</v>
      </c>
    </row>
    <row r="1116" spans="76:77" x14ac:dyDescent="0.2">
      <c r="BX1116" s="214" t="e">
        <f t="shared" si="50"/>
        <v>#DIV/0!</v>
      </c>
      <c r="BY1116" s="215">
        <f t="shared" si="51"/>
        <v>0</v>
      </c>
    </row>
    <row r="1117" spans="76:77" x14ac:dyDescent="0.2">
      <c r="BX1117" s="214" t="e">
        <f t="shared" si="50"/>
        <v>#DIV/0!</v>
      </c>
      <c r="BY1117" s="215">
        <f t="shared" si="51"/>
        <v>0</v>
      </c>
    </row>
    <row r="1118" spans="76:77" x14ac:dyDescent="0.2">
      <c r="BX1118" s="214" t="e">
        <f t="shared" si="50"/>
        <v>#DIV/0!</v>
      </c>
      <c r="BY1118" s="215">
        <f t="shared" si="51"/>
        <v>0</v>
      </c>
    </row>
    <row r="1119" spans="76:77" x14ac:dyDescent="0.2">
      <c r="BX1119" s="214" t="e">
        <f t="shared" si="50"/>
        <v>#DIV/0!</v>
      </c>
      <c r="BY1119" s="215">
        <f t="shared" si="51"/>
        <v>0</v>
      </c>
    </row>
    <row r="1120" spans="76:77" x14ac:dyDescent="0.2">
      <c r="BX1120" s="214" t="e">
        <f t="shared" si="50"/>
        <v>#DIV/0!</v>
      </c>
      <c r="BY1120" s="215">
        <f t="shared" si="51"/>
        <v>0</v>
      </c>
    </row>
    <row r="1121" spans="76:77" x14ac:dyDescent="0.2">
      <c r="BX1121" s="214" t="e">
        <f t="shared" si="50"/>
        <v>#DIV/0!</v>
      </c>
      <c r="BY1121" s="215">
        <f t="shared" si="51"/>
        <v>0</v>
      </c>
    </row>
    <row r="1122" spans="76:77" x14ac:dyDescent="0.2">
      <c r="BX1122" s="214" t="e">
        <f t="shared" si="50"/>
        <v>#DIV/0!</v>
      </c>
      <c r="BY1122" s="215">
        <f t="shared" si="51"/>
        <v>0</v>
      </c>
    </row>
    <row r="1123" spans="76:77" x14ac:dyDescent="0.2">
      <c r="BX1123" s="214" t="e">
        <f t="shared" si="50"/>
        <v>#DIV/0!</v>
      </c>
      <c r="BY1123" s="215">
        <f t="shared" si="51"/>
        <v>0</v>
      </c>
    </row>
    <row r="1124" spans="76:77" x14ac:dyDescent="0.2">
      <c r="BX1124" s="214" t="e">
        <f t="shared" si="50"/>
        <v>#DIV/0!</v>
      </c>
      <c r="BY1124" s="215">
        <f t="shared" si="51"/>
        <v>0</v>
      </c>
    </row>
    <row r="1125" spans="76:77" x14ac:dyDescent="0.2">
      <c r="BX1125" s="214" t="e">
        <f t="shared" si="50"/>
        <v>#DIV/0!</v>
      </c>
      <c r="BY1125" s="215">
        <f t="shared" si="51"/>
        <v>0</v>
      </c>
    </row>
    <row r="1126" spans="76:77" x14ac:dyDescent="0.2">
      <c r="BX1126" s="214" t="e">
        <f t="shared" si="50"/>
        <v>#DIV/0!</v>
      </c>
      <c r="BY1126" s="215">
        <f t="shared" si="51"/>
        <v>0</v>
      </c>
    </row>
    <row r="1127" spans="76:77" x14ac:dyDescent="0.2">
      <c r="BX1127" s="214" t="e">
        <f t="shared" si="50"/>
        <v>#DIV/0!</v>
      </c>
      <c r="BY1127" s="215">
        <f t="shared" si="51"/>
        <v>0</v>
      </c>
    </row>
    <row r="1128" spans="76:77" x14ac:dyDescent="0.2">
      <c r="BX1128" s="214" t="e">
        <f t="shared" si="50"/>
        <v>#DIV/0!</v>
      </c>
      <c r="BY1128" s="215">
        <f t="shared" si="51"/>
        <v>0</v>
      </c>
    </row>
    <row r="1129" spans="76:77" x14ac:dyDescent="0.2">
      <c r="BX1129" s="214" t="e">
        <f t="shared" si="50"/>
        <v>#DIV/0!</v>
      </c>
      <c r="BY1129" s="215">
        <f t="shared" si="51"/>
        <v>0</v>
      </c>
    </row>
    <row r="1130" spans="76:77" x14ac:dyDescent="0.2">
      <c r="BX1130" s="214" t="e">
        <f t="shared" si="50"/>
        <v>#DIV/0!</v>
      </c>
      <c r="BY1130" s="215">
        <f t="shared" si="51"/>
        <v>0</v>
      </c>
    </row>
    <row r="1131" spans="76:77" x14ac:dyDescent="0.2">
      <c r="BX1131" s="214" t="e">
        <f t="shared" si="50"/>
        <v>#DIV/0!</v>
      </c>
      <c r="BY1131" s="215">
        <f t="shared" si="51"/>
        <v>0</v>
      </c>
    </row>
    <row r="1132" spans="76:77" x14ac:dyDescent="0.2">
      <c r="BX1132" s="214" t="e">
        <f t="shared" si="50"/>
        <v>#DIV/0!</v>
      </c>
      <c r="BY1132" s="215">
        <f t="shared" si="51"/>
        <v>0</v>
      </c>
    </row>
    <row r="1133" spans="76:77" x14ac:dyDescent="0.2">
      <c r="BX1133" s="214" t="e">
        <f t="shared" si="50"/>
        <v>#DIV/0!</v>
      </c>
      <c r="BY1133" s="215">
        <f t="shared" si="51"/>
        <v>0</v>
      </c>
    </row>
    <row r="1134" spans="76:77" x14ac:dyDescent="0.2">
      <c r="BX1134" s="214" t="e">
        <f t="shared" si="50"/>
        <v>#DIV/0!</v>
      </c>
      <c r="BY1134" s="215">
        <f t="shared" si="51"/>
        <v>0</v>
      </c>
    </row>
    <row r="1135" spans="76:77" x14ac:dyDescent="0.2">
      <c r="BX1135" s="214" t="e">
        <f t="shared" si="50"/>
        <v>#DIV/0!</v>
      </c>
      <c r="BY1135" s="215">
        <f t="shared" si="51"/>
        <v>0</v>
      </c>
    </row>
    <row r="1136" spans="76:77" x14ac:dyDescent="0.2">
      <c r="BX1136" s="214" t="e">
        <f t="shared" si="50"/>
        <v>#DIV/0!</v>
      </c>
      <c r="BY1136" s="215">
        <f t="shared" si="51"/>
        <v>0</v>
      </c>
    </row>
    <row r="1137" spans="76:77" x14ac:dyDescent="0.2">
      <c r="BX1137" s="214" t="e">
        <f t="shared" si="50"/>
        <v>#DIV/0!</v>
      </c>
      <c r="BY1137" s="215">
        <f t="shared" si="51"/>
        <v>0</v>
      </c>
    </row>
    <row r="1138" spans="76:77" x14ac:dyDescent="0.2">
      <c r="BX1138" s="214" t="e">
        <f t="shared" si="50"/>
        <v>#DIV/0!</v>
      </c>
      <c r="BY1138" s="215">
        <f t="shared" si="51"/>
        <v>0</v>
      </c>
    </row>
    <row r="1139" spans="76:77" x14ac:dyDescent="0.2">
      <c r="BX1139" s="214" t="e">
        <f t="shared" si="50"/>
        <v>#DIV/0!</v>
      </c>
      <c r="BY1139" s="215">
        <f t="shared" si="51"/>
        <v>0</v>
      </c>
    </row>
    <row r="1140" spans="76:77" x14ac:dyDescent="0.2">
      <c r="BX1140" s="214" t="e">
        <f t="shared" si="50"/>
        <v>#DIV/0!</v>
      </c>
      <c r="BY1140" s="215">
        <f t="shared" si="51"/>
        <v>0</v>
      </c>
    </row>
    <row r="1141" spans="76:77" x14ac:dyDescent="0.2">
      <c r="BX1141" s="214" t="e">
        <f t="shared" si="50"/>
        <v>#DIV/0!</v>
      </c>
      <c r="BY1141" s="215">
        <f t="shared" si="51"/>
        <v>0</v>
      </c>
    </row>
    <row r="1142" spans="76:77" x14ac:dyDescent="0.2">
      <c r="BX1142" s="214" t="e">
        <f t="shared" si="50"/>
        <v>#DIV/0!</v>
      </c>
      <c r="BY1142" s="215">
        <f t="shared" si="51"/>
        <v>0</v>
      </c>
    </row>
    <row r="1143" spans="76:77" x14ac:dyDescent="0.2">
      <c r="BX1143" s="214" t="e">
        <f t="shared" si="50"/>
        <v>#DIV/0!</v>
      </c>
      <c r="BY1143" s="215">
        <f t="shared" si="51"/>
        <v>0</v>
      </c>
    </row>
    <row r="1144" spans="76:77" x14ac:dyDescent="0.2">
      <c r="BX1144" s="214" t="e">
        <f t="shared" si="50"/>
        <v>#DIV/0!</v>
      </c>
      <c r="BY1144" s="215">
        <f t="shared" si="51"/>
        <v>0</v>
      </c>
    </row>
    <row r="1145" spans="76:77" x14ac:dyDescent="0.2">
      <c r="BX1145" s="214" t="e">
        <f t="shared" si="50"/>
        <v>#DIV/0!</v>
      </c>
      <c r="BY1145" s="215">
        <f t="shared" si="51"/>
        <v>0</v>
      </c>
    </row>
    <row r="1146" spans="76:77" x14ac:dyDescent="0.2">
      <c r="BX1146" s="214" t="e">
        <f t="shared" si="50"/>
        <v>#DIV/0!</v>
      </c>
      <c r="BY1146" s="215">
        <f t="shared" si="51"/>
        <v>0</v>
      </c>
    </row>
    <row r="1147" spans="76:77" x14ac:dyDescent="0.2">
      <c r="BX1147" s="214" t="e">
        <f t="shared" si="50"/>
        <v>#DIV/0!</v>
      </c>
      <c r="BY1147" s="215">
        <f t="shared" si="51"/>
        <v>0</v>
      </c>
    </row>
    <row r="1148" spans="76:77" x14ac:dyDescent="0.2">
      <c r="BX1148" s="214" t="e">
        <f t="shared" si="50"/>
        <v>#DIV/0!</v>
      </c>
      <c r="BY1148" s="215">
        <f t="shared" si="51"/>
        <v>0</v>
      </c>
    </row>
    <row r="1149" spans="76:77" x14ac:dyDescent="0.2">
      <c r="BX1149" s="214" t="e">
        <f t="shared" si="50"/>
        <v>#DIV/0!</v>
      </c>
      <c r="BY1149" s="215">
        <f t="shared" si="51"/>
        <v>0</v>
      </c>
    </row>
    <row r="1150" spans="76:77" x14ac:dyDescent="0.2">
      <c r="BX1150" s="214" t="e">
        <f t="shared" si="50"/>
        <v>#DIV/0!</v>
      </c>
      <c r="BY1150" s="215">
        <f t="shared" si="51"/>
        <v>0</v>
      </c>
    </row>
    <row r="1151" spans="76:77" x14ac:dyDescent="0.2">
      <c r="BX1151" s="214" t="e">
        <f t="shared" si="50"/>
        <v>#DIV/0!</v>
      </c>
      <c r="BY1151" s="215">
        <f t="shared" si="51"/>
        <v>0</v>
      </c>
    </row>
    <row r="1152" spans="76:77" x14ac:dyDescent="0.2">
      <c r="BX1152" s="214" t="e">
        <f t="shared" si="50"/>
        <v>#DIV/0!</v>
      </c>
      <c r="BY1152" s="215">
        <f t="shared" si="51"/>
        <v>0</v>
      </c>
    </row>
    <row r="1153" spans="76:77" x14ac:dyDescent="0.2">
      <c r="BX1153" s="214" t="e">
        <f t="shared" si="50"/>
        <v>#DIV/0!</v>
      </c>
      <c r="BY1153" s="215">
        <f t="shared" si="51"/>
        <v>0</v>
      </c>
    </row>
    <row r="1154" spans="76:77" x14ac:dyDescent="0.2">
      <c r="BX1154" s="214" t="e">
        <f t="shared" si="50"/>
        <v>#DIV/0!</v>
      </c>
      <c r="BY1154" s="215">
        <f t="shared" si="51"/>
        <v>0</v>
      </c>
    </row>
    <row r="1155" spans="76:77" x14ac:dyDescent="0.2">
      <c r="BX1155" s="214" t="e">
        <f t="shared" si="50"/>
        <v>#DIV/0!</v>
      </c>
      <c r="BY1155" s="215">
        <f t="shared" si="51"/>
        <v>0</v>
      </c>
    </row>
    <row r="1156" spans="76:77" x14ac:dyDescent="0.2">
      <c r="BX1156" s="214" t="e">
        <f t="shared" si="50"/>
        <v>#DIV/0!</v>
      </c>
      <c r="BY1156" s="215">
        <f t="shared" si="51"/>
        <v>0</v>
      </c>
    </row>
    <row r="1157" spans="76:77" x14ac:dyDescent="0.2">
      <c r="BX1157" s="214" t="e">
        <f t="shared" si="50"/>
        <v>#DIV/0!</v>
      </c>
      <c r="BY1157" s="215">
        <f t="shared" si="51"/>
        <v>0</v>
      </c>
    </row>
    <row r="1158" spans="76:77" x14ac:dyDescent="0.2">
      <c r="BX1158" s="214" t="e">
        <f t="shared" si="50"/>
        <v>#DIV/0!</v>
      </c>
      <c r="BY1158" s="215">
        <f t="shared" si="51"/>
        <v>0</v>
      </c>
    </row>
    <row r="1159" spans="76:77" x14ac:dyDescent="0.2">
      <c r="BX1159" s="214" t="e">
        <f t="shared" si="50"/>
        <v>#DIV/0!</v>
      </c>
      <c r="BY1159" s="215">
        <f t="shared" si="51"/>
        <v>0</v>
      </c>
    </row>
    <row r="1160" spans="76:77" x14ac:dyDescent="0.2">
      <c r="BX1160" s="214" t="e">
        <f t="shared" si="50"/>
        <v>#DIV/0!</v>
      </c>
      <c r="BY1160" s="215">
        <f t="shared" si="51"/>
        <v>0</v>
      </c>
    </row>
    <row r="1161" spans="76:77" x14ac:dyDescent="0.2">
      <c r="BX1161" s="214" t="e">
        <f t="shared" si="50"/>
        <v>#DIV/0!</v>
      </c>
      <c r="BY1161" s="215">
        <f t="shared" si="51"/>
        <v>0</v>
      </c>
    </row>
    <row r="1162" spans="76:77" x14ac:dyDescent="0.2">
      <c r="BX1162" s="214" t="e">
        <f t="shared" si="50"/>
        <v>#DIV/0!</v>
      </c>
      <c r="BY1162" s="215">
        <f t="shared" si="51"/>
        <v>0</v>
      </c>
    </row>
    <row r="1163" spans="76:77" x14ac:dyDescent="0.2">
      <c r="BX1163" s="214" t="e">
        <f t="shared" si="50"/>
        <v>#DIV/0!</v>
      </c>
      <c r="BY1163" s="215">
        <f t="shared" si="51"/>
        <v>0</v>
      </c>
    </row>
    <row r="1164" spans="76:77" x14ac:dyDescent="0.2">
      <c r="BX1164" s="214" t="e">
        <f t="shared" si="50"/>
        <v>#DIV/0!</v>
      </c>
      <c r="BY1164" s="215">
        <f t="shared" si="51"/>
        <v>0</v>
      </c>
    </row>
    <row r="1165" spans="76:77" x14ac:dyDescent="0.2">
      <c r="BX1165" s="214" t="e">
        <f t="shared" ref="BX1165:BX1228" si="52">BY1165/BV1165</f>
        <v>#DIV/0!</v>
      </c>
      <c r="BY1165" s="215">
        <f t="shared" si="51"/>
        <v>0</v>
      </c>
    </row>
    <row r="1166" spans="76:77" x14ac:dyDescent="0.2">
      <c r="BX1166" s="214" t="e">
        <f t="shared" si="52"/>
        <v>#DIV/0!</v>
      </c>
      <c r="BY1166" s="215">
        <f t="shared" ref="BY1166:BY1229" si="53">BY1165+BW1166*(BV1166-BV1165)</f>
        <v>0</v>
      </c>
    </row>
    <row r="1167" spans="76:77" x14ac:dyDescent="0.2">
      <c r="BX1167" s="214" t="e">
        <f t="shared" si="52"/>
        <v>#DIV/0!</v>
      </c>
      <c r="BY1167" s="215">
        <f t="shared" si="53"/>
        <v>0</v>
      </c>
    </row>
    <row r="1168" spans="76:77" x14ac:dyDescent="0.2">
      <c r="BX1168" s="214" t="e">
        <f t="shared" si="52"/>
        <v>#DIV/0!</v>
      </c>
      <c r="BY1168" s="215">
        <f t="shared" si="53"/>
        <v>0</v>
      </c>
    </row>
    <row r="1169" spans="76:77" x14ac:dyDescent="0.2">
      <c r="BX1169" s="214" t="e">
        <f t="shared" si="52"/>
        <v>#DIV/0!</v>
      </c>
      <c r="BY1169" s="215">
        <f t="shared" si="53"/>
        <v>0</v>
      </c>
    </row>
    <row r="1170" spans="76:77" x14ac:dyDescent="0.2">
      <c r="BX1170" s="214" t="e">
        <f t="shared" si="52"/>
        <v>#DIV/0!</v>
      </c>
      <c r="BY1170" s="215">
        <f t="shared" si="53"/>
        <v>0</v>
      </c>
    </row>
    <row r="1171" spans="76:77" x14ac:dyDescent="0.2">
      <c r="BX1171" s="214" t="e">
        <f t="shared" si="52"/>
        <v>#DIV/0!</v>
      </c>
      <c r="BY1171" s="215">
        <f t="shared" si="53"/>
        <v>0</v>
      </c>
    </row>
    <row r="1172" spans="76:77" x14ac:dyDescent="0.2">
      <c r="BX1172" s="214" t="e">
        <f t="shared" si="52"/>
        <v>#DIV/0!</v>
      </c>
      <c r="BY1172" s="215">
        <f t="shared" si="53"/>
        <v>0</v>
      </c>
    </row>
    <row r="1173" spans="76:77" x14ac:dyDescent="0.2">
      <c r="BX1173" s="214" t="e">
        <f t="shared" si="52"/>
        <v>#DIV/0!</v>
      </c>
      <c r="BY1173" s="215">
        <f t="shared" si="53"/>
        <v>0</v>
      </c>
    </row>
    <row r="1174" spans="76:77" x14ac:dyDescent="0.2">
      <c r="BX1174" s="214" t="e">
        <f t="shared" si="52"/>
        <v>#DIV/0!</v>
      </c>
      <c r="BY1174" s="215">
        <f t="shared" si="53"/>
        <v>0</v>
      </c>
    </row>
    <row r="1175" spans="76:77" x14ac:dyDescent="0.2">
      <c r="BX1175" s="214" t="e">
        <f t="shared" si="52"/>
        <v>#DIV/0!</v>
      </c>
      <c r="BY1175" s="215">
        <f t="shared" si="53"/>
        <v>0</v>
      </c>
    </row>
    <row r="1176" spans="76:77" x14ac:dyDescent="0.2">
      <c r="BX1176" s="214" t="e">
        <f t="shared" si="52"/>
        <v>#DIV/0!</v>
      </c>
      <c r="BY1176" s="215">
        <f t="shared" si="53"/>
        <v>0</v>
      </c>
    </row>
    <row r="1177" spans="76:77" x14ac:dyDescent="0.2">
      <c r="BX1177" s="214" t="e">
        <f t="shared" si="52"/>
        <v>#DIV/0!</v>
      </c>
      <c r="BY1177" s="215">
        <f t="shared" si="53"/>
        <v>0</v>
      </c>
    </row>
    <row r="1178" spans="76:77" x14ac:dyDescent="0.2">
      <c r="BX1178" s="214" t="e">
        <f t="shared" si="52"/>
        <v>#DIV/0!</v>
      </c>
      <c r="BY1178" s="215">
        <f t="shared" si="53"/>
        <v>0</v>
      </c>
    </row>
    <row r="1179" spans="76:77" x14ac:dyDescent="0.2">
      <c r="BX1179" s="214" t="e">
        <f t="shared" si="52"/>
        <v>#DIV/0!</v>
      </c>
      <c r="BY1179" s="215">
        <f t="shared" si="53"/>
        <v>0</v>
      </c>
    </row>
    <row r="1180" spans="76:77" x14ac:dyDescent="0.2">
      <c r="BX1180" s="214" t="e">
        <f t="shared" si="52"/>
        <v>#DIV/0!</v>
      </c>
      <c r="BY1180" s="215">
        <f t="shared" si="53"/>
        <v>0</v>
      </c>
    </row>
    <row r="1181" spans="76:77" x14ac:dyDescent="0.2">
      <c r="BX1181" s="214" t="e">
        <f t="shared" si="52"/>
        <v>#DIV/0!</v>
      </c>
      <c r="BY1181" s="215">
        <f t="shared" si="53"/>
        <v>0</v>
      </c>
    </row>
    <row r="1182" spans="76:77" x14ac:dyDescent="0.2">
      <c r="BX1182" s="214" t="e">
        <f t="shared" si="52"/>
        <v>#DIV/0!</v>
      </c>
      <c r="BY1182" s="215">
        <f t="shared" si="53"/>
        <v>0</v>
      </c>
    </row>
    <row r="1183" spans="76:77" x14ac:dyDescent="0.2">
      <c r="BX1183" s="214" t="e">
        <f t="shared" si="52"/>
        <v>#DIV/0!</v>
      </c>
      <c r="BY1183" s="215">
        <f t="shared" si="53"/>
        <v>0</v>
      </c>
    </row>
    <row r="1184" spans="76:77" x14ac:dyDescent="0.2">
      <c r="BX1184" s="214" t="e">
        <f t="shared" si="52"/>
        <v>#DIV/0!</v>
      </c>
      <c r="BY1184" s="215">
        <f t="shared" si="53"/>
        <v>0</v>
      </c>
    </row>
    <row r="1185" spans="76:77" x14ac:dyDescent="0.2">
      <c r="BX1185" s="214" t="e">
        <f t="shared" si="52"/>
        <v>#DIV/0!</v>
      </c>
      <c r="BY1185" s="215">
        <f t="shared" si="53"/>
        <v>0</v>
      </c>
    </row>
    <row r="1186" spans="76:77" x14ac:dyDescent="0.2">
      <c r="BX1186" s="214" t="e">
        <f t="shared" si="52"/>
        <v>#DIV/0!</v>
      </c>
      <c r="BY1186" s="215">
        <f t="shared" si="53"/>
        <v>0</v>
      </c>
    </row>
    <row r="1187" spans="76:77" x14ac:dyDescent="0.2">
      <c r="BX1187" s="214" t="e">
        <f t="shared" si="52"/>
        <v>#DIV/0!</v>
      </c>
      <c r="BY1187" s="215">
        <f t="shared" si="53"/>
        <v>0</v>
      </c>
    </row>
    <row r="1188" spans="76:77" x14ac:dyDescent="0.2">
      <c r="BX1188" s="214" t="e">
        <f t="shared" si="52"/>
        <v>#DIV/0!</v>
      </c>
      <c r="BY1188" s="215">
        <f t="shared" si="53"/>
        <v>0</v>
      </c>
    </row>
    <row r="1189" spans="76:77" x14ac:dyDescent="0.2">
      <c r="BX1189" s="214" t="e">
        <f t="shared" si="52"/>
        <v>#DIV/0!</v>
      </c>
      <c r="BY1189" s="215">
        <f t="shared" si="53"/>
        <v>0</v>
      </c>
    </row>
    <row r="1190" spans="76:77" x14ac:dyDescent="0.2">
      <c r="BX1190" s="214" t="e">
        <f t="shared" si="52"/>
        <v>#DIV/0!</v>
      </c>
      <c r="BY1190" s="215">
        <f t="shared" si="53"/>
        <v>0</v>
      </c>
    </row>
    <row r="1191" spans="76:77" x14ac:dyDescent="0.2">
      <c r="BX1191" s="214" t="e">
        <f t="shared" si="52"/>
        <v>#DIV/0!</v>
      </c>
      <c r="BY1191" s="215">
        <f t="shared" si="53"/>
        <v>0</v>
      </c>
    </row>
    <row r="1192" spans="76:77" x14ac:dyDescent="0.2">
      <c r="BX1192" s="214" t="e">
        <f t="shared" si="52"/>
        <v>#DIV/0!</v>
      </c>
      <c r="BY1192" s="215">
        <f t="shared" si="53"/>
        <v>0</v>
      </c>
    </row>
    <row r="1193" spans="76:77" x14ac:dyDescent="0.2">
      <c r="BX1193" s="214" t="e">
        <f t="shared" si="52"/>
        <v>#DIV/0!</v>
      </c>
      <c r="BY1193" s="215">
        <f t="shared" si="53"/>
        <v>0</v>
      </c>
    </row>
    <row r="1194" spans="76:77" x14ac:dyDescent="0.2">
      <c r="BX1194" s="214" t="e">
        <f t="shared" si="52"/>
        <v>#DIV/0!</v>
      </c>
      <c r="BY1194" s="215">
        <f t="shared" si="53"/>
        <v>0</v>
      </c>
    </row>
    <row r="1195" spans="76:77" x14ac:dyDescent="0.2">
      <c r="BX1195" s="214" t="e">
        <f t="shared" si="52"/>
        <v>#DIV/0!</v>
      </c>
      <c r="BY1195" s="215">
        <f t="shared" si="53"/>
        <v>0</v>
      </c>
    </row>
    <row r="1196" spans="76:77" x14ac:dyDescent="0.2">
      <c r="BX1196" s="214" t="e">
        <f t="shared" si="52"/>
        <v>#DIV/0!</v>
      </c>
      <c r="BY1196" s="215">
        <f t="shared" si="53"/>
        <v>0</v>
      </c>
    </row>
    <row r="1197" spans="76:77" x14ac:dyDescent="0.2">
      <c r="BX1197" s="214" t="e">
        <f t="shared" si="52"/>
        <v>#DIV/0!</v>
      </c>
      <c r="BY1197" s="215">
        <f t="shared" si="53"/>
        <v>0</v>
      </c>
    </row>
    <row r="1198" spans="76:77" x14ac:dyDescent="0.2">
      <c r="BX1198" s="214" t="e">
        <f t="shared" si="52"/>
        <v>#DIV/0!</v>
      </c>
      <c r="BY1198" s="215">
        <f t="shared" si="53"/>
        <v>0</v>
      </c>
    </row>
    <row r="1199" spans="76:77" x14ac:dyDescent="0.2">
      <c r="BX1199" s="214" t="e">
        <f t="shared" si="52"/>
        <v>#DIV/0!</v>
      </c>
      <c r="BY1199" s="215">
        <f t="shared" si="53"/>
        <v>0</v>
      </c>
    </row>
    <row r="1200" spans="76:77" x14ac:dyDescent="0.2">
      <c r="BX1200" s="214" t="e">
        <f t="shared" si="52"/>
        <v>#DIV/0!</v>
      </c>
      <c r="BY1200" s="215">
        <f t="shared" si="53"/>
        <v>0</v>
      </c>
    </row>
    <row r="1201" spans="76:77" x14ac:dyDescent="0.2">
      <c r="BX1201" s="214" t="e">
        <f t="shared" si="52"/>
        <v>#DIV/0!</v>
      </c>
      <c r="BY1201" s="215">
        <f t="shared" si="53"/>
        <v>0</v>
      </c>
    </row>
    <row r="1202" spans="76:77" x14ac:dyDescent="0.2">
      <c r="BX1202" s="214" t="e">
        <f t="shared" si="52"/>
        <v>#DIV/0!</v>
      </c>
      <c r="BY1202" s="215">
        <f t="shared" si="53"/>
        <v>0</v>
      </c>
    </row>
    <row r="1203" spans="76:77" x14ac:dyDescent="0.2">
      <c r="BX1203" s="214" t="e">
        <f t="shared" si="52"/>
        <v>#DIV/0!</v>
      </c>
      <c r="BY1203" s="215">
        <f t="shared" si="53"/>
        <v>0</v>
      </c>
    </row>
    <row r="1204" spans="76:77" x14ac:dyDescent="0.2">
      <c r="BX1204" s="214" t="e">
        <f t="shared" si="52"/>
        <v>#DIV/0!</v>
      </c>
      <c r="BY1204" s="215">
        <f t="shared" si="53"/>
        <v>0</v>
      </c>
    </row>
    <row r="1205" spans="76:77" x14ac:dyDescent="0.2">
      <c r="BX1205" s="214" t="e">
        <f t="shared" si="52"/>
        <v>#DIV/0!</v>
      </c>
      <c r="BY1205" s="215">
        <f t="shared" si="53"/>
        <v>0</v>
      </c>
    </row>
    <row r="1206" spans="76:77" x14ac:dyDescent="0.2">
      <c r="BX1206" s="214" t="e">
        <f t="shared" si="52"/>
        <v>#DIV/0!</v>
      </c>
      <c r="BY1206" s="215">
        <f t="shared" si="53"/>
        <v>0</v>
      </c>
    </row>
    <row r="1207" spans="76:77" x14ac:dyDescent="0.2">
      <c r="BX1207" s="214" t="e">
        <f t="shared" si="52"/>
        <v>#DIV/0!</v>
      </c>
      <c r="BY1207" s="215">
        <f t="shared" si="53"/>
        <v>0</v>
      </c>
    </row>
    <row r="1208" spans="76:77" x14ac:dyDescent="0.2">
      <c r="BX1208" s="214" t="e">
        <f t="shared" si="52"/>
        <v>#DIV/0!</v>
      </c>
      <c r="BY1208" s="215">
        <f t="shared" si="53"/>
        <v>0</v>
      </c>
    </row>
    <row r="1209" spans="76:77" x14ac:dyDescent="0.2">
      <c r="BX1209" s="214" t="e">
        <f t="shared" si="52"/>
        <v>#DIV/0!</v>
      </c>
      <c r="BY1209" s="215">
        <f t="shared" si="53"/>
        <v>0</v>
      </c>
    </row>
    <row r="1210" spans="76:77" x14ac:dyDescent="0.2">
      <c r="BX1210" s="214" t="e">
        <f t="shared" si="52"/>
        <v>#DIV/0!</v>
      </c>
      <c r="BY1210" s="215">
        <f t="shared" si="53"/>
        <v>0</v>
      </c>
    </row>
    <row r="1211" spans="76:77" x14ac:dyDescent="0.2">
      <c r="BX1211" s="214" t="e">
        <f t="shared" si="52"/>
        <v>#DIV/0!</v>
      </c>
      <c r="BY1211" s="215">
        <f t="shared" si="53"/>
        <v>0</v>
      </c>
    </row>
    <row r="1212" spans="76:77" x14ac:dyDescent="0.2">
      <c r="BX1212" s="214" t="e">
        <f t="shared" si="52"/>
        <v>#DIV/0!</v>
      </c>
      <c r="BY1212" s="215">
        <f t="shared" si="53"/>
        <v>0</v>
      </c>
    </row>
    <row r="1213" spans="76:77" x14ac:dyDescent="0.2">
      <c r="BX1213" s="214" t="e">
        <f t="shared" si="52"/>
        <v>#DIV/0!</v>
      </c>
      <c r="BY1213" s="215">
        <f t="shared" si="53"/>
        <v>0</v>
      </c>
    </row>
    <row r="1214" spans="76:77" x14ac:dyDescent="0.2">
      <c r="BX1214" s="214" t="e">
        <f t="shared" si="52"/>
        <v>#DIV/0!</v>
      </c>
      <c r="BY1214" s="215">
        <f t="shared" si="53"/>
        <v>0</v>
      </c>
    </row>
    <row r="1215" spans="76:77" x14ac:dyDescent="0.2">
      <c r="BX1215" s="214" t="e">
        <f t="shared" si="52"/>
        <v>#DIV/0!</v>
      </c>
      <c r="BY1215" s="215">
        <f t="shared" si="53"/>
        <v>0</v>
      </c>
    </row>
    <row r="1216" spans="76:77" x14ac:dyDescent="0.2">
      <c r="BX1216" s="214" t="e">
        <f t="shared" si="52"/>
        <v>#DIV/0!</v>
      </c>
      <c r="BY1216" s="215">
        <f t="shared" si="53"/>
        <v>0</v>
      </c>
    </row>
    <row r="1217" spans="76:77" x14ac:dyDescent="0.2">
      <c r="BX1217" s="214" t="e">
        <f t="shared" si="52"/>
        <v>#DIV/0!</v>
      </c>
      <c r="BY1217" s="215">
        <f t="shared" si="53"/>
        <v>0</v>
      </c>
    </row>
    <row r="1218" spans="76:77" x14ac:dyDescent="0.2">
      <c r="BX1218" s="214" t="e">
        <f t="shared" si="52"/>
        <v>#DIV/0!</v>
      </c>
      <c r="BY1218" s="215">
        <f t="shared" si="53"/>
        <v>0</v>
      </c>
    </row>
    <row r="1219" spans="76:77" x14ac:dyDescent="0.2">
      <c r="BX1219" s="214" t="e">
        <f t="shared" si="52"/>
        <v>#DIV/0!</v>
      </c>
      <c r="BY1219" s="215">
        <f t="shared" si="53"/>
        <v>0</v>
      </c>
    </row>
    <row r="1220" spans="76:77" x14ac:dyDescent="0.2">
      <c r="BX1220" s="214" t="e">
        <f t="shared" si="52"/>
        <v>#DIV/0!</v>
      </c>
      <c r="BY1220" s="215">
        <f t="shared" si="53"/>
        <v>0</v>
      </c>
    </row>
    <row r="1221" spans="76:77" x14ac:dyDescent="0.2">
      <c r="BX1221" s="214" t="e">
        <f t="shared" si="52"/>
        <v>#DIV/0!</v>
      </c>
      <c r="BY1221" s="215">
        <f t="shared" si="53"/>
        <v>0</v>
      </c>
    </row>
    <row r="1222" spans="76:77" x14ac:dyDescent="0.2">
      <c r="BX1222" s="214" t="e">
        <f t="shared" si="52"/>
        <v>#DIV/0!</v>
      </c>
      <c r="BY1222" s="215">
        <f t="shared" si="53"/>
        <v>0</v>
      </c>
    </row>
    <row r="1223" spans="76:77" x14ac:dyDescent="0.2">
      <c r="BX1223" s="214" t="e">
        <f t="shared" si="52"/>
        <v>#DIV/0!</v>
      </c>
      <c r="BY1223" s="215">
        <f t="shared" si="53"/>
        <v>0</v>
      </c>
    </row>
    <row r="1224" spans="76:77" x14ac:dyDescent="0.2">
      <c r="BX1224" s="214" t="e">
        <f t="shared" si="52"/>
        <v>#DIV/0!</v>
      </c>
      <c r="BY1224" s="215">
        <f t="shared" si="53"/>
        <v>0</v>
      </c>
    </row>
    <row r="1225" spans="76:77" x14ac:dyDescent="0.2">
      <c r="BX1225" s="214" t="e">
        <f t="shared" si="52"/>
        <v>#DIV/0!</v>
      </c>
      <c r="BY1225" s="215">
        <f t="shared" si="53"/>
        <v>0</v>
      </c>
    </row>
    <row r="1226" spans="76:77" x14ac:dyDescent="0.2">
      <c r="BX1226" s="214" t="e">
        <f t="shared" si="52"/>
        <v>#DIV/0!</v>
      </c>
      <c r="BY1226" s="215">
        <f t="shared" si="53"/>
        <v>0</v>
      </c>
    </row>
    <row r="1227" spans="76:77" x14ac:dyDescent="0.2">
      <c r="BX1227" s="214" t="e">
        <f t="shared" si="52"/>
        <v>#DIV/0!</v>
      </c>
      <c r="BY1227" s="215">
        <f t="shared" si="53"/>
        <v>0</v>
      </c>
    </row>
    <row r="1228" spans="76:77" x14ac:dyDescent="0.2">
      <c r="BX1228" s="214" t="e">
        <f t="shared" si="52"/>
        <v>#DIV/0!</v>
      </c>
      <c r="BY1228" s="215">
        <f t="shared" si="53"/>
        <v>0</v>
      </c>
    </row>
    <row r="1229" spans="76:77" x14ac:dyDescent="0.2">
      <c r="BX1229" s="214" t="e">
        <f t="shared" ref="BX1229:BX1292" si="54">BY1229/BV1229</f>
        <v>#DIV/0!</v>
      </c>
      <c r="BY1229" s="215">
        <f t="shared" si="53"/>
        <v>0</v>
      </c>
    </row>
    <row r="1230" spans="76:77" x14ac:dyDescent="0.2">
      <c r="BX1230" s="214" t="e">
        <f t="shared" si="54"/>
        <v>#DIV/0!</v>
      </c>
      <c r="BY1230" s="215">
        <f t="shared" ref="BY1230:BY1293" si="55">BY1229+BW1230*(BV1230-BV1229)</f>
        <v>0</v>
      </c>
    </row>
    <row r="1231" spans="76:77" x14ac:dyDescent="0.2">
      <c r="BX1231" s="214" t="e">
        <f t="shared" si="54"/>
        <v>#DIV/0!</v>
      </c>
      <c r="BY1231" s="215">
        <f t="shared" si="55"/>
        <v>0</v>
      </c>
    </row>
    <row r="1232" spans="76:77" x14ac:dyDescent="0.2">
      <c r="BX1232" s="214" t="e">
        <f t="shared" si="54"/>
        <v>#DIV/0!</v>
      </c>
      <c r="BY1232" s="215">
        <f t="shared" si="55"/>
        <v>0</v>
      </c>
    </row>
    <row r="1233" spans="76:77" x14ac:dyDescent="0.2">
      <c r="BX1233" s="214" t="e">
        <f t="shared" si="54"/>
        <v>#DIV/0!</v>
      </c>
      <c r="BY1233" s="215">
        <f t="shared" si="55"/>
        <v>0</v>
      </c>
    </row>
    <row r="1234" spans="76:77" x14ac:dyDescent="0.2">
      <c r="BX1234" s="214" t="e">
        <f t="shared" si="54"/>
        <v>#DIV/0!</v>
      </c>
      <c r="BY1234" s="215">
        <f t="shared" si="55"/>
        <v>0</v>
      </c>
    </row>
    <row r="1235" spans="76:77" x14ac:dyDescent="0.2">
      <c r="BX1235" s="214" t="e">
        <f t="shared" si="54"/>
        <v>#DIV/0!</v>
      </c>
      <c r="BY1235" s="215">
        <f t="shared" si="55"/>
        <v>0</v>
      </c>
    </row>
    <row r="1236" spans="76:77" x14ac:dyDescent="0.2">
      <c r="BX1236" s="214" t="e">
        <f t="shared" si="54"/>
        <v>#DIV/0!</v>
      </c>
      <c r="BY1236" s="215">
        <f t="shared" si="55"/>
        <v>0</v>
      </c>
    </row>
    <row r="1237" spans="76:77" x14ac:dyDescent="0.2">
      <c r="BX1237" s="214" t="e">
        <f t="shared" si="54"/>
        <v>#DIV/0!</v>
      </c>
      <c r="BY1237" s="215">
        <f t="shared" si="55"/>
        <v>0</v>
      </c>
    </row>
    <row r="1238" spans="76:77" x14ac:dyDescent="0.2">
      <c r="BX1238" s="214" t="e">
        <f t="shared" si="54"/>
        <v>#DIV/0!</v>
      </c>
      <c r="BY1238" s="215">
        <f t="shared" si="55"/>
        <v>0</v>
      </c>
    </row>
    <row r="1239" spans="76:77" x14ac:dyDescent="0.2">
      <c r="BX1239" s="214" t="e">
        <f t="shared" si="54"/>
        <v>#DIV/0!</v>
      </c>
      <c r="BY1239" s="215">
        <f t="shared" si="55"/>
        <v>0</v>
      </c>
    </row>
    <row r="1240" spans="76:77" x14ac:dyDescent="0.2">
      <c r="BX1240" s="214" t="e">
        <f t="shared" si="54"/>
        <v>#DIV/0!</v>
      </c>
      <c r="BY1240" s="215">
        <f t="shared" si="55"/>
        <v>0</v>
      </c>
    </row>
    <row r="1241" spans="76:77" x14ac:dyDescent="0.2">
      <c r="BX1241" s="214" t="e">
        <f t="shared" si="54"/>
        <v>#DIV/0!</v>
      </c>
      <c r="BY1241" s="215">
        <f t="shared" si="55"/>
        <v>0</v>
      </c>
    </row>
    <row r="1242" spans="76:77" x14ac:dyDescent="0.2">
      <c r="BX1242" s="214" t="e">
        <f t="shared" si="54"/>
        <v>#DIV/0!</v>
      </c>
      <c r="BY1242" s="215">
        <f t="shared" si="55"/>
        <v>0</v>
      </c>
    </row>
    <row r="1243" spans="76:77" x14ac:dyDescent="0.2">
      <c r="BX1243" s="214" t="e">
        <f t="shared" si="54"/>
        <v>#DIV/0!</v>
      </c>
      <c r="BY1243" s="215">
        <f t="shared" si="55"/>
        <v>0</v>
      </c>
    </row>
    <row r="1244" spans="76:77" x14ac:dyDescent="0.2">
      <c r="BX1244" s="214" t="e">
        <f t="shared" si="54"/>
        <v>#DIV/0!</v>
      </c>
      <c r="BY1244" s="215">
        <f t="shared" si="55"/>
        <v>0</v>
      </c>
    </row>
    <row r="1245" spans="76:77" x14ac:dyDescent="0.2">
      <c r="BX1245" s="214" t="e">
        <f t="shared" si="54"/>
        <v>#DIV/0!</v>
      </c>
      <c r="BY1245" s="215">
        <f t="shared" si="55"/>
        <v>0</v>
      </c>
    </row>
    <row r="1246" spans="76:77" x14ac:dyDescent="0.2">
      <c r="BX1246" s="214" t="e">
        <f t="shared" si="54"/>
        <v>#DIV/0!</v>
      </c>
      <c r="BY1246" s="215">
        <f t="shared" si="55"/>
        <v>0</v>
      </c>
    </row>
    <row r="1247" spans="76:77" x14ac:dyDescent="0.2">
      <c r="BX1247" s="214" t="e">
        <f t="shared" si="54"/>
        <v>#DIV/0!</v>
      </c>
      <c r="BY1247" s="215">
        <f t="shared" si="55"/>
        <v>0</v>
      </c>
    </row>
    <row r="1248" spans="76:77" x14ac:dyDescent="0.2">
      <c r="BX1248" s="214" t="e">
        <f t="shared" si="54"/>
        <v>#DIV/0!</v>
      </c>
      <c r="BY1248" s="215">
        <f t="shared" si="55"/>
        <v>0</v>
      </c>
    </row>
    <row r="1249" spans="76:77" x14ac:dyDescent="0.2">
      <c r="BX1249" s="214" t="e">
        <f t="shared" si="54"/>
        <v>#DIV/0!</v>
      </c>
      <c r="BY1249" s="215">
        <f t="shared" si="55"/>
        <v>0</v>
      </c>
    </row>
    <row r="1250" spans="76:77" x14ac:dyDescent="0.2">
      <c r="BX1250" s="214" t="e">
        <f t="shared" si="54"/>
        <v>#DIV/0!</v>
      </c>
      <c r="BY1250" s="215">
        <f t="shared" si="55"/>
        <v>0</v>
      </c>
    </row>
    <row r="1251" spans="76:77" x14ac:dyDescent="0.2">
      <c r="BX1251" s="214" t="e">
        <f t="shared" si="54"/>
        <v>#DIV/0!</v>
      </c>
      <c r="BY1251" s="215">
        <f t="shared" si="55"/>
        <v>0</v>
      </c>
    </row>
    <row r="1252" spans="76:77" x14ac:dyDescent="0.2">
      <c r="BX1252" s="214" t="e">
        <f t="shared" si="54"/>
        <v>#DIV/0!</v>
      </c>
      <c r="BY1252" s="215">
        <f t="shared" si="55"/>
        <v>0</v>
      </c>
    </row>
    <row r="1253" spans="76:77" x14ac:dyDescent="0.2">
      <c r="BX1253" s="214" t="e">
        <f t="shared" si="54"/>
        <v>#DIV/0!</v>
      </c>
      <c r="BY1253" s="215">
        <f t="shared" si="55"/>
        <v>0</v>
      </c>
    </row>
    <row r="1254" spans="76:77" x14ac:dyDescent="0.2">
      <c r="BX1254" s="214" t="e">
        <f t="shared" si="54"/>
        <v>#DIV/0!</v>
      </c>
      <c r="BY1254" s="215">
        <f t="shared" si="55"/>
        <v>0</v>
      </c>
    </row>
    <row r="1255" spans="76:77" x14ac:dyDescent="0.2">
      <c r="BX1255" s="214" t="e">
        <f t="shared" si="54"/>
        <v>#DIV/0!</v>
      </c>
      <c r="BY1255" s="215">
        <f t="shared" si="55"/>
        <v>0</v>
      </c>
    </row>
    <row r="1256" spans="76:77" x14ac:dyDescent="0.2">
      <c r="BX1256" s="214" t="e">
        <f t="shared" si="54"/>
        <v>#DIV/0!</v>
      </c>
      <c r="BY1256" s="215">
        <f t="shared" si="55"/>
        <v>0</v>
      </c>
    </row>
    <row r="1257" spans="76:77" x14ac:dyDescent="0.2">
      <c r="BX1257" s="214" t="e">
        <f t="shared" si="54"/>
        <v>#DIV/0!</v>
      </c>
      <c r="BY1257" s="215">
        <f t="shared" si="55"/>
        <v>0</v>
      </c>
    </row>
    <row r="1258" spans="76:77" x14ac:dyDescent="0.2">
      <c r="BX1258" s="214" t="e">
        <f t="shared" si="54"/>
        <v>#DIV/0!</v>
      </c>
      <c r="BY1258" s="215">
        <f t="shared" si="55"/>
        <v>0</v>
      </c>
    </row>
    <row r="1259" spans="76:77" x14ac:dyDescent="0.2">
      <c r="BX1259" s="214" t="e">
        <f t="shared" si="54"/>
        <v>#DIV/0!</v>
      </c>
      <c r="BY1259" s="215">
        <f t="shared" si="55"/>
        <v>0</v>
      </c>
    </row>
    <row r="1260" spans="76:77" x14ac:dyDescent="0.2">
      <c r="BX1260" s="214" t="e">
        <f t="shared" si="54"/>
        <v>#DIV/0!</v>
      </c>
      <c r="BY1260" s="215">
        <f t="shared" si="55"/>
        <v>0</v>
      </c>
    </row>
    <row r="1261" spans="76:77" x14ac:dyDescent="0.2">
      <c r="BX1261" s="214" t="e">
        <f t="shared" si="54"/>
        <v>#DIV/0!</v>
      </c>
      <c r="BY1261" s="215">
        <f t="shared" si="55"/>
        <v>0</v>
      </c>
    </row>
    <row r="1262" spans="76:77" x14ac:dyDescent="0.2">
      <c r="BX1262" s="214" t="e">
        <f t="shared" si="54"/>
        <v>#DIV/0!</v>
      </c>
      <c r="BY1262" s="215">
        <f t="shared" si="55"/>
        <v>0</v>
      </c>
    </row>
    <row r="1263" spans="76:77" x14ac:dyDescent="0.2">
      <c r="BX1263" s="214" t="e">
        <f t="shared" si="54"/>
        <v>#DIV/0!</v>
      </c>
      <c r="BY1263" s="215">
        <f t="shared" si="55"/>
        <v>0</v>
      </c>
    </row>
    <row r="1264" spans="76:77" x14ac:dyDescent="0.2">
      <c r="BX1264" s="214" t="e">
        <f t="shared" si="54"/>
        <v>#DIV/0!</v>
      </c>
      <c r="BY1264" s="215">
        <f t="shared" si="55"/>
        <v>0</v>
      </c>
    </row>
    <row r="1265" spans="76:77" x14ac:dyDescent="0.2">
      <c r="BX1265" s="214" t="e">
        <f t="shared" si="54"/>
        <v>#DIV/0!</v>
      </c>
      <c r="BY1265" s="215">
        <f t="shared" si="55"/>
        <v>0</v>
      </c>
    </row>
    <row r="1266" spans="76:77" x14ac:dyDescent="0.2">
      <c r="BX1266" s="214" t="e">
        <f t="shared" si="54"/>
        <v>#DIV/0!</v>
      </c>
      <c r="BY1266" s="215">
        <f t="shared" si="55"/>
        <v>0</v>
      </c>
    </row>
    <row r="1267" spans="76:77" x14ac:dyDescent="0.2">
      <c r="BX1267" s="214" t="e">
        <f t="shared" si="54"/>
        <v>#DIV/0!</v>
      </c>
      <c r="BY1267" s="215">
        <f t="shared" si="55"/>
        <v>0</v>
      </c>
    </row>
    <row r="1268" spans="76:77" x14ac:dyDescent="0.2">
      <c r="BX1268" s="214" t="e">
        <f t="shared" si="54"/>
        <v>#DIV/0!</v>
      </c>
      <c r="BY1268" s="215">
        <f t="shared" si="55"/>
        <v>0</v>
      </c>
    </row>
    <row r="1269" spans="76:77" x14ac:dyDescent="0.2">
      <c r="BX1269" s="214" t="e">
        <f t="shared" si="54"/>
        <v>#DIV/0!</v>
      </c>
      <c r="BY1269" s="215">
        <f t="shared" si="55"/>
        <v>0</v>
      </c>
    </row>
    <row r="1270" spans="76:77" x14ac:dyDescent="0.2">
      <c r="BX1270" s="214" t="e">
        <f t="shared" si="54"/>
        <v>#DIV/0!</v>
      </c>
      <c r="BY1270" s="215">
        <f t="shared" si="55"/>
        <v>0</v>
      </c>
    </row>
    <row r="1271" spans="76:77" x14ac:dyDescent="0.2">
      <c r="BX1271" s="214" t="e">
        <f t="shared" si="54"/>
        <v>#DIV/0!</v>
      </c>
      <c r="BY1271" s="215">
        <f t="shared" si="55"/>
        <v>0</v>
      </c>
    </row>
    <row r="1272" spans="76:77" x14ac:dyDescent="0.2">
      <c r="BX1272" s="214" t="e">
        <f t="shared" si="54"/>
        <v>#DIV/0!</v>
      </c>
      <c r="BY1272" s="215">
        <f t="shared" si="55"/>
        <v>0</v>
      </c>
    </row>
    <row r="1273" spans="76:77" x14ac:dyDescent="0.2">
      <c r="BX1273" s="214" t="e">
        <f t="shared" si="54"/>
        <v>#DIV/0!</v>
      </c>
      <c r="BY1273" s="215">
        <f t="shared" si="55"/>
        <v>0</v>
      </c>
    </row>
    <row r="1274" spans="76:77" x14ac:dyDescent="0.2">
      <c r="BX1274" s="214" t="e">
        <f t="shared" si="54"/>
        <v>#DIV/0!</v>
      </c>
      <c r="BY1274" s="215">
        <f t="shared" si="55"/>
        <v>0</v>
      </c>
    </row>
    <row r="1275" spans="76:77" x14ac:dyDescent="0.2">
      <c r="BX1275" s="214" t="e">
        <f t="shared" si="54"/>
        <v>#DIV/0!</v>
      </c>
      <c r="BY1275" s="215">
        <f t="shared" si="55"/>
        <v>0</v>
      </c>
    </row>
    <row r="1276" spans="76:77" x14ac:dyDescent="0.2">
      <c r="BX1276" s="214" t="e">
        <f t="shared" si="54"/>
        <v>#DIV/0!</v>
      </c>
      <c r="BY1276" s="215">
        <f t="shared" si="55"/>
        <v>0</v>
      </c>
    </row>
    <row r="1277" spans="76:77" x14ac:dyDescent="0.2">
      <c r="BX1277" s="214" t="e">
        <f t="shared" si="54"/>
        <v>#DIV/0!</v>
      </c>
      <c r="BY1277" s="215">
        <f t="shared" si="55"/>
        <v>0</v>
      </c>
    </row>
    <row r="1278" spans="76:77" x14ac:dyDescent="0.2">
      <c r="BX1278" s="214" t="e">
        <f t="shared" si="54"/>
        <v>#DIV/0!</v>
      </c>
      <c r="BY1278" s="215">
        <f t="shared" si="55"/>
        <v>0</v>
      </c>
    </row>
    <row r="1279" spans="76:77" x14ac:dyDescent="0.2">
      <c r="BX1279" s="214" t="e">
        <f t="shared" si="54"/>
        <v>#DIV/0!</v>
      </c>
      <c r="BY1279" s="215">
        <f t="shared" si="55"/>
        <v>0</v>
      </c>
    </row>
    <row r="1280" spans="76:77" x14ac:dyDescent="0.2">
      <c r="BX1280" s="214" t="e">
        <f t="shared" si="54"/>
        <v>#DIV/0!</v>
      </c>
      <c r="BY1280" s="215">
        <f t="shared" si="55"/>
        <v>0</v>
      </c>
    </row>
    <row r="1281" spans="76:77" x14ac:dyDescent="0.2">
      <c r="BX1281" s="214" t="e">
        <f t="shared" si="54"/>
        <v>#DIV/0!</v>
      </c>
      <c r="BY1281" s="215">
        <f t="shared" si="55"/>
        <v>0</v>
      </c>
    </row>
    <row r="1282" spans="76:77" x14ac:dyDescent="0.2">
      <c r="BX1282" s="214" t="e">
        <f t="shared" si="54"/>
        <v>#DIV/0!</v>
      </c>
      <c r="BY1282" s="215">
        <f t="shared" si="55"/>
        <v>0</v>
      </c>
    </row>
    <row r="1283" spans="76:77" x14ac:dyDescent="0.2">
      <c r="BX1283" s="214" t="e">
        <f t="shared" si="54"/>
        <v>#DIV/0!</v>
      </c>
      <c r="BY1283" s="215">
        <f t="shared" si="55"/>
        <v>0</v>
      </c>
    </row>
    <row r="1284" spans="76:77" x14ac:dyDescent="0.2">
      <c r="BX1284" s="214" t="e">
        <f t="shared" si="54"/>
        <v>#DIV/0!</v>
      </c>
      <c r="BY1284" s="215">
        <f t="shared" si="55"/>
        <v>0</v>
      </c>
    </row>
    <row r="1285" spans="76:77" x14ac:dyDescent="0.2">
      <c r="BX1285" s="214" t="e">
        <f t="shared" si="54"/>
        <v>#DIV/0!</v>
      </c>
      <c r="BY1285" s="215">
        <f t="shared" si="55"/>
        <v>0</v>
      </c>
    </row>
    <row r="1286" spans="76:77" x14ac:dyDescent="0.2">
      <c r="BX1286" s="214" t="e">
        <f t="shared" si="54"/>
        <v>#DIV/0!</v>
      </c>
      <c r="BY1286" s="215">
        <f t="shared" si="55"/>
        <v>0</v>
      </c>
    </row>
    <row r="1287" spans="76:77" x14ac:dyDescent="0.2">
      <c r="BX1287" s="214" t="e">
        <f t="shared" si="54"/>
        <v>#DIV/0!</v>
      </c>
      <c r="BY1287" s="215">
        <f t="shared" si="55"/>
        <v>0</v>
      </c>
    </row>
    <row r="1288" spans="76:77" x14ac:dyDescent="0.2">
      <c r="BX1288" s="214" t="e">
        <f t="shared" si="54"/>
        <v>#DIV/0!</v>
      </c>
      <c r="BY1288" s="215">
        <f t="shared" si="55"/>
        <v>0</v>
      </c>
    </row>
    <row r="1289" spans="76:77" x14ac:dyDescent="0.2">
      <c r="BX1289" s="214" t="e">
        <f t="shared" si="54"/>
        <v>#DIV/0!</v>
      </c>
      <c r="BY1289" s="215">
        <f t="shared" si="55"/>
        <v>0</v>
      </c>
    </row>
    <row r="1290" spans="76:77" x14ac:dyDescent="0.2">
      <c r="BX1290" s="214" t="e">
        <f t="shared" si="54"/>
        <v>#DIV/0!</v>
      </c>
      <c r="BY1290" s="215">
        <f t="shared" si="55"/>
        <v>0</v>
      </c>
    </row>
    <row r="1291" spans="76:77" x14ac:dyDescent="0.2">
      <c r="BX1291" s="214" t="e">
        <f t="shared" si="54"/>
        <v>#DIV/0!</v>
      </c>
      <c r="BY1291" s="215">
        <f t="shared" si="55"/>
        <v>0</v>
      </c>
    </row>
    <row r="1292" spans="76:77" x14ac:dyDescent="0.2">
      <c r="BX1292" s="214" t="e">
        <f t="shared" si="54"/>
        <v>#DIV/0!</v>
      </c>
      <c r="BY1292" s="215">
        <f t="shared" si="55"/>
        <v>0</v>
      </c>
    </row>
    <row r="1293" spans="76:77" x14ac:dyDescent="0.2">
      <c r="BX1293" s="214" t="e">
        <f t="shared" ref="BX1293:BX1356" si="56">BY1293/BV1293</f>
        <v>#DIV/0!</v>
      </c>
      <c r="BY1293" s="215">
        <f t="shared" si="55"/>
        <v>0</v>
      </c>
    </row>
    <row r="1294" spans="76:77" x14ac:dyDescent="0.2">
      <c r="BX1294" s="214" t="e">
        <f t="shared" si="56"/>
        <v>#DIV/0!</v>
      </c>
      <c r="BY1294" s="215">
        <f t="shared" ref="BY1294:BY1357" si="57">BY1293+BW1294*(BV1294-BV1293)</f>
        <v>0</v>
      </c>
    </row>
    <row r="1295" spans="76:77" x14ac:dyDescent="0.2">
      <c r="BX1295" s="214" t="e">
        <f t="shared" si="56"/>
        <v>#DIV/0!</v>
      </c>
      <c r="BY1295" s="215">
        <f t="shared" si="57"/>
        <v>0</v>
      </c>
    </row>
    <row r="1296" spans="76:77" x14ac:dyDescent="0.2">
      <c r="BX1296" s="214" t="e">
        <f t="shared" si="56"/>
        <v>#DIV/0!</v>
      </c>
      <c r="BY1296" s="215">
        <f t="shared" si="57"/>
        <v>0</v>
      </c>
    </row>
    <row r="1297" spans="76:77" x14ac:dyDescent="0.2">
      <c r="BX1297" s="214" t="e">
        <f t="shared" si="56"/>
        <v>#DIV/0!</v>
      </c>
      <c r="BY1297" s="215">
        <f t="shared" si="57"/>
        <v>0</v>
      </c>
    </row>
    <row r="1298" spans="76:77" x14ac:dyDescent="0.2">
      <c r="BX1298" s="214" t="e">
        <f t="shared" si="56"/>
        <v>#DIV/0!</v>
      </c>
      <c r="BY1298" s="215">
        <f t="shared" si="57"/>
        <v>0</v>
      </c>
    </row>
    <row r="1299" spans="76:77" x14ac:dyDescent="0.2">
      <c r="BX1299" s="214" t="e">
        <f t="shared" si="56"/>
        <v>#DIV/0!</v>
      </c>
      <c r="BY1299" s="215">
        <f t="shared" si="57"/>
        <v>0</v>
      </c>
    </row>
    <row r="1300" spans="76:77" x14ac:dyDescent="0.2">
      <c r="BX1300" s="214" t="e">
        <f t="shared" si="56"/>
        <v>#DIV/0!</v>
      </c>
      <c r="BY1300" s="215">
        <f t="shared" si="57"/>
        <v>0</v>
      </c>
    </row>
    <row r="1301" spans="76:77" x14ac:dyDescent="0.2">
      <c r="BX1301" s="214" t="e">
        <f t="shared" si="56"/>
        <v>#DIV/0!</v>
      </c>
      <c r="BY1301" s="215">
        <f t="shared" si="57"/>
        <v>0</v>
      </c>
    </row>
    <row r="1302" spans="76:77" x14ac:dyDescent="0.2">
      <c r="BX1302" s="214" t="e">
        <f t="shared" si="56"/>
        <v>#DIV/0!</v>
      </c>
      <c r="BY1302" s="215">
        <f t="shared" si="57"/>
        <v>0</v>
      </c>
    </row>
    <row r="1303" spans="76:77" x14ac:dyDescent="0.2">
      <c r="BX1303" s="214" t="e">
        <f t="shared" si="56"/>
        <v>#DIV/0!</v>
      </c>
      <c r="BY1303" s="215">
        <f t="shared" si="57"/>
        <v>0</v>
      </c>
    </row>
    <row r="1304" spans="76:77" x14ac:dyDescent="0.2">
      <c r="BX1304" s="214" t="e">
        <f t="shared" si="56"/>
        <v>#DIV/0!</v>
      </c>
      <c r="BY1304" s="215">
        <f t="shared" si="57"/>
        <v>0</v>
      </c>
    </row>
    <row r="1305" spans="76:77" x14ac:dyDescent="0.2">
      <c r="BX1305" s="214" t="e">
        <f t="shared" si="56"/>
        <v>#DIV/0!</v>
      </c>
      <c r="BY1305" s="215">
        <f t="shared" si="57"/>
        <v>0</v>
      </c>
    </row>
    <row r="1306" spans="76:77" x14ac:dyDescent="0.2">
      <c r="BX1306" s="214" t="e">
        <f t="shared" si="56"/>
        <v>#DIV/0!</v>
      </c>
      <c r="BY1306" s="215">
        <f t="shared" si="57"/>
        <v>0</v>
      </c>
    </row>
    <row r="1307" spans="76:77" x14ac:dyDescent="0.2">
      <c r="BX1307" s="214" t="e">
        <f t="shared" si="56"/>
        <v>#DIV/0!</v>
      </c>
      <c r="BY1307" s="215">
        <f t="shared" si="57"/>
        <v>0</v>
      </c>
    </row>
    <row r="1308" spans="76:77" x14ac:dyDescent="0.2">
      <c r="BX1308" s="214" t="e">
        <f t="shared" si="56"/>
        <v>#DIV/0!</v>
      </c>
      <c r="BY1308" s="215">
        <f t="shared" si="57"/>
        <v>0</v>
      </c>
    </row>
    <row r="1309" spans="76:77" x14ac:dyDescent="0.2">
      <c r="BX1309" s="214" t="e">
        <f t="shared" si="56"/>
        <v>#DIV/0!</v>
      </c>
      <c r="BY1309" s="215">
        <f t="shared" si="57"/>
        <v>0</v>
      </c>
    </row>
    <row r="1310" spans="76:77" x14ac:dyDescent="0.2">
      <c r="BX1310" s="214" t="e">
        <f t="shared" si="56"/>
        <v>#DIV/0!</v>
      </c>
      <c r="BY1310" s="215">
        <f t="shared" si="57"/>
        <v>0</v>
      </c>
    </row>
    <row r="1311" spans="76:77" x14ac:dyDescent="0.2">
      <c r="BX1311" s="214" t="e">
        <f t="shared" si="56"/>
        <v>#DIV/0!</v>
      </c>
      <c r="BY1311" s="215">
        <f t="shared" si="57"/>
        <v>0</v>
      </c>
    </row>
    <row r="1312" spans="76:77" x14ac:dyDescent="0.2">
      <c r="BX1312" s="214" t="e">
        <f t="shared" si="56"/>
        <v>#DIV/0!</v>
      </c>
      <c r="BY1312" s="215">
        <f t="shared" si="57"/>
        <v>0</v>
      </c>
    </row>
    <row r="1313" spans="76:77" x14ac:dyDescent="0.2">
      <c r="BX1313" s="214" t="e">
        <f t="shared" si="56"/>
        <v>#DIV/0!</v>
      </c>
      <c r="BY1313" s="215">
        <f t="shared" si="57"/>
        <v>0</v>
      </c>
    </row>
    <row r="1314" spans="76:77" x14ac:dyDescent="0.2">
      <c r="BX1314" s="214" t="e">
        <f t="shared" si="56"/>
        <v>#DIV/0!</v>
      </c>
      <c r="BY1314" s="215">
        <f t="shared" si="57"/>
        <v>0</v>
      </c>
    </row>
    <row r="1315" spans="76:77" x14ac:dyDescent="0.2">
      <c r="BX1315" s="214" t="e">
        <f t="shared" si="56"/>
        <v>#DIV/0!</v>
      </c>
      <c r="BY1315" s="215">
        <f t="shared" si="57"/>
        <v>0</v>
      </c>
    </row>
    <row r="1316" spans="76:77" x14ac:dyDescent="0.2">
      <c r="BX1316" s="214" t="e">
        <f t="shared" si="56"/>
        <v>#DIV/0!</v>
      </c>
      <c r="BY1316" s="215">
        <f t="shared" si="57"/>
        <v>0</v>
      </c>
    </row>
    <row r="1317" spans="76:77" x14ac:dyDescent="0.2">
      <c r="BX1317" s="214" t="e">
        <f t="shared" si="56"/>
        <v>#DIV/0!</v>
      </c>
      <c r="BY1317" s="215">
        <f t="shared" si="57"/>
        <v>0</v>
      </c>
    </row>
    <row r="1318" spans="76:77" x14ac:dyDescent="0.2">
      <c r="BX1318" s="214" t="e">
        <f t="shared" si="56"/>
        <v>#DIV/0!</v>
      </c>
      <c r="BY1318" s="215">
        <f t="shared" si="57"/>
        <v>0</v>
      </c>
    </row>
    <row r="1319" spans="76:77" x14ac:dyDescent="0.2">
      <c r="BX1319" s="214" t="e">
        <f t="shared" si="56"/>
        <v>#DIV/0!</v>
      </c>
      <c r="BY1319" s="215">
        <f t="shared" si="57"/>
        <v>0</v>
      </c>
    </row>
    <row r="1320" spans="76:77" x14ac:dyDescent="0.2">
      <c r="BX1320" s="214" t="e">
        <f t="shared" si="56"/>
        <v>#DIV/0!</v>
      </c>
      <c r="BY1320" s="215">
        <f t="shared" si="57"/>
        <v>0</v>
      </c>
    </row>
    <row r="1321" spans="76:77" x14ac:dyDescent="0.2">
      <c r="BX1321" s="214" t="e">
        <f t="shared" si="56"/>
        <v>#DIV/0!</v>
      </c>
      <c r="BY1321" s="215">
        <f t="shared" si="57"/>
        <v>0</v>
      </c>
    </row>
    <row r="1322" spans="76:77" x14ac:dyDescent="0.2">
      <c r="BX1322" s="214" t="e">
        <f t="shared" si="56"/>
        <v>#DIV/0!</v>
      </c>
      <c r="BY1322" s="215">
        <f t="shared" si="57"/>
        <v>0</v>
      </c>
    </row>
    <row r="1323" spans="76:77" x14ac:dyDescent="0.2">
      <c r="BX1323" s="214" t="e">
        <f t="shared" si="56"/>
        <v>#DIV/0!</v>
      </c>
      <c r="BY1323" s="215">
        <f t="shared" si="57"/>
        <v>0</v>
      </c>
    </row>
    <row r="1324" spans="76:77" x14ac:dyDescent="0.2">
      <c r="BX1324" s="214" t="e">
        <f t="shared" si="56"/>
        <v>#DIV/0!</v>
      </c>
      <c r="BY1324" s="215">
        <f t="shared" si="57"/>
        <v>0</v>
      </c>
    </row>
    <row r="1325" spans="76:77" x14ac:dyDescent="0.2">
      <c r="BX1325" s="214" t="e">
        <f t="shared" si="56"/>
        <v>#DIV/0!</v>
      </c>
      <c r="BY1325" s="215">
        <f t="shared" si="57"/>
        <v>0</v>
      </c>
    </row>
    <row r="1326" spans="76:77" x14ac:dyDescent="0.2">
      <c r="BX1326" s="214" t="e">
        <f t="shared" si="56"/>
        <v>#DIV/0!</v>
      </c>
      <c r="BY1326" s="215">
        <f t="shared" si="57"/>
        <v>0</v>
      </c>
    </row>
    <row r="1327" spans="76:77" x14ac:dyDescent="0.2">
      <c r="BX1327" s="214" t="e">
        <f t="shared" si="56"/>
        <v>#DIV/0!</v>
      </c>
      <c r="BY1327" s="215">
        <f t="shared" si="57"/>
        <v>0</v>
      </c>
    </row>
    <row r="1328" spans="76:77" x14ac:dyDescent="0.2">
      <c r="BX1328" s="214" t="e">
        <f t="shared" si="56"/>
        <v>#DIV/0!</v>
      </c>
      <c r="BY1328" s="215">
        <f t="shared" si="57"/>
        <v>0</v>
      </c>
    </row>
    <row r="1329" spans="76:77" x14ac:dyDescent="0.2">
      <c r="BX1329" s="214" t="e">
        <f t="shared" si="56"/>
        <v>#DIV/0!</v>
      </c>
      <c r="BY1329" s="215">
        <f t="shared" si="57"/>
        <v>0</v>
      </c>
    </row>
    <row r="1330" spans="76:77" x14ac:dyDescent="0.2">
      <c r="BX1330" s="214" t="e">
        <f t="shared" si="56"/>
        <v>#DIV/0!</v>
      </c>
      <c r="BY1330" s="215">
        <f t="shared" si="57"/>
        <v>0</v>
      </c>
    </row>
    <row r="1331" spans="76:77" x14ac:dyDescent="0.2">
      <c r="BX1331" s="214" t="e">
        <f t="shared" si="56"/>
        <v>#DIV/0!</v>
      </c>
      <c r="BY1331" s="215">
        <f t="shared" si="57"/>
        <v>0</v>
      </c>
    </row>
    <row r="1332" spans="76:77" x14ac:dyDescent="0.2">
      <c r="BX1332" s="214" t="e">
        <f t="shared" si="56"/>
        <v>#DIV/0!</v>
      </c>
      <c r="BY1332" s="215">
        <f t="shared" si="57"/>
        <v>0</v>
      </c>
    </row>
    <row r="1333" spans="76:77" x14ac:dyDescent="0.2">
      <c r="BX1333" s="214" t="e">
        <f t="shared" si="56"/>
        <v>#DIV/0!</v>
      </c>
      <c r="BY1333" s="215">
        <f t="shared" si="57"/>
        <v>0</v>
      </c>
    </row>
    <row r="1334" spans="76:77" x14ac:dyDescent="0.2">
      <c r="BX1334" s="214" t="e">
        <f t="shared" si="56"/>
        <v>#DIV/0!</v>
      </c>
      <c r="BY1334" s="215">
        <f t="shared" si="57"/>
        <v>0</v>
      </c>
    </row>
    <row r="1335" spans="76:77" x14ac:dyDescent="0.2">
      <c r="BX1335" s="214" t="e">
        <f t="shared" si="56"/>
        <v>#DIV/0!</v>
      </c>
      <c r="BY1335" s="215">
        <f t="shared" si="57"/>
        <v>0</v>
      </c>
    </row>
    <row r="1336" spans="76:77" x14ac:dyDescent="0.2">
      <c r="BX1336" s="214" t="e">
        <f t="shared" si="56"/>
        <v>#DIV/0!</v>
      </c>
      <c r="BY1336" s="215">
        <f t="shared" si="57"/>
        <v>0</v>
      </c>
    </row>
    <row r="1337" spans="76:77" x14ac:dyDescent="0.2">
      <c r="BX1337" s="214" t="e">
        <f t="shared" si="56"/>
        <v>#DIV/0!</v>
      </c>
      <c r="BY1337" s="215">
        <f t="shared" si="57"/>
        <v>0</v>
      </c>
    </row>
    <row r="1338" spans="76:77" x14ac:dyDescent="0.2">
      <c r="BX1338" s="214" t="e">
        <f t="shared" si="56"/>
        <v>#DIV/0!</v>
      </c>
      <c r="BY1338" s="215">
        <f t="shared" si="57"/>
        <v>0</v>
      </c>
    </row>
    <row r="1339" spans="76:77" x14ac:dyDescent="0.2">
      <c r="BX1339" s="214" t="e">
        <f t="shared" si="56"/>
        <v>#DIV/0!</v>
      </c>
      <c r="BY1339" s="215">
        <f t="shared" si="57"/>
        <v>0</v>
      </c>
    </row>
    <row r="1340" spans="76:77" x14ac:dyDescent="0.2">
      <c r="BX1340" s="214" t="e">
        <f t="shared" si="56"/>
        <v>#DIV/0!</v>
      </c>
      <c r="BY1340" s="215">
        <f t="shared" si="57"/>
        <v>0</v>
      </c>
    </row>
    <row r="1341" spans="76:77" x14ac:dyDescent="0.2">
      <c r="BX1341" s="214" t="e">
        <f t="shared" si="56"/>
        <v>#DIV/0!</v>
      </c>
      <c r="BY1341" s="215">
        <f t="shared" si="57"/>
        <v>0</v>
      </c>
    </row>
    <row r="1342" spans="76:77" x14ac:dyDescent="0.2">
      <c r="BX1342" s="214" t="e">
        <f t="shared" si="56"/>
        <v>#DIV/0!</v>
      </c>
      <c r="BY1342" s="215">
        <f t="shared" si="57"/>
        <v>0</v>
      </c>
    </row>
    <row r="1343" spans="76:77" x14ac:dyDescent="0.2">
      <c r="BX1343" s="214" t="e">
        <f t="shared" si="56"/>
        <v>#DIV/0!</v>
      </c>
      <c r="BY1343" s="215">
        <f t="shared" si="57"/>
        <v>0</v>
      </c>
    </row>
    <row r="1344" spans="76:77" x14ac:dyDescent="0.2">
      <c r="BX1344" s="214" t="e">
        <f t="shared" si="56"/>
        <v>#DIV/0!</v>
      </c>
      <c r="BY1344" s="215">
        <f t="shared" si="57"/>
        <v>0</v>
      </c>
    </row>
    <row r="1345" spans="76:77" x14ac:dyDescent="0.2">
      <c r="BX1345" s="214" t="e">
        <f t="shared" si="56"/>
        <v>#DIV/0!</v>
      </c>
      <c r="BY1345" s="215">
        <f t="shared" si="57"/>
        <v>0</v>
      </c>
    </row>
    <row r="1346" spans="76:77" x14ac:dyDescent="0.2">
      <c r="BX1346" s="214" t="e">
        <f t="shared" si="56"/>
        <v>#DIV/0!</v>
      </c>
      <c r="BY1346" s="215">
        <f t="shared" si="57"/>
        <v>0</v>
      </c>
    </row>
    <row r="1347" spans="76:77" x14ac:dyDescent="0.2">
      <c r="BX1347" s="214" t="e">
        <f t="shared" si="56"/>
        <v>#DIV/0!</v>
      </c>
      <c r="BY1347" s="215">
        <f t="shared" si="57"/>
        <v>0</v>
      </c>
    </row>
    <row r="1348" spans="76:77" x14ac:dyDescent="0.2">
      <c r="BX1348" s="214" t="e">
        <f t="shared" si="56"/>
        <v>#DIV/0!</v>
      </c>
      <c r="BY1348" s="215">
        <f t="shared" si="57"/>
        <v>0</v>
      </c>
    </row>
    <row r="1349" spans="76:77" x14ac:dyDescent="0.2">
      <c r="BX1349" s="214" t="e">
        <f t="shared" si="56"/>
        <v>#DIV/0!</v>
      </c>
      <c r="BY1349" s="215">
        <f t="shared" si="57"/>
        <v>0</v>
      </c>
    </row>
    <row r="1350" spans="76:77" x14ac:dyDescent="0.2">
      <c r="BX1350" s="214" t="e">
        <f t="shared" si="56"/>
        <v>#DIV/0!</v>
      </c>
      <c r="BY1350" s="215">
        <f t="shared" si="57"/>
        <v>0</v>
      </c>
    </row>
    <row r="1351" spans="76:77" x14ac:dyDescent="0.2">
      <c r="BX1351" s="214" t="e">
        <f t="shared" si="56"/>
        <v>#DIV/0!</v>
      </c>
      <c r="BY1351" s="215">
        <f t="shared" si="57"/>
        <v>0</v>
      </c>
    </row>
    <row r="1352" spans="76:77" x14ac:dyDescent="0.2">
      <c r="BX1352" s="214" t="e">
        <f t="shared" si="56"/>
        <v>#DIV/0!</v>
      </c>
      <c r="BY1352" s="215">
        <f t="shared" si="57"/>
        <v>0</v>
      </c>
    </row>
    <row r="1353" spans="76:77" x14ac:dyDescent="0.2">
      <c r="BX1353" s="214" t="e">
        <f t="shared" si="56"/>
        <v>#DIV/0!</v>
      </c>
      <c r="BY1353" s="215">
        <f t="shared" si="57"/>
        <v>0</v>
      </c>
    </row>
    <row r="1354" spans="76:77" x14ac:dyDescent="0.2">
      <c r="BX1354" s="214" t="e">
        <f t="shared" si="56"/>
        <v>#DIV/0!</v>
      </c>
      <c r="BY1354" s="215">
        <f t="shared" si="57"/>
        <v>0</v>
      </c>
    </row>
    <row r="1355" spans="76:77" x14ac:dyDescent="0.2">
      <c r="BX1355" s="214" t="e">
        <f t="shared" si="56"/>
        <v>#DIV/0!</v>
      </c>
      <c r="BY1355" s="215">
        <f t="shared" si="57"/>
        <v>0</v>
      </c>
    </row>
    <row r="1356" spans="76:77" x14ac:dyDescent="0.2">
      <c r="BX1356" s="214" t="e">
        <f t="shared" si="56"/>
        <v>#DIV/0!</v>
      </c>
      <c r="BY1356" s="215">
        <f t="shared" si="57"/>
        <v>0</v>
      </c>
    </row>
    <row r="1357" spans="76:77" x14ac:dyDescent="0.2">
      <c r="BX1357" s="214" t="e">
        <f t="shared" ref="BX1357:BX1420" si="58">BY1357/BV1357</f>
        <v>#DIV/0!</v>
      </c>
      <c r="BY1357" s="215">
        <f t="shared" si="57"/>
        <v>0</v>
      </c>
    </row>
    <row r="1358" spans="76:77" x14ac:dyDescent="0.2">
      <c r="BX1358" s="214" t="e">
        <f t="shared" si="58"/>
        <v>#DIV/0!</v>
      </c>
      <c r="BY1358" s="215">
        <f t="shared" ref="BY1358:BY1421" si="59">BY1357+BW1358*(BV1358-BV1357)</f>
        <v>0</v>
      </c>
    </row>
    <row r="1359" spans="76:77" x14ac:dyDescent="0.2">
      <c r="BX1359" s="214" t="e">
        <f t="shared" si="58"/>
        <v>#DIV/0!</v>
      </c>
      <c r="BY1359" s="215">
        <f t="shared" si="59"/>
        <v>0</v>
      </c>
    </row>
    <row r="1360" spans="76:77" x14ac:dyDescent="0.2">
      <c r="BX1360" s="214" t="e">
        <f t="shared" si="58"/>
        <v>#DIV/0!</v>
      </c>
      <c r="BY1360" s="215">
        <f t="shared" si="59"/>
        <v>0</v>
      </c>
    </row>
    <row r="1361" spans="76:77" x14ac:dyDescent="0.2">
      <c r="BX1361" s="214" t="e">
        <f t="shared" si="58"/>
        <v>#DIV/0!</v>
      </c>
      <c r="BY1361" s="215">
        <f t="shared" si="59"/>
        <v>0</v>
      </c>
    </row>
    <row r="1362" spans="76:77" x14ac:dyDescent="0.2">
      <c r="BX1362" s="214" t="e">
        <f t="shared" si="58"/>
        <v>#DIV/0!</v>
      </c>
      <c r="BY1362" s="215">
        <f t="shared" si="59"/>
        <v>0</v>
      </c>
    </row>
    <row r="1363" spans="76:77" x14ac:dyDescent="0.2">
      <c r="BX1363" s="214" t="e">
        <f t="shared" si="58"/>
        <v>#DIV/0!</v>
      </c>
      <c r="BY1363" s="215">
        <f t="shared" si="59"/>
        <v>0</v>
      </c>
    </row>
    <row r="1364" spans="76:77" x14ac:dyDescent="0.2">
      <c r="BX1364" s="214" t="e">
        <f t="shared" si="58"/>
        <v>#DIV/0!</v>
      </c>
      <c r="BY1364" s="215">
        <f t="shared" si="59"/>
        <v>0</v>
      </c>
    </row>
    <row r="1365" spans="76:77" x14ac:dyDescent="0.2">
      <c r="BX1365" s="214" t="e">
        <f t="shared" si="58"/>
        <v>#DIV/0!</v>
      </c>
      <c r="BY1365" s="215">
        <f t="shared" si="59"/>
        <v>0</v>
      </c>
    </row>
    <row r="1366" spans="76:77" x14ac:dyDescent="0.2">
      <c r="BX1366" s="214" t="e">
        <f t="shared" si="58"/>
        <v>#DIV/0!</v>
      </c>
      <c r="BY1366" s="215">
        <f t="shared" si="59"/>
        <v>0</v>
      </c>
    </row>
    <row r="1367" spans="76:77" x14ac:dyDescent="0.2">
      <c r="BX1367" s="214" t="e">
        <f t="shared" si="58"/>
        <v>#DIV/0!</v>
      </c>
      <c r="BY1367" s="215">
        <f t="shared" si="59"/>
        <v>0</v>
      </c>
    </row>
    <row r="1368" spans="76:77" x14ac:dyDescent="0.2">
      <c r="BX1368" s="214" t="e">
        <f t="shared" si="58"/>
        <v>#DIV/0!</v>
      </c>
      <c r="BY1368" s="215">
        <f t="shared" si="59"/>
        <v>0</v>
      </c>
    </row>
    <row r="1369" spans="76:77" x14ac:dyDescent="0.2">
      <c r="BX1369" s="214" t="e">
        <f t="shared" si="58"/>
        <v>#DIV/0!</v>
      </c>
      <c r="BY1369" s="215">
        <f t="shared" si="59"/>
        <v>0</v>
      </c>
    </row>
    <row r="1370" spans="76:77" x14ac:dyDescent="0.2">
      <c r="BX1370" s="214" t="e">
        <f t="shared" si="58"/>
        <v>#DIV/0!</v>
      </c>
      <c r="BY1370" s="215">
        <f t="shared" si="59"/>
        <v>0</v>
      </c>
    </row>
    <row r="1371" spans="76:77" x14ac:dyDescent="0.2">
      <c r="BX1371" s="214" t="e">
        <f t="shared" si="58"/>
        <v>#DIV/0!</v>
      </c>
      <c r="BY1371" s="215">
        <f t="shared" si="59"/>
        <v>0</v>
      </c>
    </row>
    <row r="1372" spans="76:77" x14ac:dyDescent="0.2">
      <c r="BX1372" s="214" t="e">
        <f t="shared" si="58"/>
        <v>#DIV/0!</v>
      </c>
      <c r="BY1372" s="215">
        <f t="shared" si="59"/>
        <v>0</v>
      </c>
    </row>
    <row r="1373" spans="76:77" x14ac:dyDescent="0.2">
      <c r="BX1373" s="214" t="e">
        <f t="shared" si="58"/>
        <v>#DIV/0!</v>
      </c>
      <c r="BY1373" s="215">
        <f t="shared" si="59"/>
        <v>0</v>
      </c>
    </row>
    <row r="1374" spans="76:77" x14ac:dyDescent="0.2">
      <c r="BX1374" s="214" t="e">
        <f t="shared" si="58"/>
        <v>#DIV/0!</v>
      </c>
      <c r="BY1374" s="215">
        <f t="shared" si="59"/>
        <v>0</v>
      </c>
    </row>
    <row r="1375" spans="76:77" x14ac:dyDescent="0.2">
      <c r="BX1375" s="214" t="e">
        <f t="shared" si="58"/>
        <v>#DIV/0!</v>
      </c>
      <c r="BY1375" s="215">
        <f t="shared" si="59"/>
        <v>0</v>
      </c>
    </row>
    <row r="1376" spans="76:77" x14ac:dyDescent="0.2">
      <c r="BX1376" s="214" t="e">
        <f t="shared" si="58"/>
        <v>#DIV/0!</v>
      </c>
      <c r="BY1376" s="215">
        <f t="shared" si="59"/>
        <v>0</v>
      </c>
    </row>
    <row r="1377" spans="76:77" x14ac:dyDescent="0.2">
      <c r="BX1377" s="214" t="e">
        <f t="shared" si="58"/>
        <v>#DIV/0!</v>
      </c>
      <c r="BY1377" s="215">
        <f t="shared" si="59"/>
        <v>0</v>
      </c>
    </row>
    <row r="1378" spans="76:77" x14ac:dyDescent="0.2">
      <c r="BX1378" s="214" t="e">
        <f t="shared" si="58"/>
        <v>#DIV/0!</v>
      </c>
      <c r="BY1378" s="215">
        <f t="shared" si="59"/>
        <v>0</v>
      </c>
    </row>
    <row r="1379" spans="76:77" x14ac:dyDescent="0.2">
      <c r="BX1379" s="214" t="e">
        <f t="shared" si="58"/>
        <v>#DIV/0!</v>
      </c>
      <c r="BY1379" s="215">
        <f t="shared" si="59"/>
        <v>0</v>
      </c>
    </row>
    <row r="1380" spans="76:77" x14ac:dyDescent="0.2">
      <c r="BX1380" s="214" t="e">
        <f t="shared" si="58"/>
        <v>#DIV/0!</v>
      </c>
      <c r="BY1380" s="215">
        <f t="shared" si="59"/>
        <v>0</v>
      </c>
    </row>
    <row r="1381" spans="76:77" x14ac:dyDescent="0.2">
      <c r="BX1381" s="214" t="e">
        <f t="shared" si="58"/>
        <v>#DIV/0!</v>
      </c>
      <c r="BY1381" s="215">
        <f t="shared" si="59"/>
        <v>0</v>
      </c>
    </row>
    <row r="1382" spans="76:77" x14ac:dyDescent="0.2">
      <c r="BX1382" s="214" t="e">
        <f t="shared" si="58"/>
        <v>#DIV/0!</v>
      </c>
      <c r="BY1382" s="215">
        <f t="shared" si="59"/>
        <v>0</v>
      </c>
    </row>
    <row r="1383" spans="76:77" x14ac:dyDescent="0.2">
      <c r="BX1383" s="214" t="e">
        <f t="shared" si="58"/>
        <v>#DIV/0!</v>
      </c>
      <c r="BY1383" s="215">
        <f t="shared" si="59"/>
        <v>0</v>
      </c>
    </row>
    <row r="1384" spans="76:77" x14ac:dyDescent="0.2">
      <c r="BX1384" s="214" t="e">
        <f t="shared" si="58"/>
        <v>#DIV/0!</v>
      </c>
      <c r="BY1384" s="215">
        <f t="shared" si="59"/>
        <v>0</v>
      </c>
    </row>
    <row r="1385" spans="76:77" x14ac:dyDescent="0.2">
      <c r="BX1385" s="214" t="e">
        <f t="shared" si="58"/>
        <v>#DIV/0!</v>
      </c>
      <c r="BY1385" s="215">
        <f t="shared" si="59"/>
        <v>0</v>
      </c>
    </row>
    <row r="1386" spans="76:77" x14ac:dyDescent="0.2">
      <c r="BX1386" s="214" t="e">
        <f t="shared" si="58"/>
        <v>#DIV/0!</v>
      </c>
      <c r="BY1386" s="215">
        <f t="shared" si="59"/>
        <v>0</v>
      </c>
    </row>
    <row r="1387" spans="76:77" x14ac:dyDescent="0.2">
      <c r="BX1387" s="214" t="e">
        <f t="shared" si="58"/>
        <v>#DIV/0!</v>
      </c>
      <c r="BY1387" s="215">
        <f t="shared" si="59"/>
        <v>0</v>
      </c>
    </row>
    <row r="1388" spans="76:77" x14ac:dyDescent="0.2">
      <c r="BX1388" s="214" t="e">
        <f t="shared" si="58"/>
        <v>#DIV/0!</v>
      </c>
      <c r="BY1388" s="215">
        <f t="shared" si="59"/>
        <v>0</v>
      </c>
    </row>
    <row r="1389" spans="76:77" x14ac:dyDescent="0.2">
      <c r="BX1389" s="214" t="e">
        <f t="shared" si="58"/>
        <v>#DIV/0!</v>
      </c>
      <c r="BY1389" s="215">
        <f t="shared" si="59"/>
        <v>0</v>
      </c>
    </row>
    <row r="1390" spans="76:77" x14ac:dyDescent="0.2">
      <c r="BX1390" s="214" t="e">
        <f t="shared" si="58"/>
        <v>#DIV/0!</v>
      </c>
      <c r="BY1390" s="215">
        <f t="shared" si="59"/>
        <v>0</v>
      </c>
    </row>
    <row r="1391" spans="76:77" x14ac:dyDescent="0.2">
      <c r="BX1391" s="214" t="e">
        <f t="shared" si="58"/>
        <v>#DIV/0!</v>
      </c>
      <c r="BY1391" s="215">
        <f t="shared" si="59"/>
        <v>0</v>
      </c>
    </row>
    <row r="1392" spans="76:77" x14ac:dyDescent="0.2">
      <c r="BX1392" s="214" t="e">
        <f t="shared" si="58"/>
        <v>#DIV/0!</v>
      </c>
      <c r="BY1392" s="215">
        <f t="shared" si="59"/>
        <v>0</v>
      </c>
    </row>
    <row r="1393" spans="76:77" x14ac:dyDescent="0.2">
      <c r="BX1393" s="214" t="e">
        <f t="shared" si="58"/>
        <v>#DIV/0!</v>
      </c>
      <c r="BY1393" s="215">
        <f t="shared" si="59"/>
        <v>0</v>
      </c>
    </row>
    <row r="1394" spans="76:77" x14ac:dyDescent="0.2">
      <c r="BX1394" s="214" t="e">
        <f t="shared" si="58"/>
        <v>#DIV/0!</v>
      </c>
      <c r="BY1394" s="215">
        <f t="shared" si="59"/>
        <v>0</v>
      </c>
    </row>
    <row r="1395" spans="76:77" x14ac:dyDescent="0.2">
      <c r="BX1395" s="214" t="e">
        <f t="shared" si="58"/>
        <v>#DIV/0!</v>
      </c>
      <c r="BY1395" s="215">
        <f t="shared" si="59"/>
        <v>0</v>
      </c>
    </row>
    <row r="1396" spans="76:77" x14ac:dyDescent="0.2">
      <c r="BX1396" s="214" t="e">
        <f t="shared" si="58"/>
        <v>#DIV/0!</v>
      </c>
      <c r="BY1396" s="215">
        <f t="shared" si="59"/>
        <v>0</v>
      </c>
    </row>
    <row r="1397" spans="76:77" x14ac:dyDescent="0.2">
      <c r="BX1397" s="214" t="e">
        <f t="shared" si="58"/>
        <v>#DIV/0!</v>
      </c>
      <c r="BY1397" s="215">
        <f t="shared" si="59"/>
        <v>0</v>
      </c>
    </row>
    <row r="1398" spans="76:77" x14ac:dyDescent="0.2">
      <c r="BX1398" s="214" t="e">
        <f t="shared" si="58"/>
        <v>#DIV/0!</v>
      </c>
      <c r="BY1398" s="215">
        <f t="shared" si="59"/>
        <v>0</v>
      </c>
    </row>
    <row r="1399" spans="76:77" x14ac:dyDescent="0.2">
      <c r="BX1399" s="214" t="e">
        <f t="shared" si="58"/>
        <v>#DIV/0!</v>
      </c>
      <c r="BY1399" s="215">
        <f t="shared" si="59"/>
        <v>0</v>
      </c>
    </row>
    <row r="1400" spans="76:77" x14ac:dyDescent="0.2">
      <c r="BX1400" s="214" t="e">
        <f t="shared" si="58"/>
        <v>#DIV/0!</v>
      </c>
      <c r="BY1400" s="215">
        <f t="shared" si="59"/>
        <v>0</v>
      </c>
    </row>
    <row r="1401" spans="76:77" x14ac:dyDescent="0.2">
      <c r="BX1401" s="214" t="e">
        <f t="shared" si="58"/>
        <v>#DIV/0!</v>
      </c>
      <c r="BY1401" s="215">
        <f t="shared" si="59"/>
        <v>0</v>
      </c>
    </row>
    <row r="1402" spans="76:77" x14ac:dyDescent="0.2">
      <c r="BX1402" s="214" t="e">
        <f t="shared" si="58"/>
        <v>#DIV/0!</v>
      </c>
      <c r="BY1402" s="215">
        <f t="shared" si="59"/>
        <v>0</v>
      </c>
    </row>
    <row r="1403" spans="76:77" x14ac:dyDescent="0.2">
      <c r="BX1403" s="214" t="e">
        <f t="shared" si="58"/>
        <v>#DIV/0!</v>
      </c>
      <c r="BY1403" s="215">
        <f t="shared" si="59"/>
        <v>0</v>
      </c>
    </row>
    <row r="1404" spans="76:77" x14ac:dyDescent="0.2">
      <c r="BX1404" s="214" t="e">
        <f t="shared" si="58"/>
        <v>#DIV/0!</v>
      </c>
      <c r="BY1404" s="215">
        <f t="shared" si="59"/>
        <v>0</v>
      </c>
    </row>
    <row r="1405" spans="76:77" x14ac:dyDescent="0.2">
      <c r="BX1405" s="214" t="e">
        <f t="shared" si="58"/>
        <v>#DIV/0!</v>
      </c>
      <c r="BY1405" s="215">
        <f t="shared" si="59"/>
        <v>0</v>
      </c>
    </row>
    <row r="1406" spans="76:77" x14ac:dyDescent="0.2">
      <c r="BX1406" s="214" t="e">
        <f t="shared" si="58"/>
        <v>#DIV/0!</v>
      </c>
      <c r="BY1406" s="215">
        <f t="shared" si="59"/>
        <v>0</v>
      </c>
    </row>
    <row r="1407" spans="76:77" x14ac:dyDescent="0.2">
      <c r="BX1407" s="214" t="e">
        <f t="shared" si="58"/>
        <v>#DIV/0!</v>
      </c>
      <c r="BY1407" s="215">
        <f t="shared" si="59"/>
        <v>0</v>
      </c>
    </row>
    <row r="1408" spans="76:77" x14ac:dyDescent="0.2">
      <c r="BX1408" s="214" t="e">
        <f t="shared" si="58"/>
        <v>#DIV/0!</v>
      </c>
      <c r="BY1408" s="215">
        <f t="shared" si="59"/>
        <v>0</v>
      </c>
    </row>
    <row r="1409" spans="76:77" x14ac:dyDescent="0.2">
      <c r="BX1409" s="214" t="e">
        <f t="shared" si="58"/>
        <v>#DIV/0!</v>
      </c>
      <c r="BY1409" s="215">
        <f t="shared" si="59"/>
        <v>0</v>
      </c>
    </row>
    <row r="1410" spans="76:77" x14ac:dyDescent="0.2">
      <c r="BX1410" s="214" t="e">
        <f t="shared" si="58"/>
        <v>#DIV/0!</v>
      </c>
      <c r="BY1410" s="215">
        <f t="shared" si="59"/>
        <v>0</v>
      </c>
    </row>
    <row r="1411" spans="76:77" x14ac:dyDescent="0.2">
      <c r="BX1411" s="214" t="e">
        <f t="shared" si="58"/>
        <v>#DIV/0!</v>
      </c>
      <c r="BY1411" s="215">
        <f t="shared" si="59"/>
        <v>0</v>
      </c>
    </row>
    <row r="1412" spans="76:77" x14ac:dyDescent="0.2">
      <c r="BX1412" s="214" t="e">
        <f t="shared" si="58"/>
        <v>#DIV/0!</v>
      </c>
      <c r="BY1412" s="215">
        <f t="shared" si="59"/>
        <v>0</v>
      </c>
    </row>
    <row r="1413" spans="76:77" x14ac:dyDescent="0.2">
      <c r="BX1413" s="214" t="e">
        <f t="shared" si="58"/>
        <v>#DIV/0!</v>
      </c>
      <c r="BY1413" s="215">
        <f t="shared" si="59"/>
        <v>0</v>
      </c>
    </row>
    <row r="1414" spans="76:77" x14ac:dyDescent="0.2">
      <c r="BX1414" s="214" t="e">
        <f t="shared" si="58"/>
        <v>#DIV/0!</v>
      </c>
      <c r="BY1414" s="215">
        <f t="shared" si="59"/>
        <v>0</v>
      </c>
    </row>
    <row r="1415" spans="76:77" x14ac:dyDescent="0.2">
      <c r="BX1415" s="214" t="e">
        <f t="shared" si="58"/>
        <v>#DIV/0!</v>
      </c>
      <c r="BY1415" s="215">
        <f t="shared" si="59"/>
        <v>0</v>
      </c>
    </row>
    <row r="1416" spans="76:77" x14ac:dyDescent="0.2">
      <c r="BX1416" s="214" t="e">
        <f t="shared" si="58"/>
        <v>#DIV/0!</v>
      </c>
      <c r="BY1416" s="215">
        <f t="shared" si="59"/>
        <v>0</v>
      </c>
    </row>
    <row r="1417" spans="76:77" x14ac:dyDescent="0.2">
      <c r="BX1417" s="214" t="e">
        <f t="shared" si="58"/>
        <v>#DIV/0!</v>
      </c>
      <c r="BY1417" s="215">
        <f t="shared" si="59"/>
        <v>0</v>
      </c>
    </row>
    <row r="1418" spans="76:77" x14ac:dyDescent="0.2">
      <c r="BX1418" s="214" t="e">
        <f t="shared" si="58"/>
        <v>#DIV/0!</v>
      </c>
      <c r="BY1418" s="215">
        <f t="shared" si="59"/>
        <v>0</v>
      </c>
    </row>
    <row r="1419" spans="76:77" x14ac:dyDescent="0.2">
      <c r="BX1419" s="214" t="e">
        <f t="shared" si="58"/>
        <v>#DIV/0!</v>
      </c>
      <c r="BY1419" s="215">
        <f t="shared" si="59"/>
        <v>0</v>
      </c>
    </row>
    <row r="1420" spans="76:77" x14ac:dyDescent="0.2">
      <c r="BX1420" s="214" t="e">
        <f t="shared" si="58"/>
        <v>#DIV/0!</v>
      </c>
      <c r="BY1420" s="215">
        <f t="shared" si="59"/>
        <v>0</v>
      </c>
    </row>
    <row r="1421" spans="76:77" x14ac:dyDescent="0.2">
      <c r="BX1421" s="214" t="e">
        <f t="shared" ref="BX1421:BX1484" si="60">BY1421/BV1421</f>
        <v>#DIV/0!</v>
      </c>
      <c r="BY1421" s="215">
        <f t="shared" si="59"/>
        <v>0</v>
      </c>
    </row>
    <row r="1422" spans="76:77" x14ac:dyDescent="0.2">
      <c r="BX1422" s="214" t="e">
        <f t="shared" si="60"/>
        <v>#DIV/0!</v>
      </c>
      <c r="BY1422" s="215">
        <f t="shared" ref="BY1422:BY1485" si="61">BY1421+BW1422*(BV1422-BV1421)</f>
        <v>0</v>
      </c>
    </row>
    <row r="1423" spans="76:77" x14ac:dyDescent="0.2">
      <c r="BX1423" s="214" t="e">
        <f t="shared" si="60"/>
        <v>#DIV/0!</v>
      </c>
      <c r="BY1423" s="215">
        <f t="shared" si="61"/>
        <v>0</v>
      </c>
    </row>
    <row r="1424" spans="76:77" x14ac:dyDescent="0.2">
      <c r="BX1424" s="214" t="e">
        <f t="shared" si="60"/>
        <v>#DIV/0!</v>
      </c>
      <c r="BY1424" s="215">
        <f t="shared" si="61"/>
        <v>0</v>
      </c>
    </row>
    <row r="1425" spans="76:77" x14ac:dyDescent="0.2">
      <c r="BX1425" s="214" t="e">
        <f t="shared" si="60"/>
        <v>#DIV/0!</v>
      </c>
      <c r="BY1425" s="215">
        <f t="shared" si="61"/>
        <v>0</v>
      </c>
    </row>
    <row r="1426" spans="76:77" x14ac:dyDescent="0.2">
      <c r="BX1426" s="214" t="e">
        <f t="shared" si="60"/>
        <v>#DIV/0!</v>
      </c>
      <c r="BY1426" s="215">
        <f t="shared" si="61"/>
        <v>0</v>
      </c>
    </row>
    <row r="1427" spans="76:77" x14ac:dyDescent="0.2">
      <c r="BX1427" s="214" t="e">
        <f t="shared" si="60"/>
        <v>#DIV/0!</v>
      </c>
      <c r="BY1427" s="215">
        <f t="shared" si="61"/>
        <v>0</v>
      </c>
    </row>
    <row r="1428" spans="76:77" x14ac:dyDescent="0.2">
      <c r="BX1428" s="214" t="e">
        <f t="shared" si="60"/>
        <v>#DIV/0!</v>
      </c>
      <c r="BY1428" s="215">
        <f t="shared" si="61"/>
        <v>0</v>
      </c>
    </row>
    <row r="1429" spans="76:77" x14ac:dyDescent="0.2">
      <c r="BX1429" s="214" t="e">
        <f t="shared" si="60"/>
        <v>#DIV/0!</v>
      </c>
      <c r="BY1429" s="215">
        <f t="shared" si="61"/>
        <v>0</v>
      </c>
    </row>
    <row r="1430" spans="76:77" x14ac:dyDescent="0.2">
      <c r="BX1430" s="214" t="e">
        <f t="shared" si="60"/>
        <v>#DIV/0!</v>
      </c>
      <c r="BY1430" s="215">
        <f t="shared" si="61"/>
        <v>0</v>
      </c>
    </row>
    <row r="1431" spans="76:77" x14ac:dyDescent="0.2">
      <c r="BX1431" s="214" t="e">
        <f t="shared" si="60"/>
        <v>#DIV/0!</v>
      </c>
      <c r="BY1431" s="215">
        <f t="shared" si="61"/>
        <v>0</v>
      </c>
    </row>
    <row r="1432" spans="76:77" x14ac:dyDescent="0.2">
      <c r="BX1432" s="214" t="e">
        <f t="shared" si="60"/>
        <v>#DIV/0!</v>
      </c>
      <c r="BY1432" s="215">
        <f t="shared" si="61"/>
        <v>0</v>
      </c>
    </row>
    <row r="1433" spans="76:77" x14ac:dyDescent="0.2">
      <c r="BX1433" s="214" t="e">
        <f t="shared" si="60"/>
        <v>#DIV/0!</v>
      </c>
      <c r="BY1433" s="215">
        <f t="shared" si="61"/>
        <v>0</v>
      </c>
    </row>
    <row r="1434" spans="76:77" x14ac:dyDescent="0.2">
      <c r="BX1434" s="214" t="e">
        <f t="shared" si="60"/>
        <v>#DIV/0!</v>
      </c>
      <c r="BY1434" s="215">
        <f t="shared" si="61"/>
        <v>0</v>
      </c>
    </row>
    <row r="1435" spans="76:77" x14ac:dyDescent="0.2">
      <c r="BX1435" s="214" t="e">
        <f t="shared" si="60"/>
        <v>#DIV/0!</v>
      </c>
      <c r="BY1435" s="215">
        <f t="shared" si="61"/>
        <v>0</v>
      </c>
    </row>
    <row r="1436" spans="76:77" x14ac:dyDescent="0.2">
      <c r="BX1436" s="214" t="e">
        <f t="shared" si="60"/>
        <v>#DIV/0!</v>
      </c>
      <c r="BY1436" s="215">
        <f t="shared" si="61"/>
        <v>0</v>
      </c>
    </row>
    <row r="1437" spans="76:77" x14ac:dyDescent="0.2">
      <c r="BX1437" s="214" t="e">
        <f t="shared" si="60"/>
        <v>#DIV/0!</v>
      </c>
      <c r="BY1437" s="215">
        <f t="shared" si="61"/>
        <v>0</v>
      </c>
    </row>
    <row r="1438" spans="76:77" x14ac:dyDescent="0.2">
      <c r="BX1438" s="214" t="e">
        <f t="shared" si="60"/>
        <v>#DIV/0!</v>
      </c>
      <c r="BY1438" s="215">
        <f t="shared" si="61"/>
        <v>0</v>
      </c>
    </row>
    <row r="1439" spans="76:77" x14ac:dyDescent="0.2">
      <c r="BX1439" s="214" t="e">
        <f t="shared" si="60"/>
        <v>#DIV/0!</v>
      </c>
      <c r="BY1439" s="215">
        <f t="shared" si="61"/>
        <v>0</v>
      </c>
    </row>
    <row r="1440" spans="76:77" x14ac:dyDescent="0.2">
      <c r="BX1440" s="214" t="e">
        <f t="shared" si="60"/>
        <v>#DIV/0!</v>
      </c>
      <c r="BY1440" s="215">
        <f t="shared" si="61"/>
        <v>0</v>
      </c>
    </row>
    <row r="1441" spans="76:77" x14ac:dyDescent="0.2">
      <c r="BX1441" s="214" t="e">
        <f t="shared" si="60"/>
        <v>#DIV/0!</v>
      </c>
      <c r="BY1441" s="215">
        <f t="shared" si="61"/>
        <v>0</v>
      </c>
    </row>
    <row r="1442" spans="76:77" x14ac:dyDescent="0.2">
      <c r="BX1442" s="214" t="e">
        <f t="shared" si="60"/>
        <v>#DIV/0!</v>
      </c>
      <c r="BY1442" s="215">
        <f t="shared" si="61"/>
        <v>0</v>
      </c>
    </row>
    <row r="1443" spans="76:77" x14ac:dyDescent="0.2">
      <c r="BX1443" s="214" t="e">
        <f t="shared" si="60"/>
        <v>#DIV/0!</v>
      </c>
      <c r="BY1443" s="215">
        <f t="shared" si="61"/>
        <v>0</v>
      </c>
    </row>
    <row r="1444" spans="76:77" x14ac:dyDescent="0.2">
      <c r="BX1444" s="214" t="e">
        <f t="shared" si="60"/>
        <v>#DIV/0!</v>
      </c>
      <c r="BY1444" s="215">
        <f t="shared" si="61"/>
        <v>0</v>
      </c>
    </row>
    <row r="1445" spans="76:77" x14ac:dyDescent="0.2">
      <c r="BX1445" s="214" t="e">
        <f t="shared" si="60"/>
        <v>#DIV/0!</v>
      </c>
      <c r="BY1445" s="215">
        <f t="shared" si="61"/>
        <v>0</v>
      </c>
    </row>
    <row r="1446" spans="76:77" x14ac:dyDescent="0.2">
      <c r="BX1446" s="214" t="e">
        <f t="shared" si="60"/>
        <v>#DIV/0!</v>
      </c>
      <c r="BY1446" s="215">
        <f t="shared" si="61"/>
        <v>0</v>
      </c>
    </row>
    <row r="1447" spans="76:77" x14ac:dyDescent="0.2">
      <c r="BX1447" s="214" t="e">
        <f t="shared" si="60"/>
        <v>#DIV/0!</v>
      </c>
      <c r="BY1447" s="215">
        <f t="shared" si="61"/>
        <v>0</v>
      </c>
    </row>
    <row r="1448" spans="76:77" x14ac:dyDescent="0.2">
      <c r="BX1448" s="214" t="e">
        <f t="shared" si="60"/>
        <v>#DIV/0!</v>
      </c>
      <c r="BY1448" s="215">
        <f t="shared" si="61"/>
        <v>0</v>
      </c>
    </row>
    <row r="1449" spans="76:77" x14ac:dyDescent="0.2">
      <c r="BX1449" s="214" t="e">
        <f t="shared" si="60"/>
        <v>#DIV/0!</v>
      </c>
      <c r="BY1449" s="215">
        <f t="shared" si="61"/>
        <v>0</v>
      </c>
    </row>
    <row r="1450" spans="76:77" x14ac:dyDescent="0.2">
      <c r="BX1450" s="214" t="e">
        <f t="shared" si="60"/>
        <v>#DIV/0!</v>
      </c>
      <c r="BY1450" s="215">
        <f t="shared" si="61"/>
        <v>0</v>
      </c>
    </row>
    <row r="1451" spans="76:77" x14ac:dyDescent="0.2">
      <c r="BX1451" s="214" t="e">
        <f t="shared" si="60"/>
        <v>#DIV/0!</v>
      </c>
      <c r="BY1451" s="215">
        <f t="shared" si="61"/>
        <v>0</v>
      </c>
    </row>
    <row r="1452" spans="76:77" x14ac:dyDescent="0.2">
      <c r="BX1452" s="214" t="e">
        <f t="shared" si="60"/>
        <v>#DIV/0!</v>
      </c>
      <c r="BY1452" s="215">
        <f t="shared" si="61"/>
        <v>0</v>
      </c>
    </row>
    <row r="1453" spans="76:77" x14ac:dyDescent="0.2">
      <c r="BX1453" s="214" t="e">
        <f t="shared" si="60"/>
        <v>#DIV/0!</v>
      </c>
      <c r="BY1453" s="215">
        <f t="shared" si="61"/>
        <v>0</v>
      </c>
    </row>
    <row r="1454" spans="76:77" x14ac:dyDescent="0.2">
      <c r="BX1454" s="214" t="e">
        <f t="shared" si="60"/>
        <v>#DIV/0!</v>
      </c>
      <c r="BY1454" s="215">
        <f t="shared" si="61"/>
        <v>0</v>
      </c>
    </row>
    <row r="1455" spans="76:77" x14ac:dyDescent="0.2">
      <c r="BX1455" s="214" t="e">
        <f t="shared" si="60"/>
        <v>#DIV/0!</v>
      </c>
      <c r="BY1455" s="215">
        <f t="shared" si="61"/>
        <v>0</v>
      </c>
    </row>
    <row r="1456" spans="76:77" x14ac:dyDescent="0.2">
      <c r="BX1456" s="214" t="e">
        <f t="shared" si="60"/>
        <v>#DIV/0!</v>
      </c>
      <c r="BY1456" s="215">
        <f t="shared" si="61"/>
        <v>0</v>
      </c>
    </row>
    <row r="1457" spans="76:77" x14ac:dyDescent="0.2">
      <c r="BX1457" s="214" t="e">
        <f t="shared" si="60"/>
        <v>#DIV/0!</v>
      </c>
      <c r="BY1457" s="215">
        <f t="shared" si="61"/>
        <v>0</v>
      </c>
    </row>
    <row r="1458" spans="76:77" x14ac:dyDescent="0.2">
      <c r="BX1458" s="214" t="e">
        <f t="shared" si="60"/>
        <v>#DIV/0!</v>
      </c>
      <c r="BY1458" s="215">
        <f t="shared" si="61"/>
        <v>0</v>
      </c>
    </row>
    <row r="1459" spans="76:77" x14ac:dyDescent="0.2">
      <c r="BX1459" s="214" t="e">
        <f t="shared" si="60"/>
        <v>#DIV/0!</v>
      </c>
      <c r="BY1459" s="215">
        <f t="shared" si="61"/>
        <v>0</v>
      </c>
    </row>
    <row r="1460" spans="76:77" x14ac:dyDescent="0.2">
      <c r="BX1460" s="214" t="e">
        <f t="shared" si="60"/>
        <v>#DIV/0!</v>
      </c>
      <c r="BY1460" s="215">
        <f t="shared" si="61"/>
        <v>0</v>
      </c>
    </row>
    <row r="1461" spans="76:77" x14ac:dyDescent="0.2">
      <c r="BX1461" s="214" t="e">
        <f t="shared" si="60"/>
        <v>#DIV/0!</v>
      </c>
      <c r="BY1461" s="215">
        <f t="shared" si="61"/>
        <v>0</v>
      </c>
    </row>
    <row r="1462" spans="76:77" x14ac:dyDescent="0.2">
      <c r="BX1462" s="214" t="e">
        <f t="shared" si="60"/>
        <v>#DIV/0!</v>
      </c>
      <c r="BY1462" s="215">
        <f t="shared" si="61"/>
        <v>0</v>
      </c>
    </row>
    <row r="1463" spans="76:77" x14ac:dyDescent="0.2">
      <c r="BX1463" s="214" t="e">
        <f t="shared" si="60"/>
        <v>#DIV/0!</v>
      </c>
      <c r="BY1463" s="215">
        <f t="shared" si="61"/>
        <v>0</v>
      </c>
    </row>
    <row r="1464" spans="76:77" x14ac:dyDescent="0.2">
      <c r="BX1464" s="214" t="e">
        <f t="shared" si="60"/>
        <v>#DIV/0!</v>
      </c>
      <c r="BY1464" s="215">
        <f t="shared" si="61"/>
        <v>0</v>
      </c>
    </row>
    <row r="1465" spans="76:77" x14ac:dyDescent="0.2">
      <c r="BX1465" s="214" t="e">
        <f t="shared" si="60"/>
        <v>#DIV/0!</v>
      </c>
      <c r="BY1465" s="215">
        <f t="shared" si="61"/>
        <v>0</v>
      </c>
    </row>
    <row r="1466" spans="76:77" x14ac:dyDescent="0.2">
      <c r="BX1466" s="214" t="e">
        <f t="shared" si="60"/>
        <v>#DIV/0!</v>
      </c>
      <c r="BY1466" s="215">
        <f t="shared" si="61"/>
        <v>0</v>
      </c>
    </row>
    <row r="1467" spans="76:77" x14ac:dyDescent="0.2">
      <c r="BX1467" s="214" t="e">
        <f t="shared" si="60"/>
        <v>#DIV/0!</v>
      </c>
      <c r="BY1467" s="215">
        <f t="shared" si="61"/>
        <v>0</v>
      </c>
    </row>
    <row r="1468" spans="76:77" x14ac:dyDescent="0.2">
      <c r="BX1468" s="214" t="e">
        <f t="shared" si="60"/>
        <v>#DIV/0!</v>
      </c>
      <c r="BY1468" s="215">
        <f t="shared" si="61"/>
        <v>0</v>
      </c>
    </row>
    <row r="1469" spans="76:77" x14ac:dyDescent="0.2">
      <c r="BX1469" s="214" t="e">
        <f t="shared" si="60"/>
        <v>#DIV/0!</v>
      </c>
      <c r="BY1469" s="215">
        <f t="shared" si="61"/>
        <v>0</v>
      </c>
    </row>
    <row r="1470" spans="76:77" x14ac:dyDescent="0.2">
      <c r="BX1470" s="214" t="e">
        <f t="shared" si="60"/>
        <v>#DIV/0!</v>
      </c>
      <c r="BY1470" s="215">
        <f t="shared" si="61"/>
        <v>0</v>
      </c>
    </row>
    <row r="1471" spans="76:77" x14ac:dyDescent="0.2">
      <c r="BX1471" s="214" t="e">
        <f t="shared" si="60"/>
        <v>#DIV/0!</v>
      </c>
      <c r="BY1471" s="215">
        <f t="shared" si="61"/>
        <v>0</v>
      </c>
    </row>
    <row r="1472" spans="76:77" x14ac:dyDescent="0.2">
      <c r="BX1472" s="214" t="e">
        <f t="shared" si="60"/>
        <v>#DIV/0!</v>
      </c>
      <c r="BY1472" s="215">
        <f t="shared" si="61"/>
        <v>0</v>
      </c>
    </row>
    <row r="1473" spans="76:77" x14ac:dyDescent="0.2">
      <c r="BX1473" s="214" t="e">
        <f t="shared" si="60"/>
        <v>#DIV/0!</v>
      </c>
      <c r="BY1473" s="215">
        <f t="shared" si="61"/>
        <v>0</v>
      </c>
    </row>
    <row r="1474" spans="76:77" x14ac:dyDescent="0.2">
      <c r="BX1474" s="214" t="e">
        <f t="shared" si="60"/>
        <v>#DIV/0!</v>
      </c>
      <c r="BY1474" s="215">
        <f t="shared" si="61"/>
        <v>0</v>
      </c>
    </row>
    <row r="1475" spans="76:77" x14ac:dyDescent="0.2">
      <c r="BX1475" s="214" t="e">
        <f t="shared" si="60"/>
        <v>#DIV/0!</v>
      </c>
      <c r="BY1475" s="215">
        <f t="shared" si="61"/>
        <v>0</v>
      </c>
    </row>
    <row r="1476" spans="76:77" x14ac:dyDescent="0.2">
      <c r="BX1476" s="214" t="e">
        <f t="shared" si="60"/>
        <v>#DIV/0!</v>
      </c>
      <c r="BY1476" s="215">
        <f t="shared" si="61"/>
        <v>0</v>
      </c>
    </row>
    <row r="1477" spans="76:77" x14ac:dyDescent="0.2">
      <c r="BX1477" s="214" t="e">
        <f t="shared" si="60"/>
        <v>#DIV/0!</v>
      </c>
      <c r="BY1477" s="215">
        <f t="shared" si="61"/>
        <v>0</v>
      </c>
    </row>
    <row r="1478" spans="76:77" x14ac:dyDescent="0.2">
      <c r="BX1478" s="214" t="e">
        <f t="shared" si="60"/>
        <v>#DIV/0!</v>
      </c>
      <c r="BY1478" s="215">
        <f t="shared" si="61"/>
        <v>0</v>
      </c>
    </row>
    <row r="1479" spans="76:77" x14ac:dyDescent="0.2">
      <c r="BX1479" s="214" t="e">
        <f t="shared" si="60"/>
        <v>#DIV/0!</v>
      </c>
      <c r="BY1479" s="215">
        <f t="shared" si="61"/>
        <v>0</v>
      </c>
    </row>
    <row r="1480" spans="76:77" x14ac:dyDescent="0.2">
      <c r="BX1480" s="214" t="e">
        <f t="shared" si="60"/>
        <v>#DIV/0!</v>
      </c>
      <c r="BY1480" s="215">
        <f t="shared" si="61"/>
        <v>0</v>
      </c>
    </row>
    <row r="1481" spans="76:77" x14ac:dyDescent="0.2">
      <c r="BX1481" s="214" t="e">
        <f t="shared" si="60"/>
        <v>#DIV/0!</v>
      </c>
      <c r="BY1481" s="215">
        <f t="shared" si="61"/>
        <v>0</v>
      </c>
    </row>
    <row r="1482" spans="76:77" x14ac:dyDescent="0.2">
      <c r="BX1482" s="214" t="e">
        <f t="shared" si="60"/>
        <v>#DIV/0!</v>
      </c>
      <c r="BY1482" s="215">
        <f t="shared" si="61"/>
        <v>0</v>
      </c>
    </row>
    <row r="1483" spans="76:77" x14ac:dyDescent="0.2">
      <c r="BX1483" s="214" t="e">
        <f t="shared" si="60"/>
        <v>#DIV/0!</v>
      </c>
      <c r="BY1483" s="215">
        <f t="shared" si="61"/>
        <v>0</v>
      </c>
    </row>
    <row r="1484" spans="76:77" x14ac:dyDescent="0.2">
      <c r="BX1484" s="214" t="e">
        <f t="shared" si="60"/>
        <v>#DIV/0!</v>
      </c>
      <c r="BY1484" s="215">
        <f t="shared" si="61"/>
        <v>0</v>
      </c>
    </row>
    <row r="1485" spans="76:77" x14ac:dyDescent="0.2">
      <c r="BX1485" s="214" t="e">
        <f t="shared" ref="BX1485:BX1548" si="62">BY1485/BV1485</f>
        <v>#DIV/0!</v>
      </c>
      <c r="BY1485" s="215">
        <f t="shared" si="61"/>
        <v>0</v>
      </c>
    </row>
    <row r="1486" spans="76:77" x14ac:dyDescent="0.2">
      <c r="BX1486" s="214" t="e">
        <f t="shared" si="62"/>
        <v>#DIV/0!</v>
      </c>
      <c r="BY1486" s="215">
        <f t="shared" ref="BY1486:BY1549" si="63">BY1485+BW1486*(BV1486-BV1485)</f>
        <v>0</v>
      </c>
    </row>
    <row r="1487" spans="76:77" x14ac:dyDescent="0.2">
      <c r="BX1487" s="214" t="e">
        <f t="shared" si="62"/>
        <v>#DIV/0!</v>
      </c>
      <c r="BY1487" s="215">
        <f t="shared" si="63"/>
        <v>0</v>
      </c>
    </row>
    <row r="1488" spans="76:77" x14ac:dyDescent="0.2">
      <c r="BX1488" s="214" t="e">
        <f t="shared" si="62"/>
        <v>#DIV/0!</v>
      </c>
      <c r="BY1488" s="215">
        <f t="shared" si="63"/>
        <v>0</v>
      </c>
    </row>
    <row r="1489" spans="76:77" x14ac:dyDescent="0.2">
      <c r="BX1489" s="214" t="e">
        <f t="shared" si="62"/>
        <v>#DIV/0!</v>
      </c>
      <c r="BY1489" s="215">
        <f t="shared" si="63"/>
        <v>0</v>
      </c>
    </row>
    <row r="1490" spans="76:77" x14ac:dyDescent="0.2">
      <c r="BX1490" s="214" t="e">
        <f t="shared" si="62"/>
        <v>#DIV/0!</v>
      </c>
      <c r="BY1490" s="215">
        <f t="shared" si="63"/>
        <v>0</v>
      </c>
    </row>
    <row r="1491" spans="76:77" x14ac:dyDescent="0.2">
      <c r="BX1491" s="214" t="e">
        <f t="shared" si="62"/>
        <v>#DIV/0!</v>
      </c>
      <c r="BY1491" s="215">
        <f t="shared" si="63"/>
        <v>0</v>
      </c>
    </row>
    <row r="1492" spans="76:77" x14ac:dyDescent="0.2">
      <c r="BX1492" s="214" t="e">
        <f t="shared" si="62"/>
        <v>#DIV/0!</v>
      </c>
      <c r="BY1492" s="215">
        <f t="shared" si="63"/>
        <v>0</v>
      </c>
    </row>
    <row r="1493" spans="76:77" x14ac:dyDescent="0.2">
      <c r="BX1493" s="214" t="e">
        <f t="shared" si="62"/>
        <v>#DIV/0!</v>
      </c>
      <c r="BY1493" s="215">
        <f t="shared" si="63"/>
        <v>0</v>
      </c>
    </row>
    <row r="1494" spans="76:77" x14ac:dyDescent="0.2">
      <c r="BX1494" s="214" t="e">
        <f t="shared" si="62"/>
        <v>#DIV/0!</v>
      </c>
      <c r="BY1494" s="215">
        <f t="shared" si="63"/>
        <v>0</v>
      </c>
    </row>
    <row r="1495" spans="76:77" x14ac:dyDescent="0.2">
      <c r="BX1495" s="214" t="e">
        <f t="shared" si="62"/>
        <v>#DIV/0!</v>
      </c>
      <c r="BY1495" s="215">
        <f t="shared" si="63"/>
        <v>0</v>
      </c>
    </row>
    <row r="1496" spans="76:77" x14ac:dyDescent="0.2">
      <c r="BX1496" s="214" t="e">
        <f t="shared" si="62"/>
        <v>#DIV/0!</v>
      </c>
      <c r="BY1496" s="215">
        <f t="shared" si="63"/>
        <v>0</v>
      </c>
    </row>
    <row r="1497" spans="76:77" x14ac:dyDescent="0.2">
      <c r="BX1497" s="214" t="e">
        <f t="shared" si="62"/>
        <v>#DIV/0!</v>
      </c>
      <c r="BY1497" s="215">
        <f t="shared" si="63"/>
        <v>0</v>
      </c>
    </row>
    <row r="1498" spans="76:77" x14ac:dyDescent="0.2">
      <c r="BX1498" s="214" t="e">
        <f t="shared" si="62"/>
        <v>#DIV/0!</v>
      </c>
      <c r="BY1498" s="215">
        <f t="shared" si="63"/>
        <v>0</v>
      </c>
    </row>
    <row r="1499" spans="76:77" x14ac:dyDescent="0.2">
      <c r="BX1499" s="214" t="e">
        <f t="shared" si="62"/>
        <v>#DIV/0!</v>
      </c>
      <c r="BY1499" s="215">
        <f t="shared" si="63"/>
        <v>0</v>
      </c>
    </row>
    <row r="1500" spans="76:77" x14ac:dyDescent="0.2">
      <c r="BX1500" s="214" t="e">
        <f t="shared" si="62"/>
        <v>#DIV/0!</v>
      </c>
      <c r="BY1500" s="215">
        <f t="shared" si="63"/>
        <v>0</v>
      </c>
    </row>
    <row r="1501" spans="76:77" x14ac:dyDescent="0.2">
      <c r="BX1501" s="214" t="e">
        <f t="shared" si="62"/>
        <v>#DIV/0!</v>
      </c>
      <c r="BY1501" s="215">
        <f t="shared" si="63"/>
        <v>0</v>
      </c>
    </row>
    <row r="1502" spans="76:77" x14ac:dyDescent="0.2">
      <c r="BX1502" s="214" t="e">
        <f t="shared" si="62"/>
        <v>#DIV/0!</v>
      </c>
      <c r="BY1502" s="215">
        <f t="shared" si="63"/>
        <v>0</v>
      </c>
    </row>
    <row r="1503" spans="76:77" x14ac:dyDescent="0.2">
      <c r="BX1503" s="214" t="e">
        <f t="shared" si="62"/>
        <v>#DIV/0!</v>
      </c>
      <c r="BY1503" s="215">
        <f t="shared" si="63"/>
        <v>0</v>
      </c>
    </row>
    <row r="1504" spans="76:77" x14ac:dyDescent="0.2">
      <c r="BX1504" s="214" t="e">
        <f t="shared" si="62"/>
        <v>#DIV/0!</v>
      </c>
      <c r="BY1504" s="215">
        <f t="shared" si="63"/>
        <v>0</v>
      </c>
    </row>
    <row r="1505" spans="76:77" x14ac:dyDescent="0.2">
      <c r="BX1505" s="214" t="e">
        <f t="shared" si="62"/>
        <v>#DIV/0!</v>
      </c>
      <c r="BY1505" s="215">
        <f t="shared" si="63"/>
        <v>0</v>
      </c>
    </row>
    <row r="1506" spans="76:77" x14ac:dyDescent="0.2">
      <c r="BX1506" s="214" t="e">
        <f t="shared" si="62"/>
        <v>#DIV/0!</v>
      </c>
      <c r="BY1506" s="215">
        <f t="shared" si="63"/>
        <v>0</v>
      </c>
    </row>
    <row r="1507" spans="76:77" x14ac:dyDescent="0.2">
      <c r="BX1507" s="214" t="e">
        <f t="shared" si="62"/>
        <v>#DIV/0!</v>
      </c>
      <c r="BY1507" s="215">
        <f t="shared" si="63"/>
        <v>0</v>
      </c>
    </row>
    <row r="1508" spans="76:77" x14ac:dyDescent="0.2">
      <c r="BX1508" s="214" t="e">
        <f t="shared" si="62"/>
        <v>#DIV/0!</v>
      </c>
      <c r="BY1508" s="215">
        <f t="shared" si="63"/>
        <v>0</v>
      </c>
    </row>
    <row r="1509" spans="76:77" x14ac:dyDescent="0.2">
      <c r="BX1509" s="214" t="e">
        <f t="shared" si="62"/>
        <v>#DIV/0!</v>
      </c>
      <c r="BY1509" s="215">
        <f t="shared" si="63"/>
        <v>0</v>
      </c>
    </row>
    <row r="1510" spans="76:77" x14ac:dyDescent="0.2">
      <c r="BX1510" s="214" t="e">
        <f t="shared" si="62"/>
        <v>#DIV/0!</v>
      </c>
      <c r="BY1510" s="215">
        <f t="shared" si="63"/>
        <v>0</v>
      </c>
    </row>
    <row r="1511" spans="76:77" x14ac:dyDescent="0.2">
      <c r="BX1511" s="214" t="e">
        <f t="shared" si="62"/>
        <v>#DIV/0!</v>
      </c>
      <c r="BY1511" s="215">
        <f t="shared" si="63"/>
        <v>0</v>
      </c>
    </row>
    <row r="1512" spans="76:77" x14ac:dyDescent="0.2">
      <c r="BX1512" s="214" t="e">
        <f t="shared" si="62"/>
        <v>#DIV/0!</v>
      </c>
      <c r="BY1512" s="215">
        <f t="shared" si="63"/>
        <v>0</v>
      </c>
    </row>
    <row r="1513" spans="76:77" x14ac:dyDescent="0.2">
      <c r="BX1513" s="214" t="e">
        <f t="shared" si="62"/>
        <v>#DIV/0!</v>
      </c>
      <c r="BY1513" s="215">
        <f t="shared" si="63"/>
        <v>0</v>
      </c>
    </row>
    <row r="1514" spans="76:77" x14ac:dyDescent="0.2">
      <c r="BX1514" s="214" t="e">
        <f t="shared" si="62"/>
        <v>#DIV/0!</v>
      </c>
      <c r="BY1514" s="215">
        <f t="shared" si="63"/>
        <v>0</v>
      </c>
    </row>
    <row r="1515" spans="76:77" x14ac:dyDescent="0.2">
      <c r="BX1515" s="214" t="e">
        <f t="shared" si="62"/>
        <v>#DIV/0!</v>
      </c>
      <c r="BY1515" s="215">
        <f t="shared" si="63"/>
        <v>0</v>
      </c>
    </row>
    <row r="1516" spans="76:77" x14ac:dyDescent="0.2">
      <c r="BX1516" s="214" t="e">
        <f t="shared" si="62"/>
        <v>#DIV/0!</v>
      </c>
      <c r="BY1516" s="215">
        <f t="shared" si="63"/>
        <v>0</v>
      </c>
    </row>
    <row r="1517" spans="76:77" x14ac:dyDescent="0.2">
      <c r="BX1517" s="214" t="e">
        <f t="shared" si="62"/>
        <v>#DIV/0!</v>
      </c>
      <c r="BY1517" s="215">
        <f t="shared" si="63"/>
        <v>0</v>
      </c>
    </row>
    <row r="1518" spans="76:77" x14ac:dyDescent="0.2">
      <c r="BX1518" s="214" t="e">
        <f t="shared" si="62"/>
        <v>#DIV/0!</v>
      </c>
      <c r="BY1518" s="215">
        <f t="shared" si="63"/>
        <v>0</v>
      </c>
    </row>
    <row r="1519" spans="76:77" x14ac:dyDescent="0.2">
      <c r="BX1519" s="214" t="e">
        <f t="shared" si="62"/>
        <v>#DIV/0!</v>
      </c>
      <c r="BY1519" s="215">
        <f t="shared" si="63"/>
        <v>0</v>
      </c>
    </row>
    <row r="1520" spans="76:77" x14ac:dyDescent="0.2">
      <c r="BX1520" s="214" t="e">
        <f t="shared" si="62"/>
        <v>#DIV/0!</v>
      </c>
      <c r="BY1520" s="215">
        <f t="shared" si="63"/>
        <v>0</v>
      </c>
    </row>
    <row r="1521" spans="76:77" x14ac:dyDescent="0.2">
      <c r="BX1521" s="214" t="e">
        <f t="shared" si="62"/>
        <v>#DIV/0!</v>
      </c>
      <c r="BY1521" s="215">
        <f t="shared" si="63"/>
        <v>0</v>
      </c>
    </row>
    <row r="1522" spans="76:77" x14ac:dyDescent="0.2">
      <c r="BX1522" s="214" t="e">
        <f t="shared" si="62"/>
        <v>#DIV/0!</v>
      </c>
      <c r="BY1522" s="215">
        <f t="shared" si="63"/>
        <v>0</v>
      </c>
    </row>
    <row r="1523" spans="76:77" x14ac:dyDescent="0.2">
      <c r="BX1523" s="214" t="e">
        <f t="shared" si="62"/>
        <v>#DIV/0!</v>
      </c>
      <c r="BY1523" s="215">
        <f t="shared" si="63"/>
        <v>0</v>
      </c>
    </row>
    <row r="1524" spans="76:77" x14ac:dyDescent="0.2">
      <c r="BX1524" s="214" t="e">
        <f t="shared" si="62"/>
        <v>#DIV/0!</v>
      </c>
      <c r="BY1524" s="215">
        <f t="shared" si="63"/>
        <v>0</v>
      </c>
    </row>
    <row r="1525" spans="76:77" x14ac:dyDescent="0.2">
      <c r="BX1525" s="214" t="e">
        <f t="shared" si="62"/>
        <v>#DIV/0!</v>
      </c>
      <c r="BY1525" s="215">
        <f t="shared" si="63"/>
        <v>0</v>
      </c>
    </row>
    <row r="1526" spans="76:77" x14ac:dyDescent="0.2">
      <c r="BX1526" s="214" t="e">
        <f t="shared" si="62"/>
        <v>#DIV/0!</v>
      </c>
      <c r="BY1526" s="215">
        <f t="shared" si="63"/>
        <v>0</v>
      </c>
    </row>
    <row r="1527" spans="76:77" x14ac:dyDescent="0.2">
      <c r="BX1527" s="214" t="e">
        <f t="shared" si="62"/>
        <v>#DIV/0!</v>
      </c>
      <c r="BY1527" s="215">
        <f t="shared" si="63"/>
        <v>0</v>
      </c>
    </row>
    <row r="1528" spans="76:77" x14ac:dyDescent="0.2">
      <c r="BX1528" s="214" t="e">
        <f t="shared" si="62"/>
        <v>#DIV/0!</v>
      </c>
      <c r="BY1528" s="215">
        <f t="shared" si="63"/>
        <v>0</v>
      </c>
    </row>
    <row r="1529" spans="76:77" x14ac:dyDescent="0.2">
      <c r="BX1529" s="214" t="e">
        <f t="shared" si="62"/>
        <v>#DIV/0!</v>
      </c>
      <c r="BY1529" s="215">
        <f t="shared" si="63"/>
        <v>0</v>
      </c>
    </row>
    <row r="1530" spans="76:77" x14ac:dyDescent="0.2">
      <c r="BX1530" s="214" t="e">
        <f t="shared" si="62"/>
        <v>#DIV/0!</v>
      </c>
      <c r="BY1530" s="215">
        <f t="shared" si="63"/>
        <v>0</v>
      </c>
    </row>
    <row r="1531" spans="76:77" x14ac:dyDescent="0.2">
      <c r="BX1531" s="214" t="e">
        <f t="shared" si="62"/>
        <v>#DIV/0!</v>
      </c>
      <c r="BY1531" s="215">
        <f t="shared" si="63"/>
        <v>0</v>
      </c>
    </row>
    <row r="1532" spans="76:77" x14ac:dyDescent="0.2">
      <c r="BX1532" s="214" t="e">
        <f t="shared" si="62"/>
        <v>#DIV/0!</v>
      </c>
      <c r="BY1532" s="215">
        <f t="shared" si="63"/>
        <v>0</v>
      </c>
    </row>
    <row r="1533" spans="76:77" x14ac:dyDescent="0.2">
      <c r="BX1533" s="214" t="e">
        <f t="shared" si="62"/>
        <v>#DIV/0!</v>
      </c>
      <c r="BY1533" s="215">
        <f t="shared" si="63"/>
        <v>0</v>
      </c>
    </row>
    <row r="1534" spans="76:77" x14ac:dyDescent="0.2">
      <c r="BX1534" s="214" t="e">
        <f t="shared" si="62"/>
        <v>#DIV/0!</v>
      </c>
      <c r="BY1534" s="215">
        <f t="shared" si="63"/>
        <v>0</v>
      </c>
    </row>
    <row r="1535" spans="76:77" x14ac:dyDescent="0.2">
      <c r="BX1535" s="214" t="e">
        <f t="shared" si="62"/>
        <v>#DIV/0!</v>
      </c>
      <c r="BY1535" s="215">
        <f t="shared" si="63"/>
        <v>0</v>
      </c>
    </row>
    <row r="1536" spans="76:77" x14ac:dyDescent="0.2">
      <c r="BX1536" s="214" t="e">
        <f t="shared" si="62"/>
        <v>#DIV/0!</v>
      </c>
      <c r="BY1536" s="215">
        <f t="shared" si="63"/>
        <v>0</v>
      </c>
    </row>
    <row r="1537" spans="76:77" x14ac:dyDescent="0.2">
      <c r="BX1537" s="214" t="e">
        <f t="shared" si="62"/>
        <v>#DIV/0!</v>
      </c>
      <c r="BY1537" s="215">
        <f t="shared" si="63"/>
        <v>0</v>
      </c>
    </row>
    <row r="1538" spans="76:77" x14ac:dyDescent="0.2">
      <c r="BX1538" s="214" t="e">
        <f t="shared" si="62"/>
        <v>#DIV/0!</v>
      </c>
      <c r="BY1538" s="215">
        <f t="shared" si="63"/>
        <v>0</v>
      </c>
    </row>
    <row r="1539" spans="76:77" x14ac:dyDescent="0.2">
      <c r="BX1539" s="214" t="e">
        <f t="shared" si="62"/>
        <v>#DIV/0!</v>
      </c>
      <c r="BY1539" s="215">
        <f t="shared" si="63"/>
        <v>0</v>
      </c>
    </row>
    <row r="1540" spans="76:77" x14ac:dyDescent="0.2">
      <c r="BX1540" s="214" t="e">
        <f t="shared" si="62"/>
        <v>#DIV/0!</v>
      </c>
      <c r="BY1540" s="215">
        <f t="shared" si="63"/>
        <v>0</v>
      </c>
    </row>
    <row r="1541" spans="76:77" x14ac:dyDescent="0.2">
      <c r="BX1541" s="214" t="e">
        <f t="shared" si="62"/>
        <v>#DIV/0!</v>
      </c>
      <c r="BY1541" s="215">
        <f t="shared" si="63"/>
        <v>0</v>
      </c>
    </row>
    <row r="1542" spans="76:77" x14ac:dyDescent="0.2">
      <c r="BX1542" s="214" t="e">
        <f t="shared" si="62"/>
        <v>#DIV/0!</v>
      </c>
      <c r="BY1542" s="215">
        <f t="shared" si="63"/>
        <v>0</v>
      </c>
    </row>
    <row r="1543" spans="76:77" x14ac:dyDescent="0.2">
      <c r="BX1543" s="214" t="e">
        <f t="shared" si="62"/>
        <v>#DIV/0!</v>
      </c>
      <c r="BY1543" s="215">
        <f t="shared" si="63"/>
        <v>0</v>
      </c>
    </row>
    <row r="1544" spans="76:77" x14ac:dyDescent="0.2">
      <c r="BX1544" s="214" t="e">
        <f t="shared" si="62"/>
        <v>#DIV/0!</v>
      </c>
      <c r="BY1544" s="215">
        <f t="shared" si="63"/>
        <v>0</v>
      </c>
    </row>
    <row r="1545" spans="76:77" x14ac:dyDescent="0.2">
      <c r="BX1545" s="214" t="e">
        <f t="shared" si="62"/>
        <v>#DIV/0!</v>
      </c>
      <c r="BY1545" s="215">
        <f t="shared" si="63"/>
        <v>0</v>
      </c>
    </row>
    <row r="1546" spans="76:77" x14ac:dyDescent="0.2">
      <c r="BX1546" s="214" t="e">
        <f t="shared" si="62"/>
        <v>#DIV/0!</v>
      </c>
      <c r="BY1546" s="215">
        <f t="shared" si="63"/>
        <v>0</v>
      </c>
    </row>
    <row r="1547" spans="76:77" x14ac:dyDescent="0.2">
      <c r="BX1547" s="214" t="e">
        <f t="shared" si="62"/>
        <v>#DIV/0!</v>
      </c>
      <c r="BY1547" s="215">
        <f t="shared" si="63"/>
        <v>0</v>
      </c>
    </row>
    <row r="1548" spans="76:77" x14ac:dyDescent="0.2">
      <c r="BX1548" s="214" t="e">
        <f t="shared" si="62"/>
        <v>#DIV/0!</v>
      </c>
      <c r="BY1548" s="215">
        <f t="shared" si="63"/>
        <v>0</v>
      </c>
    </row>
    <row r="1549" spans="76:77" x14ac:dyDescent="0.2">
      <c r="BX1549" s="214" t="e">
        <f t="shared" ref="BX1549:BX1612" si="64">BY1549/BV1549</f>
        <v>#DIV/0!</v>
      </c>
      <c r="BY1549" s="215">
        <f t="shared" si="63"/>
        <v>0</v>
      </c>
    </row>
    <row r="1550" spans="76:77" x14ac:dyDescent="0.2">
      <c r="BX1550" s="214" t="e">
        <f t="shared" si="64"/>
        <v>#DIV/0!</v>
      </c>
      <c r="BY1550" s="215">
        <f t="shared" ref="BY1550:BY1613" si="65">BY1549+BW1550*(BV1550-BV1549)</f>
        <v>0</v>
      </c>
    </row>
    <row r="1551" spans="76:77" x14ac:dyDescent="0.2">
      <c r="BX1551" s="214" t="e">
        <f t="shared" si="64"/>
        <v>#DIV/0!</v>
      </c>
      <c r="BY1551" s="215">
        <f t="shared" si="65"/>
        <v>0</v>
      </c>
    </row>
    <row r="1552" spans="76:77" x14ac:dyDescent="0.2">
      <c r="BX1552" s="214" t="e">
        <f t="shared" si="64"/>
        <v>#DIV/0!</v>
      </c>
      <c r="BY1552" s="215">
        <f t="shared" si="65"/>
        <v>0</v>
      </c>
    </row>
    <row r="1553" spans="76:77" x14ac:dyDescent="0.2">
      <c r="BX1553" s="214" t="e">
        <f t="shared" si="64"/>
        <v>#DIV/0!</v>
      </c>
      <c r="BY1553" s="215">
        <f t="shared" si="65"/>
        <v>0</v>
      </c>
    </row>
    <row r="1554" spans="76:77" x14ac:dyDescent="0.2">
      <c r="BX1554" s="214" t="e">
        <f t="shared" si="64"/>
        <v>#DIV/0!</v>
      </c>
      <c r="BY1554" s="215">
        <f t="shared" si="65"/>
        <v>0</v>
      </c>
    </row>
    <row r="1555" spans="76:77" x14ac:dyDescent="0.2">
      <c r="BX1555" s="214" t="e">
        <f t="shared" si="64"/>
        <v>#DIV/0!</v>
      </c>
      <c r="BY1555" s="215">
        <f t="shared" si="65"/>
        <v>0</v>
      </c>
    </row>
    <row r="1556" spans="76:77" x14ac:dyDescent="0.2">
      <c r="BX1556" s="214" t="e">
        <f t="shared" si="64"/>
        <v>#DIV/0!</v>
      </c>
      <c r="BY1556" s="215">
        <f t="shared" si="65"/>
        <v>0</v>
      </c>
    </row>
    <row r="1557" spans="76:77" x14ac:dyDescent="0.2">
      <c r="BX1557" s="214" t="e">
        <f t="shared" si="64"/>
        <v>#DIV/0!</v>
      </c>
      <c r="BY1557" s="215">
        <f t="shared" si="65"/>
        <v>0</v>
      </c>
    </row>
    <row r="1558" spans="76:77" x14ac:dyDescent="0.2">
      <c r="BX1558" s="214" t="e">
        <f t="shared" si="64"/>
        <v>#DIV/0!</v>
      </c>
      <c r="BY1558" s="215">
        <f t="shared" si="65"/>
        <v>0</v>
      </c>
    </row>
    <row r="1559" spans="76:77" x14ac:dyDescent="0.2">
      <c r="BX1559" s="214" t="e">
        <f t="shared" si="64"/>
        <v>#DIV/0!</v>
      </c>
      <c r="BY1559" s="215">
        <f t="shared" si="65"/>
        <v>0</v>
      </c>
    </row>
    <row r="1560" spans="76:77" x14ac:dyDescent="0.2">
      <c r="BX1560" s="214" t="e">
        <f t="shared" si="64"/>
        <v>#DIV/0!</v>
      </c>
      <c r="BY1560" s="215">
        <f t="shared" si="65"/>
        <v>0</v>
      </c>
    </row>
    <row r="1561" spans="76:77" x14ac:dyDescent="0.2">
      <c r="BX1561" s="214" t="e">
        <f t="shared" si="64"/>
        <v>#DIV/0!</v>
      </c>
      <c r="BY1561" s="215">
        <f t="shared" si="65"/>
        <v>0</v>
      </c>
    </row>
    <row r="1562" spans="76:77" x14ac:dyDescent="0.2">
      <c r="BX1562" s="214" t="e">
        <f t="shared" si="64"/>
        <v>#DIV/0!</v>
      </c>
      <c r="BY1562" s="215">
        <f t="shared" si="65"/>
        <v>0</v>
      </c>
    </row>
    <row r="1563" spans="76:77" x14ac:dyDescent="0.2">
      <c r="BX1563" s="214" t="e">
        <f t="shared" si="64"/>
        <v>#DIV/0!</v>
      </c>
      <c r="BY1563" s="215">
        <f t="shared" si="65"/>
        <v>0</v>
      </c>
    </row>
    <row r="1564" spans="76:77" x14ac:dyDescent="0.2">
      <c r="BX1564" s="214" t="e">
        <f t="shared" si="64"/>
        <v>#DIV/0!</v>
      </c>
      <c r="BY1564" s="215">
        <f t="shared" si="65"/>
        <v>0</v>
      </c>
    </row>
    <row r="1565" spans="76:77" x14ac:dyDescent="0.2">
      <c r="BX1565" s="214" t="e">
        <f t="shared" si="64"/>
        <v>#DIV/0!</v>
      </c>
      <c r="BY1565" s="215">
        <f t="shared" si="65"/>
        <v>0</v>
      </c>
    </row>
    <row r="1566" spans="76:77" x14ac:dyDescent="0.2">
      <c r="BX1566" s="214" t="e">
        <f t="shared" si="64"/>
        <v>#DIV/0!</v>
      </c>
      <c r="BY1566" s="215">
        <f t="shared" si="65"/>
        <v>0</v>
      </c>
    </row>
    <row r="1567" spans="76:77" x14ac:dyDescent="0.2">
      <c r="BX1567" s="214" t="e">
        <f t="shared" si="64"/>
        <v>#DIV/0!</v>
      </c>
      <c r="BY1567" s="215">
        <f t="shared" si="65"/>
        <v>0</v>
      </c>
    </row>
    <row r="1568" spans="76:77" x14ac:dyDescent="0.2">
      <c r="BX1568" s="214" t="e">
        <f t="shared" si="64"/>
        <v>#DIV/0!</v>
      </c>
      <c r="BY1568" s="215">
        <f t="shared" si="65"/>
        <v>0</v>
      </c>
    </row>
    <row r="1569" spans="76:77" x14ac:dyDescent="0.2">
      <c r="BX1569" s="214" t="e">
        <f t="shared" si="64"/>
        <v>#DIV/0!</v>
      </c>
      <c r="BY1569" s="215">
        <f t="shared" si="65"/>
        <v>0</v>
      </c>
    </row>
    <row r="1570" spans="76:77" x14ac:dyDescent="0.2">
      <c r="BX1570" s="214" t="e">
        <f t="shared" si="64"/>
        <v>#DIV/0!</v>
      </c>
      <c r="BY1570" s="215">
        <f t="shared" si="65"/>
        <v>0</v>
      </c>
    </row>
    <row r="1571" spans="76:77" x14ac:dyDescent="0.2">
      <c r="BX1571" s="214" t="e">
        <f t="shared" si="64"/>
        <v>#DIV/0!</v>
      </c>
      <c r="BY1571" s="215">
        <f t="shared" si="65"/>
        <v>0</v>
      </c>
    </row>
    <row r="1572" spans="76:77" x14ac:dyDescent="0.2">
      <c r="BX1572" s="214" t="e">
        <f t="shared" si="64"/>
        <v>#DIV/0!</v>
      </c>
      <c r="BY1572" s="215">
        <f t="shared" si="65"/>
        <v>0</v>
      </c>
    </row>
    <row r="1573" spans="76:77" x14ac:dyDescent="0.2">
      <c r="BX1573" s="214" t="e">
        <f t="shared" si="64"/>
        <v>#DIV/0!</v>
      </c>
      <c r="BY1573" s="215">
        <f t="shared" si="65"/>
        <v>0</v>
      </c>
    </row>
    <row r="1574" spans="76:77" x14ac:dyDescent="0.2">
      <c r="BX1574" s="214" t="e">
        <f t="shared" si="64"/>
        <v>#DIV/0!</v>
      </c>
      <c r="BY1574" s="215">
        <f t="shared" si="65"/>
        <v>0</v>
      </c>
    </row>
    <row r="1575" spans="76:77" x14ac:dyDescent="0.2">
      <c r="BX1575" s="214" t="e">
        <f t="shared" si="64"/>
        <v>#DIV/0!</v>
      </c>
      <c r="BY1575" s="215">
        <f t="shared" si="65"/>
        <v>0</v>
      </c>
    </row>
    <row r="1576" spans="76:77" x14ac:dyDescent="0.2">
      <c r="BX1576" s="214" t="e">
        <f t="shared" si="64"/>
        <v>#DIV/0!</v>
      </c>
      <c r="BY1576" s="215">
        <f t="shared" si="65"/>
        <v>0</v>
      </c>
    </row>
    <row r="1577" spans="76:77" x14ac:dyDescent="0.2">
      <c r="BX1577" s="214" t="e">
        <f t="shared" si="64"/>
        <v>#DIV/0!</v>
      </c>
      <c r="BY1577" s="215">
        <f t="shared" si="65"/>
        <v>0</v>
      </c>
    </row>
    <row r="1578" spans="76:77" x14ac:dyDescent="0.2">
      <c r="BX1578" s="214" t="e">
        <f t="shared" si="64"/>
        <v>#DIV/0!</v>
      </c>
      <c r="BY1578" s="215">
        <f t="shared" si="65"/>
        <v>0</v>
      </c>
    </row>
    <row r="1579" spans="76:77" x14ac:dyDescent="0.2">
      <c r="BX1579" s="214" t="e">
        <f t="shared" si="64"/>
        <v>#DIV/0!</v>
      </c>
      <c r="BY1579" s="215">
        <f t="shared" si="65"/>
        <v>0</v>
      </c>
    </row>
    <row r="1580" spans="76:77" x14ac:dyDescent="0.2">
      <c r="BX1580" s="214" t="e">
        <f t="shared" si="64"/>
        <v>#DIV/0!</v>
      </c>
      <c r="BY1580" s="215">
        <f t="shared" si="65"/>
        <v>0</v>
      </c>
    </row>
    <row r="1581" spans="76:77" x14ac:dyDescent="0.2">
      <c r="BX1581" s="214" t="e">
        <f t="shared" si="64"/>
        <v>#DIV/0!</v>
      </c>
      <c r="BY1581" s="215">
        <f t="shared" si="65"/>
        <v>0</v>
      </c>
    </row>
    <row r="1582" spans="76:77" x14ac:dyDescent="0.2">
      <c r="BX1582" s="214" t="e">
        <f t="shared" si="64"/>
        <v>#DIV/0!</v>
      </c>
      <c r="BY1582" s="215">
        <f t="shared" si="65"/>
        <v>0</v>
      </c>
    </row>
    <row r="1583" spans="76:77" x14ac:dyDescent="0.2">
      <c r="BX1583" s="214" t="e">
        <f t="shared" si="64"/>
        <v>#DIV/0!</v>
      </c>
      <c r="BY1583" s="215">
        <f t="shared" si="65"/>
        <v>0</v>
      </c>
    </row>
    <row r="1584" spans="76:77" x14ac:dyDescent="0.2">
      <c r="BX1584" s="214" t="e">
        <f t="shared" si="64"/>
        <v>#DIV/0!</v>
      </c>
      <c r="BY1584" s="215">
        <f t="shared" si="65"/>
        <v>0</v>
      </c>
    </row>
    <row r="1585" spans="76:77" x14ac:dyDescent="0.2">
      <c r="BX1585" s="214" t="e">
        <f t="shared" si="64"/>
        <v>#DIV/0!</v>
      </c>
      <c r="BY1585" s="215">
        <f t="shared" si="65"/>
        <v>0</v>
      </c>
    </row>
    <row r="1586" spans="76:77" x14ac:dyDescent="0.2">
      <c r="BX1586" s="214" t="e">
        <f t="shared" si="64"/>
        <v>#DIV/0!</v>
      </c>
      <c r="BY1586" s="215">
        <f t="shared" si="65"/>
        <v>0</v>
      </c>
    </row>
    <row r="1587" spans="76:77" x14ac:dyDescent="0.2">
      <c r="BX1587" s="214" t="e">
        <f t="shared" si="64"/>
        <v>#DIV/0!</v>
      </c>
      <c r="BY1587" s="215">
        <f t="shared" si="65"/>
        <v>0</v>
      </c>
    </row>
    <row r="1588" spans="76:77" x14ac:dyDescent="0.2">
      <c r="BX1588" s="214" t="e">
        <f t="shared" si="64"/>
        <v>#DIV/0!</v>
      </c>
      <c r="BY1588" s="215">
        <f t="shared" si="65"/>
        <v>0</v>
      </c>
    </row>
    <row r="1589" spans="76:77" x14ac:dyDescent="0.2">
      <c r="BX1589" s="214" t="e">
        <f t="shared" si="64"/>
        <v>#DIV/0!</v>
      </c>
      <c r="BY1589" s="215">
        <f t="shared" si="65"/>
        <v>0</v>
      </c>
    </row>
    <row r="1590" spans="76:77" x14ac:dyDescent="0.2">
      <c r="BX1590" s="214" t="e">
        <f t="shared" si="64"/>
        <v>#DIV/0!</v>
      </c>
      <c r="BY1590" s="215">
        <f t="shared" si="65"/>
        <v>0</v>
      </c>
    </row>
    <row r="1591" spans="76:77" x14ac:dyDescent="0.2">
      <c r="BX1591" s="214" t="e">
        <f t="shared" si="64"/>
        <v>#DIV/0!</v>
      </c>
      <c r="BY1591" s="215">
        <f t="shared" si="65"/>
        <v>0</v>
      </c>
    </row>
    <row r="1592" spans="76:77" x14ac:dyDescent="0.2">
      <c r="BX1592" s="214" t="e">
        <f t="shared" si="64"/>
        <v>#DIV/0!</v>
      </c>
      <c r="BY1592" s="215">
        <f t="shared" si="65"/>
        <v>0</v>
      </c>
    </row>
    <row r="1593" spans="76:77" x14ac:dyDescent="0.2">
      <c r="BX1593" s="214" t="e">
        <f t="shared" si="64"/>
        <v>#DIV/0!</v>
      </c>
      <c r="BY1593" s="215">
        <f t="shared" si="65"/>
        <v>0</v>
      </c>
    </row>
    <row r="1594" spans="76:77" x14ac:dyDescent="0.2">
      <c r="BX1594" s="214" t="e">
        <f t="shared" si="64"/>
        <v>#DIV/0!</v>
      </c>
      <c r="BY1594" s="215">
        <f t="shared" si="65"/>
        <v>0</v>
      </c>
    </row>
    <row r="1595" spans="76:77" x14ac:dyDescent="0.2">
      <c r="BX1595" s="214" t="e">
        <f t="shared" si="64"/>
        <v>#DIV/0!</v>
      </c>
      <c r="BY1595" s="215">
        <f t="shared" si="65"/>
        <v>0</v>
      </c>
    </row>
    <row r="1596" spans="76:77" x14ac:dyDescent="0.2">
      <c r="BX1596" s="214" t="e">
        <f t="shared" si="64"/>
        <v>#DIV/0!</v>
      </c>
      <c r="BY1596" s="215">
        <f t="shared" si="65"/>
        <v>0</v>
      </c>
    </row>
    <row r="1597" spans="76:77" x14ac:dyDescent="0.2">
      <c r="BX1597" s="214" t="e">
        <f t="shared" si="64"/>
        <v>#DIV/0!</v>
      </c>
      <c r="BY1597" s="215">
        <f t="shared" si="65"/>
        <v>0</v>
      </c>
    </row>
    <row r="1598" spans="76:77" x14ac:dyDescent="0.2">
      <c r="BX1598" s="214" t="e">
        <f t="shared" si="64"/>
        <v>#DIV/0!</v>
      </c>
      <c r="BY1598" s="215">
        <f t="shared" si="65"/>
        <v>0</v>
      </c>
    </row>
    <row r="1599" spans="76:77" x14ac:dyDescent="0.2">
      <c r="BX1599" s="214" t="e">
        <f t="shared" si="64"/>
        <v>#DIV/0!</v>
      </c>
      <c r="BY1599" s="215">
        <f t="shared" si="65"/>
        <v>0</v>
      </c>
    </row>
    <row r="1600" spans="76:77" x14ac:dyDescent="0.2">
      <c r="BX1600" s="214" t="e">
        <f t="shared" si="64"/>
        <v>#DIV/0!</v>
      </c>
      <c r="BY1600" s="215">
        <f t="shared" si="65"/>
        <v>0</v>
      </c>
    </row>
    <row r="1601" spans="76:77" x14ac:dyDescent="0.2">
      <c r="BX1601" s="214" t="e">
        <f t="shared" si="64"/>
        <v>#DIV/0!</v>
      </c>
      <c r="BY1601" s="215">
        <f t="shared" si="65"/>
        <v>0</v>
      </c>
    </row>
    <row r="1602" spans="76:77" x14ac:dyDescent="0.2">
      <c r="BX1602" s="214" t="e">
        <f t="shared" si="64"/>
        <v>#DIV/0!</v>
      </c>
      <c r="BY1602" s="215">
        <f t="shared" si="65"/>
        <v>0</v>
      </c>
    </row>
    <row r="1603" spans="76:77" x14ac:dyDescent="0.2">
      <c r="BX1603" s="214" t="e">
        <f t="shared" si="64"/>
        <v>#DIV/0!</v>
      </c>
      <c r="BY1603" s="215">
        <f t="shared" si="65"/>
        <v>0</v>
      </c>
    </row>
    <row r="1604" spans="76:77" x14ac:dyDescent="0.2">
      <c r="BX1604" s="214" t="e">
        <f t="shared" si="64"/>
        <v>#DIV/0!</v>
      </c>
      <c r="BY1604" s="215">
        <f t="shared" si="65"/>
        <v>0</v>
      </c>
    </row>
    <row r="1605" spans="76:77" x14ac:dyDescent="0.2">
      <c r="BX1605" s="214" t="e">
        <f t="shared" si="64"/>
        <v>#DIV/0!</v>
      </c>
      <c r="BY1605" s="215">
        <f t="shared" si="65"/>
        <v>0</v>
      </c>
    </row>
    <row r="1606" spans="76:77" x14ac:dyDescent="0.2">
      <c r="BX1606" s="214" t="e">
        <f t="shared" si="64"/>
        <v>#DIV/0!</v>
      </c>
      <c r="BY1606" s="215">
        <f t="shared" si="65"/>
        <v>0</v>
      </c>
    </row>
    <row r="1607" spans="76:77" x14ac:dyDescent="0.2">
      <c r="BX1607" s="214" t="e">
        <f t="shared" si="64"/>
        <v>#DIV/0!</v>
      </c>
      <c r="BY1607" s="215">
        <f t="shared" si="65"/>
        <v>0</v>
      </c>
    </row>
    <row r="1608" spans="76:77" x14ac:dyDescent="0.2">
      <c r="BX1608" s="214" t="e">
        <f t="shared" si="64"/>
        <v>#DIV/0!</v>
      </c>
      <c r="BY1608" s="215">
        <f t="shared" si="65"/>
        <v>0</v>
      </c>
    </row>
    <row r="1609" spans="76:77" x14ac:dyDescent="0.2">
      <c r="BX1609" s="214" t="e">
        <f t="shared" si="64"/>
        <v>#DIV/0!</v>
      </c>
      <c r="BY1609" s="215">
        <f t="shared" si="65"/>
        <v>0</v>
      </c>
    </row>
    <row r="1610" spans="76:77" x14ac:dyDescent="0.2">
      <c r="BX1610" s="214" t="e">
        <f t="shared" si="64"/>
        <v>#DIV/0!</v>
      </c>
      <c r="BY1610" s="215">
        <f t="shared" si="65"/>
        <v>0</v>
      </c>
    </row>
    <row r="1611" spans="76:77" x14ac:dyDescent="0.2">
      <c r="BX1611" s="214" t="e">
        <f t="shared" si="64"/>
        <v>#DIV/0!</v>
      </c>
      <c r="BY1611" s="215">
        <f t="shared" si="65"/>
        <v>0</v>
      </c>
    </row>
    <row r="1612" spans="76:77" x14ac:dyDescent="0.2">
      <c r="BX1612" s="214" t="e">
        <f t="shared" si="64"/>
        <v>#DIV/0!</v>
      </c>
      <c r="BY1612" s="215">
        <f t="shared" si="65"/>
        <v>0</v>
      </c>
    </row>
    <row r="1613" spans="76:77" x14ac:dyDescent="0.2">
      <c r="BX1613" s="214" t="e">
        <f t="shared" ref="BX1613:BX1676" si="66">BY1613/BV1613</f>
        <v>#DIV/0!</v>
      </c>
      <c r="BY1613" s="215">
        <f t="shared" si="65"/>
        <v>0</v>
      </c>
    </row>
    <row r="1614" spans="76:77" x14ac:dyDescent="0.2">
      <c r="BX1614" s="214" t="e">
        <f t="shared" si="66"/>
        <v>#DIV/0!</v>
      </c>
      <c r="BY1614" s="215">
        <f t="shared" ref="BY1614:BY1677" si="67">BY1613+BW1614*(BV1614-BV1613)</f>
        <v>0</v>
      </c>
    </row>
    <row r="1615" spans="76:77" x14ac:dyDescent="0.2">
      <c r="BX1615" s="214" t="e">
        <f t="shared" si="66"/>
        <v>#DIV/0!</v>
      </c>
      <c r="BY1615" s="215">
        <f t="shared" si="67"/>
        <v>0</v>
      </c>
    </row>
    <row r="1616" spans="76:77" x14ac:dyDescent="0.2">
      <c r="BX1616" s="214" t="e">
        <f t="shared" si="66"/>
        <v>#DIV/0!</v>
      </c>
      <c r="BY1616" s="215">
        <f t="shared" si="67"/>
        <v>0</v>
      </c>
    </row>
    <row r="1617" spans="76:77" x14ac:dyDescent="0.2">
      <c r="BX1617" s="214" t="e">
        <f t="shared" si="66"/>
        <v>#DIV/0!</v>
      </c>
      <c r="BY1617" s="215">
        <f t="shared" si="67"/>
        <v>0</v>
      </c>
    </row>
    <row r="1618" spans="76:77" x14ac:dyDescent="0.2">
      <c r="BX1618" s="214" t="e">
        <f t="shared" si="66"/>
        <v>#DIV/0!</v>
      </c>
      <c r="BY1618" s="215">
        <f t="shared" si="67"/>
        <v>0</v>
      </c>
    </row>
    <row r="1619" spans="76:77" x14ac:dyDescent="0.2">
      <c r="BX1619" s="214" t="e">
        <f t="shared" si="66"/>
        <v>#DIV/0!</v>
      </c>
      <c r="BY1619" s="215">
        <f t="shared" si="67"/>
        <v>0</v>
      </c>
    </row>
    <row r="1620" spans="76:77" x14ac:dyDescent="0.2">
      <c r="BX1620" s="214" t="e">
        <f t="shared" si="66"/>
        <v>#DIV/0!</v>
      </c>
      <c r="BY1620" s="215">
        <f t="shared" si="67"/>
        <v>0</v>
      </c>
    </row>
    <row r="1621" spans="76:77" x14ac:dyDescent="0.2">
      <c r="BX1621" s="214" t="e">
        <f t="shared" si="66"/>
        <v>#DIV/0!</v>
      </c>
      <c r="BY1621" s="215">
        <f t="shared" si="67"/>
        <v>0</v>
      </c>
    </row>
    <row r="1622" spans="76:77" x14ac:dyDescent="0.2">
      <c r="BX1622" s="214" t="e">
        <f t="shared" si="66"/>
        <v>#DIV/0!</v>
      </c>
      <c r="BY1622" s="215">
        <f t="shared" si="67"/>
        <v>0</v>
      </c>
    </row>
    <row r="1623" spans="76:77" x14ac:dyDescent="0.2">
      <c r="BX1623" s="214" t="e">
        <f t="shared" si="66"/>
        <v>#DIV/0!</v>
      </c>
      <c r="BY1623" s="215">
        <f t="shared" si="67"/>
        <v>0</v>
      </c>
    </row>
    <row r="1624" spans="76:77" x14ac:dyDescent="0.2">
      <c r="BX1624" s="214" t="e">
        <f t="shared" si="66"/>
        <v>#DIV/0!</v>
      </c>
      <c r="BY1624" s="215">
        <f t="shared" si="67"/>
        <v>0</v>
      </c>
    </row>
    <row r="1625" spans="76:77" x14ac:dyDescent="0.2">
      <c r="BX1625" s="214" t="e">
        <f t="shared" si="66"/>
        <v>#DIV/0!</v>
      </c>
      <c r="BY1625" s="215">
        <f t="shared" si="67"/>
        <v>0</v>
      </c>
    </row>
    <row r="1626" spans="76:77" x14ac:dyDescent="0.2">
      <c r="BX1626" s="214" t="e">
        <f t="shared" si="66"/>
        <v>#DIV/0!</v>
      </c>
      <c r="BY1626" s="215">
        <f t="shared" si="67"/>
        <v>0</v>
      </c>
    </row>
    <row r="1627" spans="76:77" x14ac:dyDescent="0.2">
      <c r="BX1627" s="214" t="e">
        <f t="shared" si="66"/>
        <v>#DIV/0!</v>
      </c>
      <c r="BY1627" s="215">
        <f t="shared" si="67"/>
        <v>0</v>
      </c>
    </row>
    <row r="1628" spans="76:77" x14ac:dyDescent="0.2">
      <c r="BX1628" s="214" t="e">
        <f t="shared" si="66"/>
        <v>#DIV/0!</v>
      </c>
      <c r="BY1628" s="215">
        <f t="shared" si="67"/>
        <v>0</v>
      </c>
    </row>
    <row r="1629" spans="76:77" x14ac:dyDescent="0.2">
      <c r="BX1629" s="214" t="e">
        <f t="shared" si="66"/>
        <v>#DIV/0!</v>
      </c>
      <c r="BY1629" s="215">
        <f t="shared" si="67"/>
        <v>0</v>
      </c>
    </row>
    <row r="1630" spans="76:77" x14ac:dyDescent="0.2">
      <c r="BX1630" s="214" t="e">
        <f t="shared" si="66"/>
        <v>#DIV/0!</v>
      </c>
      <c r="BY1630" s="215">
        <f t="shared" si="67"/>
        <v>0</v>
      </c>
    </row>
    <row r="1631" spans="76:77" x14ac:dyDescent="0.2">
      <c r="BX1631" s="214" t="e">
        <f t="shared" si="66"/>
        <v>#DIV/0!</v>
      </c>
      <c r="BY1631" s="215">
        <f t="shared" si="67"/>
        <v>0</v>
      </c>
    </row>
    <row r="1632" spans="76:77" x14ac:dyDescent="0.2">
      <c r="BX1632" s="214" t="e">
        <f t="shared" si="66"/>
        <v>#DIV/0!</v>
      </c>
      <c r="BY1632" s="215">
        <f t="shared" si="67"/>
        <v>0</v>
      </c>
    </row>
    <row r="1633" spans="76:77" x14ac:dyDescent="0.2">
      <c r="BX1633" s="214" t="e">
        <f t="shared" si="66"/>
        <v>#DIV/0!</v>
      </c>
      <c r="BY1633" s="215">
        <f t="shared" si="67"/>
        <v>0</v>
      </c>
    </row>
    <row r="1634" spans="76:77" x14ac:dyDescent="0.2">
      <c r="BX1634" s="214" t="e">
        <f t="shared" si="66"/>
        <v>#DIV/0!</v>
      </c>
      <c r="BY1634" s="215">
        <f t="shared" si="67"/>
        <v>0</v>
      </c>
    </row>
    <row r="1635" spans="76:77" x14ac:dyDescent="0.2">
      <c r="BX1635" s="214" t="e">
        <f t="shared" si="66"/>
        <v>#DIV/0!</v>
      </c>
      <c r="BY1635" s="215">
        <f t="shared" si="67"/>
        <v>0</v>
      </c>
    </row>
    <row r="1636" spans="76:77" x14ac:dyDescent="0.2">
      <c r="BX1636" s="214" t="e">
        <f t="shared" si="66"/>
        <v>#DIV/0!</v>
      </c>
      <c r="BY1636" s="215">
        <f t="shared" si="67"/>
        <v>0</v>
      </c>
    </row>
    <row r="1637" spans="76:77" x14ac:dyDescent="0.2">
      <c r="BX1637" s="214" t="e">
        <f t="shared" si="66"/>
        <v>#DIV/0!</v>
      </c>
      <c r="BY1637" s="215">
        <f t="shared" si="67"/>
        <v>0</v>
      </c>
    </row>
    <row r="1638" spans="76:77" x14ac:dyDescent="0.2">
      <c r="BX1638" s="214" t="e">
        <f t="shared" si="66"/>
        <v>#DIV/0!</v>
      </c>
      <c r="BY1638" s="215">
        <f t="shared" si="67"/>
        <v>0</v>
      </c>
    </row>
    <row r="1639" spans="76:77" x14ac:dyDescent="0.2">
      <c r="BX1639" s="214" t="e">
        <f t="shared" si="66"/>
        <v>#DIV/0!</v>
      </c>
      <c r="BY1639" s="215">
        <f t="shared" si="67"/>
        <v>0</v>
      </c>
    </row>
    <row r="1640" spans="76:77" x14ac:dyDescent="0.2">
      <c r="BX1640" s="214" t="e">
        <f t="shared" si="66"/>
        <v>#DIV/0!</v>
      </c>
      <c r="BY1640" s="215">
        <f t="shared" si="67"/>
        <v>0</v>
      </c>
    </row>
    <row r="1641" spans="76:77" x14ac:dyDescent="0.2">
      <c r="BX1641" s="214" t="e">
        <f t="shared" si="66"/>
        <v>#DIV/0!</v>
      </c>
      <c r="BY1641" s="215">
        <f t="shared" si="67"/>
        <v>0</v>
      </c>
    </row>
    <row r="1642" spans="76:77" x14ac:dyDescent="0.2">
      <c r="BX1642" s="214" t="e">
        <f t="shared" si="66"/>
        <v>#DIV/0!</v>
      </c>
      <c r="BY1642" s="215">
        <f t="shared" si="67"/>
        <v>0</v>
      </c>
    </row>
    <row r="1643" spans="76:77" x14ac:dyDescent="0.2">
      <c r="BX1643" s="214" t="e">
        <f t="shared" si="66"/>
        <v>#DIV/0!</v>
      </c>
      <c r="BY1643" s="215">
        <f t="shared" si="67"/>
        <v>0</v>
      </c>
    </row>
    <row r="1644" spans="76:77" x14ac:dyDescent="0.2">
      <c r="BX1644" s="214" t="e">
        <f t="shared" si="66"/>
        <v>#DIV/0!</v>
      </c>
      <c r="BY1644" s="215">
        <f t="shared" si="67"/>
        <v>0</v>
      </c>
    </row>
    <row r="1645" spans="76:77" x14ac:dyDescent="0.2">
      <c r="BX1645" s="214" t="e">
        <f t="shared" si="66"/>
        <v>#DIV/0!</v>
      </c>
      <c r="BY1645" s="215">
        <f t="shared" si="67"/>
        <v>0</v>
      </c>
    </row>
    <row r="1646" spans="76:77" x14ac:dyDescent="0.2">
      <c r="BX1646" s="214" t="e">
        <f t="shared" si="66"/>
        <v>#DIV/0!</v>
      </c>
      <c r="BY1646" s="215">
        <f t="shared" si="67"/>
        <v>0</v>
      </c>
    </row>
    <row r="1647" spans="76:77" x14ac:dyDescent="0.2">
      <c r="BX1647" s="214" t="e">
        <f t="shared" si="66"/>
        <v>#DIV/0!</v>
      </c>
      <c r="BY1647" s="215">
        <f t="shared" si="67"/>
        <v>0</v>
      </c>
    </row>
    <row r="1648" spans="76:77" x14ac:dyDescent="0.2">
      <c r="BX1648" s="214" t="e">
        <f t="shared" si="66"/>
        <v>#DIV/0!</v>
      </c>
      <c r="BY1648" s="215">
        <f t="shared" si="67"/>
        <v>0</v>
      </c>
    </row>
    <row r="1649" spans="76:77" x14ac:dyDescent="0.2">
      <c r="BX1649" s="214" t="e">
        <f t="shared" si="66"/>
        <v>#DIV/0!</v>
      </c>
      <c r="BY1649" s="215">
        <f t="shared" si="67"/>
        <v>0</v>
      </c>
    </row>
    <row r="1650" spans="76:77" x14ac:dyDescent="0.2">
      <c r="BX1650" s="214" t="e">
        <f t="shared" si="66"/>
        <v>#DIV/0!</v>
      </c>
      <c r="BY1650" s="215">
        <f t="shared" si="67"/>
        <v>0</v>
      </c>
    </row>
    <row r="1651" spans="76:77" x14ac:dyDescent="0.2">
      <c r="BX1651" s="214" t="e">
        <f t="shared" si="66"/>
        <v>#DIV/0!</v>
      </c>
      <c r="BY1651" s="215">
        <f t="shared" si="67"/>
        <v>0</v>
      </c>
    </row>
    <row r="1652" spans="76:77" x14ac:dyDescent="0.2">
      <c r="BX1652" s="214" t="e">
        <f t="shared" si="66"/>
        <v>#DIV/0!</v>
      </c>
      <c r="BY1652" s="215">
        <f t="shared" si="67"/>
        <v>0</v>
      </c>
    </row>
    <row r="1653" spans="76:77" x14ac:dyDescent="0.2">
      <c r="BX1653" s="214" t="e">
        <f t="shared" si="66"/>
        <v>#DIV/0!</v>
      </c>
      <c r="BY1653" s="215">
        <f t="shared" si="67"/>
        <v>0</v>
      </c>
    </row>
    <row r="1654" spans="76:77" x14ac:dyDescent="0.2">
      <c r="BX1654" s="214" t="e">
        <f t="shared" si="66"/>
        <v>#DIV/0!</v>
      </c>
      <c r="BY1654" s="215">
        <f t="shared" si="67"/>
        <v>0</v>
      </c>
    </row>
    <row r="1655" spans="76:77" x14ac:dyDescent="0.2">
      <c r="BX1655" s="214" t="e">
        <f t="shared" si="66"/>
        <v>#DIV/0!</v>
      </c>
      <c r="BY1655" s="215">
        <f t="shared" si="67"/>
        <v>0</v>
      </c>
    </row>
    <row r="1656" spans="76:77" x14ac:dyDescent="0.2">
      <c r="BX1656" s="214" t="e">
        <f t="shared" si="66"/>
        <v>#DIV/0!</v>
      </c>
      <c r="BY1656" s="215">
        <f t="shared" si="67"/>
        <v>0</v>
      </c>
    </row>
    <row r="1657" spans="76:77" x14ac:dyDescent="0.2">
      <c r="BX1657" s="214" t="e">
        <f t="shared" si="66"/>
        <v>#DIV/0!</v>
      </c>
      <c r="BY1657" s="215">
        <f t="shared" si="67"/>
        <v>0</v>
      </c>
    </row>
    <row r="1658" spans="76:77" x14ac:dyDescent="0.2">
      <c r="BX1658" s="214" t="e">
        <f t="shared" si="66"/>
        <v>#DIV/0!</v>
      </c>
      <c r="BY1658" s="215">
        <f t="shared" si="67"/>
        <v>0</v>
      </c>
    </row>
    <row r="1659" spans="76:77" x14ac:dyDescent="0.2">
      <c r="BX1659" s="214" t="e">
        <f t="shared" si="66"/>
        <v>#DIV/0!</v>
      </c>
      <c r="BY1659" s="215">
        <f t="shared" si="67"/>
        <v>0</v>
      </c>
    </row>
    <row r="1660" spans="76:77" x14ac:dyDescent="0.2">
      <c r="BX1660" s="214" t="e">
        <f t="shared" si="66"/>
        <v>#DIV/0!</v>
      </c>
      <c r="BY1660" s="215">
        <f t="shared" si="67"/>
        <v>0</v>
      </c>
    </row>
    <row r="1661" spans="76:77" x14ac:dyDescent="0.2">
      <c r="BX1661" s="214" t="e">
        <f t="shared" si="66"/>
        <v>#DIV/0!</v>
      </c>
      <c r="BY1661" s="215">
        <f t="shared" si="67"/>
        <v>0</v>
      </c>
    </row>
    <row r="1662" spans="76:77" x14ac:dyDescent="0.2">
      <c r="BX1662" s="214" t="e">
        <f t="shared" si="66"/>
        <v>#DIV/0!</v>
      </c>
      <c r="BY1662" s="215">
        <f t="shared" si="67"/>
        <v>0</v>
      </c>
    </row>
    <row r="1663" spans="76:77" x14ac:dyDescent="0.2">
      <c r="BX1663" s="214" t="e">
        <f t="shared" si="66"/>
        <v>#DIV/0!</v>
      </c>
      <c r="BY1663" s="215">
        <f t="shared" si="67"/>
        <v>0</v>
      </c>
    </row>
    <row r="1664" spans="76:77" x14ac:dyDescent="0.2">
      <c r="BX1664" s="214" t="e">
        <f t="shared" si="66"/>
        <v>#DIV/0!</v>
      </c>
      <c r="BY1664" s="215">
        <f t="shared" si="67"/>
        <v>0</v>
      </c>
    </row>
    <row r="1665" spans="76:77" x14ac:dyDescent="0.2">
      <c r="BX1665" s="214" t="e">
        <f t="shared" si="66"/>
        <v>#DIV/0!</v>
      </c>
      <c r="BY1665" s="215">
        <f t="shared" si="67"/>
        <v>0</v>
      </c>
    </row>
    <row r="1666" spans="76:77" x14ac:dyDescent="0.2">
      <c r="BX1666" s="214" t="e">
        <f t="shared" si="66"/>
        <v>#DIV/0!</v>
      </c>
      <c r="BY1666" s="215">
        <f t="shared" si="67"/>
        <v>0</v>
      </c>
    </row>
    <row r="1667" spans="76:77" x14ac:dyDescent="0.2">
      <c r="BX1667" s="214" t="e">
        <f t="shared" si="66"/>
        <v>#DIV/0!</v>
      </c>
      <c r="BY1667" s="215">
        <f t="shared" si="67"/>
        <v>0</v>
      </c>
    </row>
    <row r="1668" spans="76:77" x14ac:dyDescent="0.2">
      <c r="BX1668" s="214" t="e">
        <f t="shared" si="66"/>
        <v>#DIV/0!</v>
      </c>
      <c r="BY1668" s="215">
        <f t="shared" si="67"/>
        <v>0</v>
      </c>
    </row>
    <row r="1669" spans="76:77" x14ac:dyDescent="0.2">
      <c r="BX1669" s="214" t="e">
        <f t="shared" si="66"/>
        <v>#DIV/0!</v>
      </c>
      <c r="BY1669" s="215">
        <f t="shared" si="67"/>
        <v>0</v>
      </c>
    </row>
    <row r="1670" spans="76:77" x14ac:dyDescent="0.2">
      <c r="BX1670" s="214" t="e">
        <f t="shared" si="66"/>
        <v>#DIV/0!</v>
      </c>
      <c r="BY1670" s="215">
        <f t="shared" si="67"/>
        <v>0</v>
      </c>
    </row>
    <row r="1671" spans="76:77" x14ac:dyDescent="0.2">
      <c r="BX1671" s="214" t="e">
        <f t="shared" si="66"/>
        <v>#DIV/0!</v>
      </c>
      <c r="BY1671" s="215">
        <f t="shared" si="67"/>
        <v>0</v>
      </c>
    </row>
    <row r="1672" spans="76:77" x14ac:dyDescent="0.2">
      <c r="BX1672" s="214" t="e">
        <f t="shared" si="66"/>
        <v>#DIV/0!</v>
      </c>
      <c r="BY1672" s="215">
        <f t="shared" si="67"/>
        <v>0</v>
      </c>
    </row>
    <row r="1673" spans="76:77" x14ac:dyDescent="0.2">
      <c r="BX1673" s="214" t="e">
        <f t="shared" si="66"/>
        <v>#DIV/0!</v>
      </c>
      <c r="BY1673" s="215">
        <f t="shared" si="67"/>
        <v>0</v>
      </c>
    </row>
    <row r="1674" spans="76:77" x14ac:dyDescent="0.2">
      <c r="BX1674" s="214" t="e">
        <f t="shared" si="66"/>
        <v>#DIV/0!</v>
      </c>
      <c r="BY1674" s="215">
        <f t="shared" si="67"/>
        <v>0</v>
      </c>
    </row>
    <row r="1675" spans="76:77" x14ac:dyDescent="0.2">
      <c r="BX1675" s="214" t="e">
        <f t="shared" si="66"/>
        <v>#DIV/0!</v>
      </c>
      <c r="BY1675" s="215">
        <f t="shared" si="67"/>
        <v>0</v>
      </c>
    </row>
    <row r="1676" spans="76:77" x14ac:dyDescent="0.2">
      <c r="BX1676" s="214" t="e">
        <f t="shared" si="66"/>
        <v>#DIV/0!</v>
      </c>
      <c r="BY1676" s="215">
        <f t="shared" si="67"/>
        <v>0</v>
      </c>
    </row>
    <row r="1677" spans="76:77" x14ac:dyDescent="0.2">
      <c r="BX1677" s="214" t="e">
        <f t="shared" ref="BX1677:BX1740" si="68">BY1677/BV1677</f>
        <v>#DIV/0!</v>
      </c>
      <c r="BY1677" s="215">
        <f t="shared" si="67"/>
        <v>0</v>
      </c>
    </row>
    <row r="1678" spans="76:77" x14ac:dyDescent="0.2">
      <c r="BX1678" s="214" t="e">
        <f t="shared" si="68"/>
        <v>#DIV/0!</v>
      </c>
      <c r="BY1678" s="215">
        <f t="shared" ref="BY1678:BY1741" si="69">BY1677+BW1678*(BV1678-BV1677)</f>
        <v>0</v>
      </c>
    </row>
    <row r="1679" spans="76:77" x14ac:dyDescent="0.2">
      <c r="BX1679" s="214" t="e">
        <f t="shared" si="68"/>
        <v>#DIV/0!</v>
      </c>
      <c r="BY1679" s="215">
        <f t="shared" si="69"/>
        <v>0</v>
      </c>
    </row>
    <row r="1680" spans="76:77" x14ac:dyDescent="0.2">
      <c r="BX1680" s="214" t="e">
        <f t="shared" si="68"/>
        <v>#DIV/0!</v>
      </c>
      <c r="BY1680" s="215">
        <f t="shared" si="69"/>
        <v>0</v>
      </c>
    </row>
    <row r="1681" spans="76:77" x14ac:dyDescent="0.2">
      <c r="BX1681" s="214" t="e">
        <f t="shared" si="68"/>
        <v>#DIV/0!</v>
      </c>
      <c r="BY1681" s="215">
        <f t="shared" si="69"/>
        <v>0</v>
      </c>
    </row>
    <row r="1682" spans="76:77" x14ac:dyDescent="0.2">
      <c r="BX1682" s="214" t="e">
        <f t="shared" si="68"/>
        <v>#DIV/0!</v>
      </c>
      <c r="BY1682" s="215">
        <f t="shared" si="69"/>
        <v>0</v>
      </c>
    </row>
    <row r="1683" spans="76:77" x14ac:dyDescent="0.2">
      <c r="BX1683" s="214" t="e">
        <f t="shared" si="68"/>
        <v>#DIV/0!</v>
      </c>
      <c r="BY1683" s="215">
        <f t="shared" si="69"/>
        <v>0</v>
      </c>
    </row>
    <row r="1684" spans="76:77" x14ac:dyDescent="0.2">
      <c r="BX1684" s="214" t="e">
        <f t="shared" si="68"/>
        <v>#DIV/0!</v>
      </c>
      <c r="BY1684" s="215">
        <f t="shared" si="69"/>
        <v>0</v>
      </c>
    </row>
    <row r="1685" spans="76:77" x14ac:dyDescent="0.2">
      <c r="BX1685" s="214" t="e">
        <f t="shared" si="68"/>
        <v>#DIV/0!</v>
      </c>
      <c r="BY1685" s="215">
        <f t="shared" si="69"/>
        <v>0</v>
      </c>
    </row>
    <row r="1686" spans="76:77" x14ac:dyDescent="0.2">
      <c r="BX1686" s="214" t="e">
        <f t="shared" si="68"/>
        <v>#DIV/0!</v>
      </c>
      <c r="BY1686" s="215">
        <f t="shared" si="69"/>
        <v>0</v>
      </c>
    </row>
    <row r="1687" spans="76:77" x14ac:dyDescent="0.2">
      <c r="BX1687" s="214" t="e">
        <f t="shared" si="68"/>
        <v>#DIV/0!</v>
      </c>
      <c r="BY1687" s="215">
        <f t="shared" si="69"/>
        <v>0</v>
      </c>
    </row>
    <row r="1688" spans="76:77" x14ac:dyDescent="0.2">
      <c r="BX1688" s="214" t="e">
        <f t="shared" si="68"/>
        <v>#DIV/0!</v>
      </c>
      <c r="BY1688" s="215">
        <f t="shared" si="69"/>
        <v>0</v>
      </c>
    </row>
    <row r="1689" spans="76:77" x14ac:dyDescent="0.2">
      <c r="BX1689" s="214" t="e">
        <f t="shared" si="68"/>
        <v>#DIV/0!</v>
      </c>
      <c r="BY1689" s="215">
        <f t="shared" si="69"/>
        <v>0</v>
      </c>
    </row>
    <row r="1690" spans="76:77" x14ac:dyDescent="0.2">
      <c r="BX1690" s="214" t="e">
        <f t="shared" si="68"/>
        <v>#DIV/0!</v>
      </c>
      <c r="BY1690" s="215">
        <f t="shared" si="69"/>
        <v>0</v>
      </c>
    </row>
    <row r="1691" spans="76:77" x14ac:dyDescent="0.2">
      <c r="BX1691" s="214" t="e">
        <f t="shared" si="68"/>
        <v>#DIV/0!</v>
      </c>
      <c r="BY1691" s="215">
        <f t="shared" si="69"/>
        <v>0</v>
      </c>
    </row>
    <row r="1692" spans="76:77" x14ac:dyDescent="0.2">
      <c r="BX1692" s="214" t="e">
        <f t="shared" si="68"/>
        <v>#DIV/0!</v>
      </c>
      <c r="BY1692" s="215">
        <f t="shared" si="69"/>
        <v>0</v>
      </c>
    </row>
    <row r="1693" spans="76:77" x14ac:dyDescent="0.2">
      <c r="BX1693" s="214" t="e">
        <f t="shared" si="68"/>
        <v>#DIV/0!</v>
      </c>
      <c r="BY1693" s="215">
        <f t="shared" si="69"/>
        <v>0</v>
      </c>
    </row>
    <row r="1694" spans="76:77" x14ac:dyDescent="0.2">
      <c r="BX1694" s="214" t="e">
        <f t="shared" si="68"/>
        <v>#DIV/0!</v>
      </c>
      <c r="BY1694" s="215">
        <f t="shared" si="69"/>
        <v>0</v>
      </c>
    </row>
    <row r="1695" spans="76:77" x14ac:dyDescent="0.2">
      <c r="BX1695" s="214" t="e">
        <f t="shared" si="68"/>
        <v>#DIV/0!</v>
      </c>
      <c r="BY1695" s="215">
        <f t="shared" si="69"/>
        <v>0</v>
      </c>
    </row>
    <row r="1696" spans="76:77" x14ac:dyDescent="0.2">
      <c r="BX1696" s="214" t="e">
        <f t="shared" si="68"/>
        <v>#DIV/0!</v>
      </c>
      <c r="BY1696" s="215">
        <f t="shared" si="69"/>
        <v>0</v>
      </c>
    </row>
    <row r="1697" spans="76:77" x14ac:dyDescent="0.2">
      <c r="BX1697" s="214" t="e">
        <f t="shared" si="68"/>
        <v>#DIV/0!</v>
      </c>
      <c r="BY1697" s="215">
        <f t="shared" si="69"/>
        <v>0</v>
      </c>
    </row>
    <row r="1698" spans="76:77" x14ac:dyDescent="0.2">
      <c r="BX1698" s="214" t="e">
        <f t="shared" si="68"/>
        <v>#DIV/0!</v>
      </c>
      <c r="BY1698" s="215">
        <f t="shared" si="69"/>
        <v>0</v>
      </c>
    </row>
    <row r="1699" spans="76:77" x14ac:dyDescent="0.2">
      <c r="BX1699" s="214" t="e">
        <f t="shared" si="68"/>
        <v>#DIV/0!</v>
      </c>
      <c r="BY1699" s="215">
        <f t="shared" si="69"/>
        <v>0</v>
      </c>
    </row>
    <row r="1700" spans="76:77" x14ac:dyDescent="0.2">
      <c r="BX1700" s="214" t="e">
        <f t="shared" si="68"/>
        <v>#DIV/0!</v>
      </c>
      <c r="BY1700" s="215">
        <f t="shared" si="69"/>
        <v>0</v>
      </c>
    </row>
    <row r="1701" spans="76:77" x14ac:dyDescent="0.2">
      <c r="BX1701" s="214" t="e">
        <f t="shared" si="68"/>
        <v>#DIV/0!</v>
      </c>
      <c r="BY1701" s="215">
        <f t="shared" si="69"/>
        <v>0</v>
      </c>
    </row>
    <row r="1702" spans="76:77" x14ac:dyDescent="0.2">
      <c r="BX1702" s="214" t="e">
        <f t="shared" si="68"/>
        <v>#DIV/0!</v>
      </c>
      <c r="BY1702" s="215">
        <f t="shared" si="69"/>
        <v>0</v>
      </c>
    </row>
    <row r="1703" spans="76:77" x14ac:dyDescent="0.2">
      <c r="BX1703" s="214" t="e">
        <f t="shared" si="68"/>
        <v>#DIV/0!</v>
      </c>
      <c r="BY1703" s="215">
        <f t="shared" si="69"/>
        <v>0</v>
      </c>
    </row>
    <row r="1704" spans="76:77" x14ac:dyDescent="0.2">
      <c r="BX1704" s="214" t="e">
        <f t="shared" si="68"/>
        <v>#DIV/0!</v>
      </c>
      <c r="BY1704" s="215">
        <f t="shared" si="69"/>
        <v>0</v>
      </c>
    </row>
    <row r="1705" spans="76:77" x14ac:dyDescent="0.2">
      <c r="BX1705" s="214" t="e">
        <f t="shared" si="68"/>
        <v>#DIV/0!</v>
      </c>
      <c r="BY1705" s="215">
        <f t="shared" si="69"/>
        <v>0</v>
      </c>
    </row>
    <row r="1706" spans="76:77" x14ac:dyDescent="0.2">
      <c r="BX1706" s="214" t="e">
        <f t="shared" si="68"/>
        <v>#DIV/0!</v>
      </c>
      <c r="BY1706" s="215">
        <f t="shared" si="69"/>
        <v>0</v>
      </c>
    </row>
    <row r="1707" spans="76:77" x14ac:dyDescent="0.2">
      <c r="BX1707" s="214" t="e">
        <f t="shared" si="68"/>
        <v>#DIV/0!</v>
      </c>
      <c r="BY1707" s="215">
        <f t="shared" si="69"/>
        <v>0</v>
      </c>
    </row>
    <row r="1708" spans="76:77" x14ac:dyDescent="0.2">
      <c r="BX1708" s="214" t="e">
        <f t="shared" si="68"/>
        <v>#DIV/0!</v>
      </c>
      <c r="BY1708" s="215">
        <f t="shared" si="69"/>
        <v>0</v>
      </c>
    </row>
    <row r="1709" spans="76:77" x14ac:dyDescent="0.2">
      <c r="BX1709" s="214" t="e">
        <f t="shared" si="68"/>
        <v>#DIV/0!</v>
      </c>
      <c r="BY1709" s="215">
        <f t="shared" si="69"/>
        <v>0</v>
      </c>
    </row>
    <row r="1710" spans="76:77" x14ac:dyDescent="0.2">
      <c r="BX1710" s="214" t="e">
        <f t="shared" si="68"/>
        <v>#DIV/0!</v>
      </c>
      <c r="BY1710" s="215">
        <f t="shared" si="69"/>
        <v>0</v>
      </c>
    </row>
    <row r="1711" spans="76:77" x14ac:dyDescent="0.2">
      <c r="BX1711" s="214" t="e">
        <f t="shared" si="68"/>
        <v>#DIV/0!</v>
      </c>
      <c r="BY1711" s="215">
        <f t="shared" si="69"/>
        <v>0</v>
      </c>
    </row>
    <row r="1712" spans="76:77" x14ac:dyDescent="0.2">
      <c r="BX1712" s="214" t="e">
        <f t="shared" si="68"/>
        <v>#DIV/0!</v>
      </c>
      <c r="BY1712" s="215">
        <f t="shared" si="69"/>
        <v>0</v>
      </c>
    </row>
    <row r="1713" spans="76:77" x14ac:dyDescent="0.2">
      <c r="BX1713" s="214" t="e">
        <f t="shared" si="68"/>
        <v>#DIV/0!</v>
      </c>
      <c r="BY1713" s="215">
        <f t="shared" si="69"/>
        <v>0</v>
      </c>
    </row>
    <row r="1714" spans="76:77" x14ac:dyDescent="0.2">
      <c r="BX1714" s="214" t="e">
        <f t="shared" si="68"/>
        <v>#DIV/0!</v>
      </c>
      <c r="BY1714" s="215">
        <f t="shared" si="69"/>
        <v>0</v>
      </c>
    </row>
    <row r="1715" spans="76:77" x14ac:dyDescent="0.2">
      <c r="BX1715" s="214" t="e">
        <f t="shared" si="68"/>
        <v>#DIV/0!</v>
      </c>
      <c r="BY1715" s="215">
        <f t="shared" si="69"/>
        <v>0</v>
      </c>
    </row>
    <row r="1716" spans="76:77" x14ac:dyDescent="0.2">
      <c r="BX1716" s="214" t="e">
        <f t="shared" si="68"/>
        <v>#DIV/0!</v>
      </c>
      <c r="BY1716" s="215">
        <f t="shared" si="69"/>
        <v>0</v>
      </c>
    </row>
    <row r="1717" spans="76:77" x14ac:dyDescent="0.2">
      <c r="BX1717" s="214" t="e">
        <f t="shared" si="68"/>
        <v>#DIV/0!</v>
      </c>
      <c r="BY1717" s="215">
        <f t="shared" si="69"/>
        <v>0</v>
      </c>
    </row>
    <row r="1718" spans="76:77" x14ac:dyDescent="0.2">
      <c r="BX1718" s="214" t="e">
        <f t="shared" si="68"/>
        <v>#DIV/0!</v>
      </c>
      <c r="BY1718" s="215">
        <f t="shared" si="69"/>
        <v>0</v>
      </c>
    </row>
    <row r="1719" spans="76:77" x14ac:dyDescent="0.2">
      <c r="BX1719" s="214" t="e">
        <f t="shared" si="68"/>
        <v>#DIV/0!</v>
      </c>
      <c r="BY1719" s="215">
        <f t="shared" si="69"/>
        <v>0</v>
      </c>
    </row>
    <row r="1720" spans="76:77" x14ac:dyDescent="0.2">
      <c r="BX1720" s="214" t="e">
        <f t="shared" si="68"/>
        <v>#DIV/0!</v>
      </c>
      <c r="BY1720" s="215">
        <f t="shared" si="69"/>
        <v>0</v>
      </c>
    </row>
    <row r="1721" spans="76:77" x14ac:dyDescent="0.2">
      <c r="BX1721" s="214" t="e">
        <f t="shared" si="68"/>
        <v>#DIV/0!</v>
      </c>
      <c r="BY1721" s="215">
        <f t="shared" si="69"/>
        <v>0</v>
      </c>
    </row>
    <row r="1722" spans="76:77" x14ac:dyDescent="0.2">
      <c r="BX1722" s="214" t="e">
        <f t="shared" si="68"/>
        <v>#DIV/0!</v>
      </c>
      <c r="BY1722" s="215">
        <f t="shared" si="69"/>
        <v>0</v>
      </c>
    </row>
    <row r="1723" spans="76:77" x14ac:dyDescent="0.2">
      <c r="BX1723" s="214" t="e">
        <f t="shared" si="68"/>
        <v>#DIV/0!</v>
      </c>
      <c r="BY1723" s="215">
        <f t="shared" si="69"/>
        <v>0</v>
      </c>
    </row>
    <row r="1724" spans="76:77" x14ac:dyDescent="0.2">
      <c r="BX1724" s="214" t="e">
        <f t="shared" si="68"/>
        <v>#DIV/0!</v>
      </c>
      <c r="BY1724" s="215">
        <f t="shared" si="69"/>
        <v>0</v>
      </c>
    </row>
    <row r="1725" spans="76:77" x14ac:dyDescent="0.2">
      <c r="BX1725" s="214" t="e">
        <f t="shared" si="68"/>
        <v>#DIV/0!</v>
      </c>
      <c r="BY1725" s="215">
        <f t="shared" si="69"/>
        <v>0</v>
      </c>
    </row>
    <row r="1726" spans="76:77" x14ac:dyDescent="0.2">
      <c r="BX1726" s="214" t="e">
        <f t="shared" si="68"/>
        <v>#DIV/0!</v>
      </c>
      <c r="BY1726" s="215">
        <f t="shared" si="69"/>
        <v>0</v>
      </c>
    </row>
    <row r="1727" spans="76:77" x14ac:dyDescent="0.2">
      <c r="BX1727" s="214" t="e">
        <f t="shared" si="68"/>
        <v>#DIV/0!</v>
      </c>
      <c r="BY1727" s="215">
        <f t="shared" si="69"/>
        <v>0</v>
      </c>
    </row>
    <row r="1728" spans="76:77" x14ac:dyDescent="0.2">
      <c r="BX1728" s="214" t="e">
        <f t="shared" si="68"/>
        <v>#DIV/0!</v>
      </c>
      <c r="BY1728" s="215">
        <f t="shared" si="69"/>
        <v>0</v>
      </c>
    </row>
    <row r="1729" spans="76:77" x14ac:dyDescent="0.2">
      <c r="BX1729" s="214" t="e">
        <f t="shared" si="68"/>
        <v>#DIV/0!</v>
      </c>
      <c r="BY1729" s="215">
        <f t="shared" si="69"/>
        <v>0</v>
      </c>
    </row>
    <row r="1730" spans="76:77" x14ac:dyDescent="0.2">
      <c r="BX1730" s="214" t="e">
        <f t="shared" si="68"/>
        <v>#DIV/0!</v>
      </c>
      <c r="BY1730" s="215">
        <f t="shared" si="69"/>
        <v>0</v>
      </c>
    </row>
    <row r="1731" spans="76:77" x14ac:dyDescent="0.2">
      <c r="BX1731" s="214" t="e">
        <f t="shared" si="68"/>
        <v>#DIV/0!</v>
      </c>
      <c r="BY1731" s="215">
        <f t="shared" si="69"/>
        <v>0</v>
      </c>
    </row>
    <row r="1732" spans="76:77" x14ac:dyDescent="0.2">
      <c r="BX1732" s="214" t="e">
        <f t="shared" si="68"/>
        <v>#DIV/0!</v>
      </c>
      <c r="BY1732" s="215">
        <f t="shared" si="69"/>
        <v>0</v>
      </c>
    </row>
    <row r="1733" spans="76:77" x14ac:dyDescent="0.2">
      <c r="BX1733" s="214" t="e">
        <f t="shared" si="68"/>
        <v>#DIV/0!</v>
      </c>
      <c r="BY1733" s="215">
        <f t="shared" si="69"/>
        <v>0</v>
      </c>
    </row>
    <row r="1734" spans="76:77" x14ac:dyDescent="0.2">
      <c r="BX1734" s="214" t="e">
        <f t="shared" si="68"/>
        <v>#DIV/0!</v>
      </c>
      <c r="BY1734" s="215">
        <f t="shared" si="69"/>
        <v>0</v>
      </c>
    </row>
    <row r="1735" spans="76:77" x14ac:dyDescent="0.2">
      <c r="BX1735" s="214" t="e">
        <f t="shared" si="68"/>
        <v>#DIV/0!</v>
      </c>
      <c r="BY1735" s="215">
        <f t="shared" si="69"/>
        <v>0</v>
      </c>
    </row>
    <row r="1736" spans="76:77" x14ac:dyDescent="0.2">
      <c r="BX1736" s="214" t="e">
        <f t="shared" si="68"/>
        <v>#DIV/0!</v>
      </c>
      <c r="BY1736" s="215">
        <f t="shared" si="69"/>
        <v>0</v>
      </c>
    </row>
    <row r="1737" spans="76:77" x14ac:dyDescent="0.2">
      <c r="BX1737" s="214" t="e">
        <f t="shared" si="68"/>
        <v>#DIV/0!</v>
      </c>
      <c r="BY1737" s="215">
        <f t="shared" si="69"/>
        <v>0</v>
      </c>
    </row>
    <row r="1738" spans="76:77" x14ac:dyDescent="0.2">
      <c r="BX1738" s="214" t="e">
        <f t="shared" si="68"/>
        <v>#DIV/0!</v>
      </c>
      <c r="BY1738" s="215">
        <f t="shared" si="69"/>
        <v>0</v>
      </c>
    </row>
    <row r="1739" spans="76:77" x14ac:dyDescent="0.2">
      <c r="BX1739" s="214" t="e">
        <f t="shared" si="68"/>
        <v>#DIV/0!</v>
      </c>
      <c r="BY1739" s="215">
        <f t="shared" si="69"/>
        <v>0</v>
      </c>
    </row>
    <row r="1740" spans="76:77" x14ac:dyDescent="0.2">
      <c r="BX1740" s="214" t="e">
        <f t="shared" si="68"/>
        <v>#DIV/0!</v>
      </c>
      <c r="BY1740" s="215">
        <f t="shared" si="69"/>
        <v>0</v>
      </c>
    </row>
    <row r="1741" spans="76:77" x14ac:dyDescent="0.2">
      <c r="BX1741" s="214" t="e">
        <f t="shared" ref="BX1741:BX1804" si="70">BY1741/BV1741</f>
        <v>#DIV/0!</v>
      </c>
      <c r="BY1741" s="215">
        <f t="shared" si="69"/>
        <v>0</v>
      </c>
    </row>
    <row r="1742" spans="76:77" x14ac:dyDescent="0.2">
      <c r="BX1742" s="214" t="e">
        <f t="shared" si="70"/>
        <v>#DIV/0!</v>
      </c>
      <c r="BY1742" s="215">
        <f t="shared" ref="BY1742:BY1805" si="71">BY1741+BW1742*(BV1742-BV1741)</f>
        <v>0</v>
      </c>
    </row>
    <row r="1743" spans="76:77" x14ac:dyDescent="0.2">
      <c r="BX1743" s="214" t="e">
        <f t="shared" si="70"/>
        <v>#DIV/0!</v>
      </c>
      <c r="BY1743" s="215">
        <f t="shared" si="71"/>
        <v>0</v>
      </c>
    </row>
    <row r="1744" spans="76:77" x14ac:dyDescent="0.2">
      <c r="BX1744" s="214" t="e">
        <f t="shared" si="70"/>
        <v>#DIV/0!</v>
      </c>
      <c r="BY1744" s="215">
        <f t="shared" si="71"/>
        <v>0</v>
      </c>
    </row>
    <row r="1745" spans="76:77" x14ac:dyDescent="0.2">
      <c r="BX1745" s="214" t="e">
        <f t="shared" si="70"/>
        <v>#DIV/0!</v>
      </c>
      <c r="BY1745" s="215">
        <f t="shared" si="71"/>
        <v>0</v>
      </c>
    </row>
    <row r="1746" spans="76:77" x14ac:dyDescent="0.2">
      <c r="BX1746" s="214" t="e">
        <f t="shared" si="70"/>
        <v>#DIV/0!</v>
      </c>
      <c r="BY1746" s="215">
        <f t="shared" si="71"/>
        <v>0</v>
      </c>
    </row>
    <row r="1747" spans="76:77" x14ac:dyDescent="0.2">
      <c r="BX1747" s="214" t="e">
        <f t="shared" si="70"/>
        <v>#DIV/0!</v>
      </c>
      <c r="BY1747" s="215">
        <f t="shared" si="71"/>
        <v>0</v>
      </c>
    </row>
    <row r="1748" spans="76:77" x14ac:dyDescent="0.2">
      <c r="BX1748" s="214" t="e">
        <f t="shared" si="70"/>
        <v>#DIV/0!</v>
      </c>
      <c r="BY1748" s="215">
        <f t="shared" si="71"/>
        <v>0</v>
      </c>
    </row>
    <row r="1749" spans="76:77" x14ac:dyDescent="0.2">
      <c r="BX1749" s="214" t="e">
        <f t="shared" si="70"/>
        <v>#DIV/0!</v>
      </c>
      <c r="BY1749" s="215">
        <f t="shared" si="71"/>
        <v>0</v>
      </c>
    </row>
    <row r="1750" spans="76:77" x14ac:dyDescent="0.2">
      <c r="BX1750" s="214" t="e">
        <f t="shared" si="70"/>
        <v>#DIV/0!</v>
      </c>
      <c r="BY1750" s="215">
        <f t="shared" si="71"/>
        <v>0</v>
      </c>
    </row>
    <row r="1751" spans="76:77" x14ac:dyDescent="0.2">
      <c r="BX1751" s="214" t="e">
        <f t="shared" si="70"/>
        <v>#DIV/0!</v>
      </c>
      <c r="BY1751" s="215">
        <f t="shared" si="71"/>
        <v>0</v>
      </c>
    </row>
    <row r="1752" spans="76:77" x14ac:dyDescent="0.2">
      <c r="BX1752" s="214" t="e">
        <f t="shared" si="70"/>
        <v>#DIV/0!</v>
      </c>
      <c r="BY1752" s="215">
        <f t="shared" si="71"/>
        <v>0</v>
      </c>
    </row>
    <row r="1753" spans="76:77" x14ac:dyDescent="0.2">
      <c r="BX1753" s="214" t="e">
        <f t="shared" si="70"/>
        <v>#DIV/0!</v>
      </c>
      <c r="BY1753" s="215">
        <f t="shared" si="71"/>
        <v>0</v>
      </c>
    </row>
    <row r="1754" spans="76:77" x14ac:dyDescent="0.2">
      <c r="BX1754" s="214" t="e">
        <f t="shared" si="70"/>
        <v>#DIV/0!</v>
      </c>
      <c r="BY1754" s="215">
        <f t="shared" si="71"/>
        <v>0</v>
      </c>
    </row>
    <row r="1755" spans="76:77" x14ac:dyDescent="0.2">
      <c r="BX1755" s="214" t="e">
        <f t="shared" si="70"/>
        <v>#DIV/0!</v>
      </c>
      <c r="BY1755" s="215">
        <f t="shared" si="71"/>
        <v>0</v>
      </c>
    </row>
    <row r="1756" spans="76:77" x14ac:dyDescent="0.2">
      <c r="BX1756" s="214" t="e">
        <f t="shared" si="70"/>
        <v>#DIV/0!</v>
      </c>
      <c r="BY1756" s="215">
        <f t="shared" si="71"/>
        <v>0</v>
      </c>
    </row>
    <row r="1757" spans="76:77" x14ac:dyDescent="0.2">
      <c r="BX1757" s="214" t="e">
        <f t="shared" si="70"/>
        <v>#DIV/0!</v>
      </c>
      <c r="BY1757" s="215">
        <f t="shared" si="71"/>
        <v>0</v>
      </c>
    </row>
    <row r="1758" spans="76:77" x14ac:dyDescent="0.2">
      <c r="BX1758" s="214" t="e">
        <f t="shared" si="70"/>
        <v>#DIV/0!</v>
      </c>
      <c r="BY1758" s="215">
        <f t="shared" si="71"/>
        <v>0</v>
      </c>
    </row>
    <row r="1759" spans="76:77" x14ac:dyDescent="0.2">
      <c r="BX1759" s="214" t="e">
        <f t="shared" si="70"/>
        <v>#DIV/0!</v>
      </c>
      <c r="BY1759" s="215">
        <f t="shared" si="71"/>
        <v>0</v>
      </c>
    </row>
    <row r="1760" spans="76:77" x14ac:dyDescent="0.2">
      <c r="BX1760" s="214" t="e">
        <f t="shared" si="70"/>
        <v>#DIV/0!</v>
      </c>
      <c r="BY1760" s="215">
        <f t="shared" si="71"/>
        <v>0</v>
      </c>
    </row>
    <row r="1761" spans="76:77" x14ac:dyDescent="0.2">
      <c r="BX1761" s="214" t="e">
        <f t="shared" si="70"/>
        <v>#DIV/0!</v>
      </c>
      <c r="BY1761" s="215">
        <f t="shared" si="71"/>
        <v>0</v>
      </c>
    </row>
    <row r="1762" spans="76:77" x14ac:dyDescent="0.2">
      <c r="BX1762" s="214" t="e">
        <f t="shared" si="70"/>
        <v>#DIV/0!</v>
      </c>
      <c r="BY1762" s="215">
        <f t="shared" si="71"/>
        <v>0</v>
      </c>
    </row>
    <row r="1763" spans="76:77" x14ac:dyDescent="0.2">
      <c r="BX1763" s="214" t="e">
        <f t="shared" si="70"/>
        <v>#DIV/0!</v>
      </c>
      <c r="BY1763" s="215">
        <f t="shared" si="71"/>
        <v>0</v>
      </c>
    </row>
    <row r="1764" spans="76:77" x14ac:dyDescent="0.2">
      <c r="BX1764" s="214" t="e">
        <f t="shared" si="70"/>
        <v>#DIV/0!</v>
      </c>
      <c r="BY1764" s="215">
        <f t="shared" si="71"/>
        <v>0</v>
      </c>
    </row>
    <row r="1765" spans="76:77" x14ac:dyDescent="0.2">
      <c r="BX1765" s="214" t="e">
        <f t="shared" si="70"/>
        <v>#DIV/0!</v>
      </c>
      <c r="BY1765" s="215">
        <f t="shared" si="71"/>
        <v>0</v>
      </c>
    </row>
    <row r="1766" spans="76:77" x14ac:dyDescent="0.2">
      <c r="BX1766" s="214" t="e">
        <f t="shared" si="70"/>
        <v>#DIV/0!</v>
      </c>
      <c r="BY1766" s="215">
        <f t="shared" si="71"/>
        <v>0</v>
      </c>
    </row>
    <row r="1767" spans="76:77" x14ac:dyDescent="0.2">
      <c r="BX1767" s="214" t="e">
        <f t="shared" si="70"/>
        <v>#DIV/0!</v>
      </c>
      <c r="BY1767" s="215">
        <f t="shared" si="71"/>
        <v>0</v>
      </c>
    </row>
    <row r="1768" spans="76:77" x14ac:dyDescent="0.2">
      <c r="BX1768" s="214" t="e">
        <f t="shared" si="70"/>
        <v>#DIV/0!</v>
      </c>
      <c r="BY1768" s="215">
        <f t="shared" si="71"/>
        <v>0</v>
      </c>
    </row>
    <row r="1769" spans="76:77" x14ac:dyDescent="0.2">
      <c r="BX1769" s="214" t="e">
        <f t="shared" si="70"/>
        <v>#DIV/0!</v>
      </c>
      <c r="BY1769" s="215">
        <f t="shared" si="71"/>
        <v>0</v>
      </c>
    </row>
    <row r="1770" spans="76:77" x14ac:dyDescent="0.2">
      <c r="BX1770" s="214" t="e">
        <f t="shared" si="70"/>
        <v>#DIV/0!</v>
      </c>
      <c r="BY1770" s="215">
        <f t="shared" si="71"/>
        <v>0</v>
      </c>
    </row>
    <row r="1771" spans="76:77" x14ac:dyDescent="0.2">
      <c r="BX1771" s="214" t="e">
        <f t="shared" si="70"/>
        <v>#DIV/0!</v>
      </c>
      <c r="BY1771" s="215">
        <f t="shared" si="71"/>
        <v>0</v>
      </c>
    </row>
    <row r="1772" spans="76:77" x14ac:dyDescent="0.2">
      <c r="BX1772" s="214" t="e">
        <f t="shared" si="70"/>
        <v>#DIV/0!</v>
      </c>
      <c r="BY1772" s="215">
        <f t="shared" si="71"/>
        <v>0</v>
      </c>
    </row>
    <row r="1773" spans="76:77" x14ac:dyDescent="0.2">
      <c r="BX1773" s="214" t="e">
        <f t="shared" si="70"/>
        <v>#DIV/0!</v>
      </c>
      <c r="BY1773" s="215">
        <f t="shared" si="71"/>
        <v>0</v>
      </c>
    </row>
    <row r="1774" spans="76:77" x14ac:dyDescent="0.2">
      <c r="BX1774" s="214" t="e">
        <f t="shared" si="70"/>
        <v>#DIV/0!</v>
      </c>
      <c r="BY1774" s="215">
        <f t="shared" si="71"/>
        <v>0</v>
      </c>
    </row>
    <row r="1775" spans="76:77" x14ac:dyDescent="0.2">
      <c r="BX1775" s="214" t="e">
        <f t="shared" si="70"/>
        <v>#DIV/0!</v>
      </c>
      <c r="BY1775" s="215">
        <f t="shared" si="71"/>
        <v>0</v>
      </c>
    </row>
    <row r="1776" spans="76:77" x14ac:dyDescent="0.2">
      <c r="BX1776" s="214" t="e">
        <f t="shared" si="70"/>
        <v>#DIV/0!</v>
      </c>
      <c r="BY1776" s="215">
        <f t="shared" si="71"/>
        <v>0</v>
      </c>
    </row>
    <row r="1777" spans="76:77" x14ac:dyDescent="0.2">
      <c r="BX1777" s="214" t="e">
        <f t="shared" si="70"/>
        <v>#DIV/0!</v>
      </c>
      <c r="BY1777" s="215">
        <f t="shared" si="71"/>
        <v>0</v>
      </c>
    </row>
    <row r="1778" spans="76:77" x14ac:dyDescent="0.2">
      <c r="BX1778" s="214" t="e">
        <f t="shared" si="70"/>
        <v>#DIV/0!</v>
      </c>
      <c r="BY1778" s="215">
        <f t="shared" si="71"/>
        <v>0</v>
      </c>
    </row>
    <row r="1779" spans="76:77" x14ac:dyDescent="0.2">
      <c r="BX1779" s="214" t="e">
        <f t="shared" si="70"/>
        <v>#DIV/0!</v>
      </c>
      <c r="BY1779" s="215">
        <f t="shared" si="71"/>
        <v>0</v>
      </c>
    </row>
    <row r="1780" spans="76:77" x14ac:dyDescent="0.2">
      <c r="BX1780" s="214" t="e">
        <f t="shared" si="70"/>
        <v>#DIV/0!</v>
      </c>
      <c r="BY1780" s="215">
        <f t="shared" si="71"/>
        <v>0</v>
      </c>
    </row>
    <row r="1781" spans="76:77" x14ac:dyDescent="0.2">
      <c r="BX1781" s="214" t="e">
        <f t="shared" si="70"/>
        <v>#DIV/0!</v>
      </c>
      <c r="BY1781" s="215">
        <f t="shared" si="71"/>
        <v>0</v>
      </c>
    </row>
    <row r="1782" spans="76:77" x14ac:dyDescent="0.2">
      <c r="BX1782" s="214" t="e">
        <f t="shared" si="70"/>
        <v>#DIV/0!</v>
      </c>
      <c r="BY1782" s="215">
        <f t="shared" si="71"/>
        <v>0</v>
      </c>
    </row>
    <row r="1783" spans="76:77" x14ac:dyDescent="0.2">
      <c r="BX1783" s="214" t="e">
        <f t="shared" si="70"/>
        <v>#DIV/0!</v>
      </c>
      <c r="BY1783" s="215">
        <f t="shared" si="71"/>
        <v>0</v>
      </c>
    </row>
    <row r="1784" spans="76:77" x14ac:dyDescent="0.2">
      <c r="BX1784" s="214" t="e">
        <f t="shared" si="70"/>
        <v>#DIV/0!</v>
      </c>
      <c r="BY1784" s="215">
        <f t="shared" si="71"/>
        <v>0</v>
      </c>
    </row>
    <row r="1785" spans="76:77" x14ac:dyDescent="0.2">
      <c r="BX1785" s="214" t="e">
        <f t="shared" si="70"/>
        <v>#DIV/0!</v>
      </c>
      <c r="BY1785" s="215">
        <f t="shared" si="71"/>
        <v>0</v>
      </c>
    </row>
    <row r="1786" spans="76:77" x14ac:dyDescent="0.2">
      <c r="BX1786" s="214" t="e">
        <f t="shared" si="70"/>
        <v>#DIV/0!</v>
      </c>
      <c r="BY1786" s="215">
        <f t="shared" si="71"/>
        <v>0</v>
      </c>
    </row>
    <row r="1787" spans="76:77" x14ac:dyDescent="0.2">
      <c r="BX1787" s="214" t="e">
        <f t="shared" si="70"/>
        <v>#DIV/0!</v>
      </c>
      <c r="BY1787" s="215">
        <f t="shared" si="71"/>
        <v>0</v>
      </c>
    </row>
    <row r="1788" spans="76:77" x14ac:dyDescent="0.2">
      <c r="BX1788" s="214" t="e">
        <f t="shared" si="70"/>
        <v>#DIV/0!</v>
      </c>
      <c r="BY1788" s="215">
        <f t="shared" si="71"/>
        <v>0</v>
      </c>
    </row>
    <row r="1789" spans="76:77" x14ac:dyDescent="0.2">
      <c r="BX1789" s="214" t="e">
        <f t="shared" si="70"/>
        <v>#DIV/0!</v>
      </c>
      <c r="BY1789" s="215">
        <f t="shared" si="71"/>
        <v>0</v>
      </c>
    </row>
    <row r="1790" spans="76:77" x14ac:dyDescent="0.2">
      <c r="BX1790" s="214" t="e">
        <f t="shared" si="70"/>
        <v>#DIV/0!</v>
      </c>
      <c r="BY1790" s="215">
        <f t="shared" si="71"/>
        <v>0</v>
      </c>
    </row>
    <row r="1791" spans="76:77" x14ac:dyDescent="0.2">
      <c r="BX1791" s="214" t="e">
        <f t="shared" si="70"/>
        <v>#DIV/0!</v>
      </c>
      <c r="BY1791" s="215">
        <f t="shared" si="71"/>
        <v>0</v>
      </c>
    </row>
    <row r="1792" spans="76:77" x14ac:dyDescent="0.2">
      <c r="BX1792" s="214" t="e">
        <f t="shared" si="70"/>
        <v>#DIV/0!</v>
      </c>
      <c r="BY1792" s="215">
        <f t="shared" si="71"/>
        <v>0</v>
      </c>
    </row>
    <row r="1793" spans="76:77" x14ac:dyDescent="0.2">
      <c r="BX1793" s="214" t="e">
        <f t="shared" si="70"/>
        <v>#DIV/0!</v>
      </c>
      <c r="BY1793" s="215">
        <f t="shared" si="71"/>
        <v>0</v>
      </c>
    </row>
    <row r="1794" spans="76:77" x14ac:dyDescent="0.2">
      <c r="BX1794" s="214" t="e">
        <f t="shared" si="70"/>
        <v>#DIV/0!</v>
      </c>
      <c r="BY1794" s="215">
        <f t="shared" si="71"/>
        <v>0</v>
      </c>
    </row>
    <row r="1795" spans="76:77" x14ac:dyDescent="0.2">
      <c r="BX1795" s="214" t="e">
        <f t="shared" si="70"/>
        <v>#DIV/0!</v>
      </c>
      <c r="BY1795" s="215">
        <f t="shared" si="71"/>
        <v>0</v>
      </c>
    </row>
    <row r="1796" spans="76:77" x14ac:dyDescent="0.2">
      <c r="BX1796" s="214" t="e">
        <f t="shared" si="70"/>
        <v>#DIV/0!</v>
      </c>
      <c r="BY1796" s="215">
        <f t="shared" si="71"/>
        <v>0</v>
      </c>
    </row>
    <row r="1797" spans="76:77" x14ac:dyDescent="0.2">
      <c r="BX1797" s="214" t="e">
        <f t="shared" si="70"/>
        <v>#DIV/0!</v>
      </c>
      <c r="BY1797" s="215">
        <f t="shared" si="71"/>
        <v>0</v>
      </c>
    </row>
    <row r="1798" spans="76:77" x14ac:dyDescent="0.2">
      <c r="BX1798" s="214" t="e">
        <f t="shared" si="70"/>
        <v>#DIV/0!</v>
      </c>
      <c r="BY1798" s="215">
        <f t="shared" si="71"/>
        <v>0</v>
      </c>
    </row>
    <row r="1799" spans="76:77" x14ac:dyDescent="0.2">
      <c r="BX1799" s="214" t="e">
        <f t="shared" si="70"/>
        <v>#DIV/0!</v>
      </c>
      <c r="BY1799" s="215">
        <f t="shared" si="71"/>
        <v>0</v>
      </c>
    </row>
    <row r="1800" spans="76:77" x14ac:dyDescent="0.2">
      <c r="BX1800" s="214" t="e">
        <f t="shared" si="70"/>
        <v>#DIV/0!</v>
      </c>
      <c r="BY1800" s="215">
        <f t="shared" si="71"/>
        <v>0</v>
      </c>
    </row>
    <row r="1801" spans="76:77" x14ac:dyDescent="0.2">
      <c r="BX1801" s="214" t="e">
        <f t="shared" si="70"/>
        <v>#DIV/0!</v>
      </c>
      <c r="BY1801" s="215">
        <f t="shared" si="71"/>
        <v>0</v>
      </c>
    </row>
    <row r="1802" spans="76:77" x14ac:dyDescent="0.2">
      <c r="BX1802" s="214" t="e">
        <f t="shared" si="70"/>
        <v>#DIV/0!</v>
      </c>
      <c r="BY1802" s="215">
        <f t="shared" si="71"/>
        <v>0</v>
      </c>
    </row>
    <row r="1803" spans="76:77" x14ac:dyDescent="0.2">
      <c r="BX1803" s="214" t="e">
        <f t="shared" si="70"/>
        <v>#DIV/0!</v>
      </c>
      <c r="BY1803" s="215">
        <f t="shared" si="71"/>
        <v>0</v>
      </c>
    </row>
    <row r="1804" spans="76:77" x14ac:dyDescent="0.2">
      <c r="BX1804" s="214" t="e">
        <f t="shared" si="70"/>
        <v>#DIV/0!</v>
      </c>
      <c r="BY1804" s="215">
        <f t="shared" si="71"/>
        <v>0</v>
      </c>
    </row>
    <row r="1805" spans="76:77" x14ac:dyDescent="0.2">
      <c r="BX1805" s="214" t="e">
        <f t="shared" ref="BX1805:BX1868" si="72">BY1805/BV1805</f>
        <v>#DIV/0!</v>
      </c>
      <c r="BY1805" s="215">
        <f t="shared" si="71"/>
        <v>0</v>
      </c>
    </row>
    <row r="1806" spans="76:77" x14ac:dyDescent="0.2">
      <c r="BX1806" s="214" t="e">
        <f t="shared" si="72"/>
        <v>#DIV/0!</v>
      </c>
      <c r="BY1806" s="215">
        <f t="shared" ref="BY1806:BY1869" si="73">BY1805+BW1806*(BV1806-BV1805)</f>
        <v>0</v>
      </c>
    </row>
    <row r="1807" spans="76:77" x14ac:dyDescent="0.2">
      <c r="BX1807" s="214" t="e">
        <f t="shared" si="72"/>
        <v>#DIV/0!</v>
      </c>
      <c r="BY1807" s="215">
        <f t="shared" si="73"/>
        <v>0</v>
      </c>
    </row>
    <row r="1808" spans="76:77" x14ac:dyDescent="0.2">
      <c r="BX1808" s="214" t="e">
        <f t="shared" si="72"/>
        <v>#DIV/0!</v>
      </c>
      <c r="BY1808" s="215">
        <f t="shared" si="73"/>
        <v>0</v>
      </c>
    </row>
    <row r="1809" spans="76:77" x14ac:dyDescent="0.2">
      <c r="BX1809" s="214" t="e">
        <f t="shared" si="72"/>
        <v>#DIV/0!</v>
      </c>
      <c r="BY1809" s="215">
        <f t="shared" si="73"/>
        <v>0</v>
      </c>
    </row>
    <row r="1810" spans="76:77" x14ac:dyDescent="0.2">
      <c r="BX1810" s="214" t="e">
        <f t="shared" si="72"/>
        <v>#DIV/0!</v>
      </c>
      <c r="BY1810" s="215">
        <f t="shared" si="73"/>
        <v>0</v>
      </c>
    </row>
    <row r="1811" spans="76:77" x14ac:dyDescent="0.2">
      <c r="BX1811" s="214" t="e">
        <f t="shared" si="72"/>
        <v>#DIV/0!</v>
      </c>
      <c r="BY1811" s="215">
        <f t="shared" si="73"/>
        <v>0</v>
      </c>
    </row>
    <row r="1812" spans="76:77" x14ac:dyDescent="0.2">
      <c r="BX1812" s="214" t="e">
        <f t="shared" si="72"/>
        <v>#DIV/0!</v>
      </c>
      <c r="BY1812" s="215">
        <f t="shared" si="73"/>
        <v>0</v>
      </c>
    </row>
    <row r="1813" spans="76:77" x14ac:dyDescent="0.2">
      <c r="BX1813" s="214" t="e">
        <f t="shared" si="72"/>
        <v>#DIV/0!</v>
      </c>
      <c r="BY1813" s="215">
        <f t="shared" si="73"/>
        <v>0</v>
      </c>
    </row>
    <row r="1814" spans="76:77" x14ac:dyDescent="0.2">
      <c r="BX1814" s="214" t="e">
        <f t="shared" si="72"/>
        <v>#DIV/0!</v>
      </c>
      <c r="BY1814" s="215">
        <f t="shared" si="73"/>
        <v>0</v>
      </c>
    </row>
    <row r="1815" spans="76:77" x14ac:dyDescent="0.2">
      <c r="BX1815" s="214" t="e">
        <f t="shared" si="72"/>
        <v>#DIV/0!</v>
      </c>
      <c r="BY1815" s="215">
        <f t="shared" si="73"/>
        <v>0</v>
      </c>
    </row>
    <row r="1816" spans="76:77" x14ac:dyDescent="0.2">
      <c r="BX1816" s="214" t="e">
        <f t="shared" si="72"/>
        <v>#DIV/0!</v>
      </c>
      <c r="BY1816" s="215">
        <f t="shared" si="73"/>
        <v>0</v>
      </c>
    </row>
    <row r="1817" spans="76:77" x14ac:dyDescent="0.2">
      <c r="BX1817" s="214" t="e">
        <f t="shared" si="72"/>
        <v>#DIV/0!</v>
      </c>
      <c r="BY1817" s="215">
        <f t="shared" si="73"/>
        <v>0</v>
      </c>
    </row>
    <row r="1818" spans="76:77" x14ac:dyDescent="0.2">
      <c r="BX1818" s="214" t="e">
        <f t="shared" si="72"/>
        <v>#DIV/0!</v>
      </c>
      <c r="BY1818" s="215">
        <f t="shared" si="73"/>
        <v>0</v>
      </c>
    </row>
    <row r="1819" spans="76:77" x14ac:dyDescent="0.2">
      <c r="BX1819" s="214" t="e">
        <f t="shared" si="72"/>
        <v>#DIV/0!</v>
      </c>
      <c r="BY1819" s="215">
        <f t="shared" si="73"/>
        <v>0</v>
      </c>
    </row>
    <row r="1820" spans="76:77" x14ac:dyDescent="0.2">
      <c r="BX1820" s="214" t="e">
        <f t="shared" si="72"/>
        <v>#DIV/0!</v>
      </c>
      <c r="BY1820" s="215">
        <f t="shared" si="73"/>
        <v>0</v>
      </c>
    </row>
    <row r="1821" spans="76:77" x14ac:dyDescent="0.2">
      <c r="BX1821" s="214" t="e">
        <f t="shared" si="72"/>
        <v>#DIV/0!</v>
      </c>
      <c r="BY1821" s="215">
        <f t="shared" si="73"/>
        <v>0</v>
      </c>
    </row>
    <row r="1822" spans="76:77" x14ac:dyDescent="0.2">
      <c r="BX1822" s="214" t="e">
        <f t="shared" si="72"/>
        <v>#DIV/0!</v>
      </c>
      <c r="BY1822" s="215">
        <f t="shared" si="73"/>
        <v>0</v>
      </c>
    </row>
    <row r="1823" spans="76:77" x14ac:dyDescent="0.2">
      <c r="BX1823" s="214" t="e">
        <f t="shared" si="72"/>
        <v>#DIV/0!</v>
      </c>
      <c r="BY1823" s="215">
        <f t="shared" si="73"/>
        <v>0</v>
      </c>
    </row>
    <row r="1824" spans="76:77" x14ac:dyDescent="0.2">
      <c r="BX1824" s="214" t="e">
        <f t="shared" si="72"/>
        <v>#DIV/0!</v>
      </c>
      <c r="BY1824" s="215">
        <f t="shared" si="73"/>
        <v>0</v>
      </c>
    </row>
    <row r="1825" spans="76:77" x14ac:dyDescent="0.2">
      <c r="BX1825" s="214" t="e">
        <f t="shared" si="72"/>
        <v>#DIV/0!</v>
      </c>
      <c r="BY1825" s="215">
        <f t="shared" si="73"/>
        <v>0</v>
      </c>
    </row>
    <row r="1826" spans="76:77" x14ac:dyDescent="0.2">
      <c r="BX1826" s="214" t="e">
        <f t="shared" si="72"/>
        <v>#DIV/0!</v>
      </c>
      <c r="BY1826" s="215">
        <f t="shared" si="73"/>
        <v>0</v>
      </c>
    </row>
    <row r="1827" spans="76:77" x14ac:dyDescent="0.2">
      <c r="BX1827" s="214" t="e">
        <f t="shared" si="72"/>
        <v>#DIV/0!</v>
      </c>
      <c r="BY1827" s="215">
        <f t="shared" si="73"/>
        <v>0</v>
      </c>
    </row>
    <row r="1828" spans="76:77" x14ac:dyDescent="0.2">
      <c r="BX1828" s="214" t="e">
        <f t="shared" si="72"/>
        <v>#DIV/0!</v>
      </c>
      <c r="BY1828" s="215">
        <f t="shared" si="73"/>
        <v>0</v>
      </c>
    </row>
    <row r="1829" spans="76:77" x14ac:dyDescent="0.2">
      <c r="BX1829" s="214" t="e">
        <f t="shared" si="72"/>
        <v>#DIV/0!</v>
      </c>
      <c r="BY1829" s="215">
        <f t="shared" si="73"/>
        <v>0</v>
      </c>
    </row>
    <row r="1830" spans="76:77" x14ac:dyDescent="0.2">
      <c r="BX1830" s="214" t="e">
        <f t="shared" si="72"/>
        <v>#DIV/0!</v>
      </c>
      <c r="BY1830" s="215">
        <f t="shared" si="73"/>
        <v>0</v>
      </c>
    </row>
    <row r="1831" spans="76:77" x14ac:dyDescent="0.2">
      <c r="BX1831" s="214" t="e">
        <f t="shared" si="72"/>
        <v>#DIV/0!</v>
      </c>
      <c r="BY1831" s="215">
        <f t="shared" si="73"/>
        <v>0</v>
      </c>
    </row>
    <row r="1832" spans="76:77" x14ac:dyDescent="0.2">
      <c r="BX1832" s="214" t="e">
        <f t="shared" si="72"/>
        <v>#DIV/0!</v>
      </c>
      <c r="BY1832" s="215">
        <f t="shared" si="73"/>
        <v>0</v>
      </c>
    </row>
    <row r="1833" spans="76:77" x14ac:dyDescent="0.2">
      <c r="BX1833" s="214" t="e">
        <f t="shared" si="72"/>
        <v>#DIV/0!</v>
      </c>
      <c r="BY1833" s="215">
        <f t="shared" si="73"/>
        <v>0</v>
      </c>
    </row>
    <row r="1834" spans="76:77" x14ac:dyDescent="0.2">
      <c r="BX1834" s="214" t="e">
        <f t="shared" si="72"/>
        <v>#DIV/0!</v>
      </c>
      <c r="BY1834" s="215">
        <f t="shared" si="73"/>
        <v>0</v>
      </c>
    </row>
    <row r="1835" spans="76:77" x14ac:dyDescent="0.2">
      <c r="BX1835" s="214" t="e">
        <f t="shared" si="72"/>
        <v>#DIV/0!</v>
      </c>
      <c r="BY1835" s="215">
        <f t="shared" si="73"/>
        <v>0</v>
      </c>
    </row>
    <row r="1836" spans="76:77" x14ac:dyDescent="0.2">
      <c r="BX1836" s="214" t="e">
        <f t="shared" si="72"/>
        <v>#DIV/0!</v>
      </c>
      <c r="BY1836" s="215">
        <f t="shared" si="73"/>
        <v>0</v>
      </c>
    </row>
    <row r="1837" spans="76:77" x14ac:dyDescent="0.2">
      <c r="BX1837" s="214" t="e">
        <f t="shared" si="72"/>
        <v>#DIV/0!</v>
      </c>
      <c r="BY1837" s="215">
        <f t="shared" si="73"/>
        <v>0</v>
      </c>
    </row>
    <row r="1838" spans="76:77" x14ac:dyDescent="0.2">
      <c r="BX1838" s="214" t="e">
        <f t="shared" si="72"/>
        <v>#DIV/0!</v>
      </c>
      <c r="BY1838" s="215">
        <f t="shared" si="73"/>
        <v>0</v>
      </c>
    </row>
    <row r="1839" spans="76:77" x14ac:dyDescent="0.2">
      <c r="BX1839" s="214" t="e">
        <f t="shared" si="72"/>
        <v>#DIV/0!</v>
      </c>
      <c r="BY1839" s="215">
        <f t="shared" si="73"/>
        <v>0</v>
      </c>
    </row>
    <row r="1840" spans="76:77" x14ac:dyDescent="0.2">
      <c r="BX1840" s="214" t="e">
        <f t="shared" si="72"/>
        <v>#DIV/0!</v>
      </c>
      <c r="BY1840" s="215">
        <f t="shared" si="73"/>
        <v>0</v>
      </c>
    </row>
    <row r="1841" spans="76:77" x14ac:dyDescent="0.2">
      <c r="BX1841" s="214" t="e">
        <f t="shared" si="72"/>
        <v>#DIV/0!</v>
      </c>
      <c r="BY1841" s="215">
        <f t="shared" si="73"/>
        <v>0</v>
      </c>
    </row>
    <row r="1842" spans="76:77" x14ac:dyDescent="0.2">
      <c r="BX1842" s="214" t="e">
        <f t="shared" si="72"/>
        <v>#DIV/0!</v>
      </c>
      <c r="BY1842" s="215">
        <f t="shared" si="73"/>
        <v>0</v>
      </c>
    </row>
    <row r="1843" spans="76:77" x14ac:dyDescent="0.2">
      <c r="BX1843" s="214" t="e">
        <f t="shared" si="72"/>
        <v>#DIV/0!</v>
      </c>
      <c r="BY1843" s="215">
        <f t="shared" si="73"/>
        <v>0</v>
      </c>
    </row>
    <row r="1844" spans="76:77" x14ac:dyDescent="0.2">
      <c r="BX1844" s="214" t="e">
        <f t="shared" si="72"/>
        <v>#DIV/0!</v>
      </c>
      <c r="BY1844" s="215">
        <f t="shared" si="73"/>
        <v>0</v>
      </c>
    </row>
    <row r="1845" spans="76:77" x14ac:dyDescent="0.2">
      <c r="BX1845" s="214" t="e">
        <f t="shared" si="72"/>
        <v>#DIV/0!</v>
      </c>
      <c r="BY1845" s="215">
        <f t="shared" si="73"/>
        <v>0</v>
      </c>
    </row>
    <row r="1846" spans="76:77" x14ac:dyDescent="0.2">
      <c r="BX1846" s="214" t="e">
        <f t="shared" si="72"/>
        <v>#DIV/0!</v>
      </c>
      <c r="BY1846" s="215">
        <f t="shared" si="73"/>
        <v>0</v>
      </c>
    </row>
    <row r="1847" spans="76:77" x14ac:dyDescent="0.2">
      <c r="BX1847" s="214" t="e">
        <f t="shared" si="72"/>
        <v>#DIV/0!</v>
      </c>
      <c r="BY1847" s="215">
        <f t="shared" si="73"/>
        <v>0</v>
      </c>
    </row>
    <row r="1848" spans="76:77" x14ac:dyDescent="0.2">
      <c r="BX1848" s="214" t="e">
        <f t="shared" si="72"/>
        <v>#DIV/0!</v>
      </c>
      <c r="BY1848" s="215">
        <f t="shared" si="73"/>
        <v>0</v>
      </c>
    </row>
    <row r="1849" spans="76:77" x14ac:dyDescent="0.2">
      <c r="BX1849" s="214" t="e">
        <f t="shared" si="72"/>
        <v>#DIV/0!</v>
      </c>
      <c r="BY1849" s="215">
        <f t="shared" si="73"/>
        <v>0</v>
      </c>
    </row>
    <row r="1850" spans="76:77" x14ac:dyDescent="0.2">
      <c r="BX1850" s="214" t="e">
        <f t="shared" si="72"/>
        <v>#DIV/0!</v>
      </c>
      <c r="BY1850" s="215">
        <f t="shared" si="73"/>
        <v>0</v>
      </c>
    </row>
    <row r="1851" spans="76:77" x14ac:dyDescent="0.2">
      <c r="BX1851" s="214" t="e">
        <f t="shared" si="72"/>
        <v>#DIV/0!</v>
      </c>
      <c r="BY1851" s="215">
        <f t="shared" si="73"/>
        <v>0</v>
      </c>
    </row>
    <row r="1852" spans="76:77" x14ac:dyDescent="0.2">
      <c r="BX1852" s="214" t="e">
        <f t="shared" si="72"/>
        <v>#DIV/0!</v>
      </c>
      <c r="BY1852" s="215">
        <f t="shared" si="73"/>
        <v>0</v>
      </c>
    </row>
    <row r="1853" spans="76:77" x14ac:dyDescent="0.2">
      <c r="BX1853" s="214" t="e">
        <f t="shared" si="72"/>
        <v>#DIV/0!</v>
      </c>
      <c r="BY1853" s="215">
        <f t="shared" si="73"/>
        <v>0</v>
      </c>
    </row>
    <row r="1854" spans="76:77" x14ac:dyDescent="0.2">
      <c r="BX1854" s="214" t="e">
        <f t="shared" si="72"/>
        <v>#DIV/0!</v>
      </c>
      <c r="BY1854" s="215">
        <f t="shared" si="73"/>
        <v>0</v>
      </c>
    </row>
    <row r="1855" spans="76:77" x14ac:dyDescent="0.2">
      <c r="BX1855" s="214" t="e">
        <f t="shared" si="72"/>
        <v>#DIV/0!</v>
      </c>
      <c r="BY1855" s="215">
        <f t="shared" si="73"/>
        <v>0</v>
      </c>
    </row>
    <row r="1856" spans="76:77" x14ac:dyDescent="0.2">
      <c r="BX1856" s="214" t="e">
        <f t="shared" si="72"/>
        <v>#DIV/0!</v>
      </c>
      <c r="BY1856" s="215">
        <f t="shared" si="73"/>
        <v>0</v>
      </c>
    </row>
    <row r="1857" spans="76:77" x14ac:dyDescent="0.2">
      <c r="BX1857" s="214" t="e">
        <f t="shared" si="72"/>
        <v>#DIV/0!</v>
      </c>
      <c r="BY1857" s="215">
        <f t="shared" si="73"/>
        <v>0</v>
      </c>
    </row>
    <row r="1858" spans="76:77" x14ac:dyDescent="0.2">
      <c r="BX1858" s="214" t="e">
        <f t="shared" si="72"/>
        <v>#DIV/0!</v>
      </c>
      <c r="BY1858" s="215">
        <f t="shared" si="73"/>
        <v>0</v>
      </c>
    </row>
    <row r="1859" spans="76:77" x14ac:dyDescent="0.2">
      <c r="BX1859" s="214" t="e">
        <f t="shared" si="72"/>
        <v>#DIV/0!</v>
      </c>
      <c r="BY1859" s="215">
        <f t="shared" si="73"/>
        <v>0</v>
      </c>
    </row>
    <row r="1860" spans="76:77" x14ac:dyDescent="0.2">
      <c r="BX1860" s="214" t="e">
        <f t="shared" si="72"/>
        <v>#DIV/0!</v>
      </c>
      <c r="BY1860" s="215">
        <f t="shared" si="73"/>
        <v>0</v>
      </c>
    </row>
    <row r="1861" spans="76:77" x14ac:dyDescent="0.2">
      <c r="BX1861" s="214" t="e">
        <f t="shared" si="72"/>
        <v>#DIV/0!</v>
      </c>
      <c r="BY1861" s="215">
        <f t="shared" si="73"/>
        <v>0</v>
      </c>
    </row>
    <row r="1862" spans="76:77" x14ac:dyDescent="0.2">
      <c r="BX1862" s="214" t="e">
        <f t="shared" si="72"/>
        <v>#DIV/0!</v>
      </c>
      <c r="BY1862" s="215">
        <f t="shared" si="73"/>
        <v>0</v>
      </c>
    </row>
    <row r="1863" spans="76:77" x14ac:dyDescent="0.2">
      <c r="BX1863" s="214" t="e">
        <f t="shared" si="72"/>
        <v>#DIV/0!</v>
      </c>
      <c r="BY1863" s="215">
        <f t="shared" si="73"/>
        <v>0</v>
      </c>
    </row>
    <row r="1864" spans="76:77" x14ac:dyDescent="0.2">
      <c r="BX1864" s="214" t="e">
        <f t="shared" si="72"/>
        <v>#DIV/0!</v>
      </c>
      <c r="BY1864" s="215">
        <f t="shared" si="73"/>
        <v>0</v>
      </c>
    </row>
    <row r="1865" spans="76:77" x14ac:dyDescent="0.2">
      <c r="BX1865" s="214" t="e">
        <f t="shared" si="72"/>
        <v>#DIV/0!</v>
      </c>
      <c r="BY1865" s="215">
        <f t="shared" si="73"/>
        <v>0</v>
      </c>
    </row>
    <row r="1866" spans="76:77" x14ac:dyDescent="0.2">
      <c r="BX1866" s="214" t="e">
        <f t="shared" si="72"/>
        <v>#DIV/0!</v>
      </c>
      <c r="BY1866" s="215">
        <f t="shared" si="73"/>
        <v>0</v>
      </c>
    </row>
    <row r="1867" spans="76:77" x14ac:dyDescent="0.2">
      <c r="BX1867" s="214" t="e">
        <f t="shared" si="72"/>
        <v>#DIV/0!</v>
      </c>
      <c r="BY1867" s="215">
        <f t="shared" si="73"/>
        <v>0</v>
      </c>
    </row>
    <row r="1868" spans="76:77" x14ac:dyDescent="0.2">
      <c r="BX1868" s="214" t="e">
        <f t="shared" si="72"/>
        <v>#DIV/0!</v>
      </c>
      <c r="BY1868" s="215">
        <f t="shared" si="73"/>
        <v>0</v>
      </c>
    </row>
    <row r="1869" spans="76:77" x14ac:dyDescent="0.2">
      <c r="BX1869" s="214" t="e">
        <f t="shared" ref="BX1869:BX1932" si="74">BY1869/BV1869</f>
        <v>#DIV/0!</v>
      </c>
      <c r="BY1869" s="215">
        <f t="shared" si="73"/>
        <v>0</v>
      </c>
    </row>
    <row r="1870" spans="76:77" x14ac:dyDescent="0.2">
      <c r="BX1870" s="214" t="e">
        <f t="shared" si="74"/>
        <v>#DIV/0!</v>
      </c>
      <c r="BY1870" s="215">
        <f t="shared" ref="BY1870:BY1933" si="75">BY1869+BW1870*(BV1870-BV1869)</f>
        <v>0</v>
      </c>
    </row>
    <row r="1871" spans="76:77" x14ac:dyDescent="0.2">
      <c r="BX1871" s="214" t="e">
        <f t="shared" si="74"/>
        <v>#DIV/0!</v>
      </c>
      <c r="BY1871" s="215">
        <f t="shared" si="75"/>
        <v>0</v>
      </c>
    </row>
    <row r="1872" spans="76:77" x14ac:dyDescent="0.2">
      <c r="BX1872" s="214" t="e">
        <f t="shared" si="74"/>
        <v>#DIV/0!</v>
      </c>
      <c r="BY1872" s="215">
        <f t="shared" si="75"/>
        <v>0</v>
      </c>
    </row>
    <row r="1873" spans="76:77" x14ac:dyDescent="0.2">
      <c r="BX1873" s="214" t="e">
        <f t="shared" si="74"/>
        <v>#DIV/0!</v>
      </c>
      <c r="BY1873" s="215">
        <f t="shared" si="75"/>
        <v>0</v>
      </c>
    </row>
    <row r="1874" spans="76:77" x14ac:dyDescent="0.2">
      <c r="BX1874" s="214" t="e">
        <f t="shared" si="74"/>
        <v>#DIV/0!</v>
      </c>
      <c r="BY1874" s="215">
        <f t="shared" si="75"/>
        <v>0</v>
      </c>
    </row>
    <row r="1875" spans="76:77" x14ac:dyDescent="0.2">
      <c r="BX1875" s="214" t="e">
        <f t="shared" si="74"/>
        <v>#DIV/0!</v>
      </c>
      <c r="BY1875" s="215">
        <f t="shared" si="75"/>
        <v>0</v>
      </c>
    </row>
    <row r="1876" spans="76:77" x14ac:dyDescent="0.2">
      <c r="BX1876" s="214" t="e">
        <f t="shared" si="74"/>
        <v>#DIV/0!</v>
      </c>
      <c r="BY1876" s="215">
        <f t="shared" si="75"/>
        <v>0</v>
      </c>
    </row>
    <row r="1877" spans="76:77" x14ac:dyDescent="0.2">
      <c r="BX1877" s="214" t="e">
        <f t="shared" si="74"/>
        <v>#DIV/0!</v>
      </c>
      <c r="BY1877" s="215">
        <f t="shared" si="75"/>
        <v>0</v>
      </c>
    </row>
    <row r="1878" spans="76:77" x14ac:dyDescent="0.2">
      <c r="BX1878" s="214" t="e">
        <f t="shared" si="74"/>
        <v>#DIV/0!</v>
      </c>
      <c r="BY1878" s="215">
        <f t="shared" si="75"/>
        <v>0</v>
      </c>
    </row>
    <row r="1879" spans="76:77" x14ac:dyDescent="0.2">
      <c r="BX1879" s="214" t="e">
        <f t="shared" si="74"/>
        <v>#DIV/0!</v>
      </c>
      <c r="BY1879" s="215">
        <f t="shared" si="75"/>
        <v>0</v>
      </c>
    </row>
    <row r="1880" spans="76:77" x14ac:dyDescent="0.2">
      <c r="BX1880" s="214" t="e">
        <f t="shared" si="74"/>
        <v>#DIV/0!</v>
      </c>
      <c r="BY1880" s="215">
        <f t="shared" si="75"/>
        <v>0</v>
      </c>
    </row>
    <row r="1881" spans="76:77" x14ac:dyDescent="0.2">
      <c r="BX1881" s="214" t="e">
        <f t="shared" si="74"/>
        <v>#DIV/0!</v>
      </c>
      <c r="BY1881" s="215">
        <f t="shared" si="75"/>
        <v>0</v>
      </c>
    </row>
    <row r="1882" spans="76:77" x14ac:dyDescent="0.2">
      <c r="BX1882" s="214" t="e">
        <f t="shared" si="74"/>
        <v>#DIV/0!</v>
      </c>
      <c r="BY1882" s="215">
        <f t="shared" si="75"/>
        <v>0</v>
      </c>
    </row>
    <row r="1883" spans="76:77" x14ac:dyDescent="0.2">
      <c r="BX1883" s="214" t="e">
        <f t="shared" si="74"/>
        <v>#DIV/0!</v>
      </c>
      <c r="BY1883" s="215">
        <f t="shared" si="75"/>
        <v>0</v>
      </c>
    </row>
    <row r="1884" spans="76:77" x14ac:dyDescent="0.2">
      <c r="BX1884" s="214" t="e">
        <f t="shared" si="74"/>
        <v>#DIV/0!</v>
      </c>
      <c r="BY1884" s="215">
        <f t="shared" si="75"/>
        <v>0</v>
      </c>
    </row>
    <row r="1885" spans="76:77" x14ac:dyDescent="0.2">
      <c r="BX1885" s="214" t="e">
        <f t="shared" si="74"/>
        <v>#DIV/0!</v>
      </c>
      <c r="BY1885" s="215">
        <f t="shared" si="75"/>
        <v>0</v>
      </c>
    </row>
    <row r="1886" spans="76:77" x14ac:dyDescent="0.2">
      <c r="BX1886" s="214" t="e">
        <f t="shared" si="74"/>
        <v>#DIV/0!</v>
      </c>
      <c r="BY1886" s="215">
        <f t="shared" si="75"/>
        <v>0</v>
      </c>
    </row>
    <row r="1887" spans="76:77" x14ac:dyDescent="0.2">
      <c r="BX1887" s="214" t="e">
        <f t="shared" si="74"/>
        <v>#DIV/0!</v>
      </c>
      <c r="BY1887" s="215">
        <f t="shared" si="75"/>
        <v>0</v>
      </c>
    </row>
    <row r="1888" spans="76:77" x14ac:dyDescent="0.2">
      <c r="BX1888" s="214" t="e">
        <f t="shared" si="74"/>
        <v>#DIV/0!</v>
      </c>
      <c r="BY1888" s="215">
        <f t="shared" si="75"/>
        <v>0</v>
      </c>
    </row>
    <row r="1889" spans="76:77" x14ac:dyDescent="0.2">
      <c r="BX1889" s="214" t="e">
        <f t="shared" si="74"/>
        <v>#DIV/0!</v>
      </c>
      <c r="BY1889" s="215">
        <f t="shared" si="75"/>
        <v>0</v>
      </c>
    </row>
    <row r="1890" spans="76:77" x14ac:dyDescent="0.2">
      <c r="BX1890" s="214" t="e">
        <f t="shared" si="74"/>
        <v>#DIV/0!</v>
      </c>
      <c r="BY1890" s="215">
        <f t="shared" si="75"/>
        <v>0</v>
      </c>
    </row>
    <row r="1891" spans="76:77" x14ac:dyDescent="0.2">
      <c r="BX1891" s="214" t="e">
        <f t="shared" si="74"/>
        <v>#DIV/0!</v>
      </c>
      <c r="BY1891" s="215">
        <f t="shared" si="75"/>
        <v>0</v>
      </c>
    </row>
    <row r="1892" spans="76:77" x14ac:dyDescent="0.2">
      <c r="BX1892" s="214" t="e">
        <f t="shared" si="74"/>
        <v>#DIV/0!</v>
      </c>
      <c r="BY1892" s="215">
        <f t="shared" si="75"/>
        <v>0</v>
      </c>
    </row>
    <row r="1893" spans="76:77" x14ac:dyDescent="0.2">
      <c r="BX1893" s="214" t="e">
        <f t="shared" si="74"/>
        <v>#DIV/0!</v>
      </c>
      <c r="BY1893" s="215">
        <f t="shared" si="75"/>
        <v>0</v>
      </c>
    </row>
    <row r="1894" spans="76:77" x14ac:dyDescent="0.2">
      <c r="BX1894" s="214" t="e">
        <f t="shared" si="74"/>
        <v>#DIV/0!</v>
      </c>
      <c r="BY1894" s="215">
        <f t="shared" si="75"/>
        <v>0</v>
      </c>
    </row>
    <row r="1895" spans="76:77" x14ac:dyDescent="0.2">
      <c r="BX1895" s="214" t="e">
        <f t="shared" si="74"/>
        <v>#DIV/0!</v>
      </c>
      <c r="BY1895" s="215">
        <f t="shared" si="75"/>
        <v>0</v>
      </c>
    </row>
    <row r="1896" spans="76:77" x14ac:dyDescent="0.2">
      <c r="BX1896" s="214" t="e">
        <f t="shared" si="74"/>
        <v>#DIV/0!</v>
      </c>
      <c r="BY1896" s="215">
        <f t="shared" si="75"/>
        <v>0</v>
      </c>
    </row>
    <row r="1897" spans="76:77" x14ac:dyDescent="0.2">
      <c r="BX1897" s="214" t="e">
        <f t="shared" si="74"/>
        <v>#DIV/0!</v>
      </c>
      <c r="BY1897" s="215">
        <f t="shared" si="75"/>
        <v>0</v>
      </c>
    </row>
    <row r="1898" spans="76:77" x14ac:dyDescent="0.2">
      <c r="BX1898" s="214" t="e">
        <f t="shared" si="74"/>
        <v>#DIV/0!</v>
      </c>
      <c r="BY1898" s="215">
        <f t="shared" si="75"/>
        <v>0</v>
      </c>
    </row>
    <row r="1899" spans="76:77" x14ac:dyDescent="0.2">
      <c r="BX1899" s="214" t="e">
        <f t="shared" si="74"/>
        <v>#DIV/0!</v>
      </c>
      <c r="BY1899" s="215">
        <f t="shared" si="75"/>
        <v>0</v>
      </c>
    </row>
    <row r="1900" spans="76:77" x14ac:dyDescent="0.2">
      <c r="BX1900" s="214" t="e">
        <f t="shared" si="74"/>
        <v>#DIV/0!</v>
      </c>
      <c r="BY1900" s="215">
        <f t="shared" si="75"/>
        <v>0</v>
      </c>
    </row>
    <row r="1901" spans="76:77" x14ac:dyDescent="0.2">
      <c r="BX1901" s="214" t="e">
        <f t="shared" si="74"/>
        <v>#DIV/0!</v>
      </c>
      <c r="BY1901" s="215">
        <f t="shared" si="75"/>
        <v>0</v>
      </c>
    </row>
    <row r="1902" spans="76:77" x14ac:dyDescent="0.2">
      <c r="BX1902" s="214" t="e">
        <f t="shared" si="74"/>
        <v>#DIV/0!</v>
      </c>
      <c r="BY1902" s="215">
        <f t="shared" si="75"/>
        <v>0</v>
      </c>
    </row>
    <row r="1903" spans="76:77" x14ac:dyDescent="0.2">
      <c r="BX1903" s="214" t="e">
        <f t="shared" si="74"/>
        <v>#DIV/0!</v>
      </c>
      <c r="BY1903" s="215">
        <f t="shared" si="75"/>
        <v>0</v>
      </c>
    </row>
    <row r="1904" spans="76:77" x14ac:dyDescent="0.2">
      <c r="BX1904" s="214" t="e">
        <f t="shared" si="74"/>
        <v>#DIV/0!</v>
      </c>
      <c r="BY1904" s="215">
        <f t="shared" si="75"/>
        <v>0</v>
      </c>
    </row>
    <row r="1905" spans="76:77" x14ac:dyDescent="0.2">
      <c r="BX1905" s="214" t="e">
        <f t="shared" si="74"/>
        <v>#DIV/0!</v>
      </c>
      <c r="BY1905" s="215">
        <f t="shared" si="75"/>
        <v>0</v>
      </c>
    </row>
    <row r="1906" spans="76:77" x14ac:dyDescent="0.2">
      <c r="BX1906" s="214" t="e">
        <f t="shared" si="74"/>
        <v>#DIV/0!</v>
      </c>
      <c r="BY1906" s="215">
        <f t="shared" si="75"/>
        <v>0</v>
      </c>
    </row>
    <row r="1907" spans="76:77" x14ac:dyDescent="0.2">
      <c r="BX1907" s="214" t="e">
        <f t="shared" si="74"/>
        <v>#DIV/0!</v>
      </c>
      <c r="BY1907" s="215">
        <f t="shared" si="75"/>
        <v>0</v>
      </c>
    </row>
    <row r="1908" spans="76:77" x14ac:dyDescent="0.2">
      <c r="BX1908" s="214" t="e">
        <f t="shared" si="74"/>
        <v>#DIV/0!</v>
      </c>
      <c r="BY1908" s="215">
        <f t="shared" si="75"/>
        <v>0</v>
      </c>
    </row>
    <row r="1909" spans="76:77" x14ac:dyDescent="0.2">
      <c r="BX1909" s="214" t="e">
        <f t="shared" si="74"/>
        <v>#DIV/0!</v>
      </c>
      <c r="BY1909" s="215">
        <f t="shared" si="75"/>
        <v>0</v>
      </c>
    </row>
    <row r="1910" spans="76:77" x14ac:dyDescent="0.2">
      <c r="BX1910" s="214" t="e">
        <f t="shared" si="74"/>
        <v>#DIV/0!</v>
      </c>
      <c r="BY1910" s="215">
        <f t="shared" si="75"/>
        <v>0</v>
      </c>
    </row>
    <row r="1911" spans="76:77" x14ac:dyDescent="0.2">
      <c r="BX1911" s="214" t="e">
        <f t="shared" si="74"/>
        <v>#DIV/0!</v>
      </c>
      <c r="BY1911" s="215">
        <f t="shared" si="75"/>
        <v>0</v>
      </c>
    </row>
    <row r="1912" spans="76:77" x14ac:dyDescent="0.2">
      <c r="BX1912" s="214" t="e">
        <f t="shared" si="74"/>
        <v>#DIV/0!</v>
      </c>
      <c r="BY1912" s="215">
        <f t="shared" si="75"/>
        <v>0</v>
      </c>
    </row>
    <row r="1913" spans="76:77" x14ac:dyDescent="0.2">
      <c r="BX1913" s="214" t="e">
        <f t="shared" si="74"/>
        <v>#DIV/0!</v>
      </c>
      <c r="BY1913" s="215">
        <f t="shared" si="75"/>
        <v>0</v>
      </c>
    </row>
    <row r="1914" spans="76:77" x14ac:dyDescent="0.2">
      <c r="BX1914" s="214" t="e">
        <f t="shared" si="74"/>
        <v>#DIV/0!</v>
      </c>
      <c r="BY1914" s="215">
        <f t="shared" si="75"/>
        <v>0</v>
      </c>
    </row>
    <row r="1915" spans="76:77" x14ac:dyDescent="0.2">
      <c r="BX1915" s="214" t="e">
        <f t="shared" si="74"/>
        <v>#DIV/0!</v>
      </c>
      <c r="BY1915" s="215">
        <f t="shared" si="75"/>
        <v>0</v>
      </c>
    </row>
    <row r="1916" spans="76:77" x14ac:dyDescent="0.2">
      <c r="BX1916" s="214" t="e">
        <f t="shared" si="74"/>
        <v>#DIV/0!</v>
      </c>
      <c r="BY1916" s="215">
        <f t="shared" si="75"/>
        <v>0</v>
      </c>
    </row>
    <row r="1917" spans="76:77" x14ac:dyDescent="0.2">
      <c r="BX1917" s="214" t="e">
        <f t="shared" si="74"/>
        <v>#DIV/0!</v>
      </c>
      <c r="BY1917" s="215">
        <f t="shared" si="75"/>
        <v>0</v>
      </c>
    </row>
    <row r="1918" spans="76:77" x14ac:dyDescent="0.2">
      <c r="BX1918" s="214" t="e">
        <f t="shared" si="74"/>
        <v>#DIV/0!</v>
      </c>
      <c r="BY1918" s="215">
        <f t="shared" si="75"/>
        <v>0</v>
      </c>
    </row>
    <row r="1919" spans="76:77" x14ac:dyDescent="0.2">
      <c r="BX1919" s="214" t="e">
        <f t="shared" si="74"/>
        <v>#DIV/0!</v>
      </c>
      <c r="BY1919" s="215">
        <f t="shared" si="75"/>
        <v>0</v>
      </c>
    </row>
    <row r="1920" spans="76:77" x14ac:dyDescent="0.2">
      <c r="BX1920" s="214" t="e">
        <f t="shared" si="74"/>
        <v>#DIV/0!</v>
      </c>
      <c r="BY1920" s="215">
        <f t="shared" si="75"/>
        <v>0</v>
      </c>
    </row>
    <row r="1921" spans="76:77" x14ac:dyDescent="0.2">
      <c r="BX1921" s="214" t="e">
        <f t="shared" si="74"/>
        <v>#DIV/0!</v>
      </c>
      <c r="BY1921" s="215">
        <f t="shared" si="75"/>
        <v>0</v>
      </c>
    </row>
    <row r="1922" spans="76:77" x14ac:dyDescent="0.2">
      <c r="BX1922" s="214" t="e">
        <f t="shared" si="74"/>
        <v>#DIV/0!</v>
      </c>
      <c r="BY1922" s="215">
        <f t="shared" si="75"/>
        <v>0</v>
      </c>
    </row>
    <row r="1923" spans="76:77" x14ac:dyDescent="0.2">
      <c r="BX1923" s="214" t="e">
        <f t="shared" si="74"/>
        <v>#DIV/0!</v>
      </c>
      <c r="BY1923" s="215">
        <f t="shared" si="75"/>
        <v>0</v>
      </c>
    </row>
    <row r="1924" spans="76:77" x14ac:dyDescent="0.2">
      <c r="BX1924" s="214" t="e">
        <f t="shared" si="74"/>
        <v>#DIV/0!</v>
      </c>
      <c r="BY1924" s="215">
        <f t="shared" si="75"/>
        <v>0</v>
      </c>
    </row>
    <row r="1925" spans="76:77" x14ac:dyDescent="0.2">
      <c r="BX1925" s="214" t="e">
        <f t="shared" si="74"/>
        <v>#DIV/0!</v>
      </c>
      <c r="BY1925" s="215">
        <f t="shared" si="75"/>
        <v>0</v>
      </c>
    </row>
    <row r="1926" spans="76:77" x14ac:dyDescent="0.2">
      <c r="BX1926" s="214" t="e">
        <f t="shared" si="74"/>
        <v>#DIV/0!</v>
      </c>
      <c r="BY1926" s="215">
        <f t="shared" si="75"/>
        <v>0</v>
      </c>
    </row>
    <row r="1927" spans="76:77" x14ac:dyDescent="0.2">
      <c r="BX1927" s="214" t="e">
        <f t="shared" si="74"/>
        <v>#DIV/0!</v>
      </c>
      <c r="BY1927" s="215">
        <f t="shared" si="75"/>
        <v>0</v>
      </c>
    </row>
    <row r="1928" spans="76:77" x14ac:dyDescent="0.2">
      <c r="BX1928" s="214" t="e">
        <f t="shared" si="74"/>
        <v>#DIV/0!</v>
      </c>
      <c r="BY1928" s="215">
        <f t="shared" si="75"/>
        <v>0</v>
      </c>
    </row>
    <row r="1929" spans="76:77" x14ac:dyDescent="0.2">
      <c r="BX1929" s="214" t="e">
        <f t="shared" si="74"/>
        <v>#DIV/0!</v>
      </c>
      <c r="BY1929" s="215">
        <f t="shared" si="75"/>
        <v>0</v>
      </c>
    </row>
    <row r="1930" spans="76:77" x14ac:dyDescent="0.2">
      <c r="BX1930" s="214" t="e">
        <f t="shared" si="74"/>
        <v>#DIV/0!</v>
      </c>
      <c r="BY1930" s="215">
        <f t="shared" si="75"/>
        <v>0</v>
      </c>
    </row>
    <row r="1931" spans="76:77" x14ac:dyDescent="0.2">
      <c r="BX1931" s="214" t="e">
        <f t="shared" si="74"/>
        <v>#DIV/0!</v>
      </c>
      <c r="BY1931" s="215">
        <f t="shared" si="75"/>
        <v>0</v>
      </c>
    </row>
    <row r="1932" spans="76:77" x14ac:dyDescent="0.2">
      <c r="BX1932" s="214" t="e">
        <f t="shared" si="74"/>
        <v>#DIV/0!</v>
      </c>
      <c r="BY1932" s="215">
        <f t="shared" si="75"/>
        <v>0</v>
      </c>
    </row>
    <row r="1933" spans="76:77" x14ac:dyDescent="0.2">
      <c r="BX1933" s="214" t="e">
        <f t="shared" ref="BX1933:BX1996" si="76">BY1933/BV1933</f>
        <v>#DIV/0!</v>
      </c>
      <c r="BY1933" s="215">
        <f t="shared" si="75"/>
        <v>0</v>
      </c>
    </row>
    <row r="1934" spans="76:77" x14ac:dyDescent="0.2">
      <c r="BX1934" s="214" t="e">
        <f t="shared" si="76"/>
        <v>#DIV/0!</v>
      </c>
      <c r="BY1934" s="215">
        <f t="shared" ref="BY1934:BY1997" si="77">BY1933+BW1934*(BV1934-BV1933)</f>
        <v>0</v>
      </c>
    </row>
    <row r="1935" spans="76:77" x14ac:dyDescent="0.2">
      <c r="BX1935" s="214" t="e">
        <f t="shared" si="76"/>
        <v>#DIV/0!</v>
      </c>
      <c r="BY1935" s="215">
        <f t="shared" si="77"/>
        <v>0</v>
      </c>
    </row>
    <row r="1936" spans="76:77" x14ac:dyDescent="0.2">
      <c r="BX1936" s="214" t="e">
        <f t="shared" si="76"/>
        <v>#DIV/0!</v>
      </c>
      <c r="BY1936" s="215">
        <f t="shared" si="77"/>
        <v>0</v>
      </c>
    </row>
    <row r="1937" spans="76:77" x14ac:dyDescent="0.2">
      <c r="BX1937" s="214" t="e">
        <f t="shared" si="76"/>
        <v>#DIV/0!</v>
      </c>
      <c r="BY1937" s="215">
        <f t="shared" si="77"/>
        <v>0</v>
      </c>
    </row>
    <row r="1938" spans="76:77" x14ac:dyDescent="0.2">
      <c r="BX1938" s="214" t="e">
        <f t="shared" si="76"/>
        <v>#DIV/0!</v>
      </c>
      <c r="BY1938" s="215">
        <f t="shared" si="77"/>
        <v>0</v>
      </c>
    </row>
    <row r="1939" spans="76:77" x14ac:dyDescent="0.2">
      <c r="BX1939" s="214" t="e">
        <f t="shared" si="76"/>
        <v>#DIV/0!</v>
      </c>
      <c r="BY1939" s="215">
        <f t="shared" si="77"/>
        <v>0</v>
      </c>
    </row>
    <row r="1940" spans="76:77" x14ac:dyDescent="0.2">
      <c r="BX1940" s="214" t="e">
        <f t="shared" si="76"/>
        <v>#DIV/0!</v>
      </c>
      <c r="BY1940" s="215">
        <f t="shared" si="77"/>
        <v>0</v>
      </c>
    </row>
    <row r="1941" spans="76:77" x14ac:dyDescent="0.2">
      <c r="BX1941" s="214" t="e">
        <f t="shared" si="76"/>
        <v>#DIV/0!</v>
      </c>
      <c r="BY1941" s="215">
        <f t="shared" si="77"/>
        <v>0</v>
      </c>
    </row>
    <row r="1942" spans="76:77" x14ac:dyDescent="0.2">
      <c r="BX1942" s="214" t="e">
        <f t="shared" si="76"/>
        <v>#DIV/0!</v>
      </c>
      <c r="BY1942" s="215">
        <f t="shared" si="77"/>
        <v>0</v>
      </c>
    </row>
    <row r="1943" spans="76:77" x14ac:dyDescent="0.2">
      <c r="BX1943" s="214" t="e">
        <f t="shared" si="76"/>
        <v>#DIV/0!</v>
      </c>
      <c r="BY1943" s="215">
        <f t="shared" si="77"/>
        <v>0</v>
      </c>
    </row>
    <row r="1944" spans="76:77" x14ac:dyDescent="0.2">
      <c r="BX1944" s="214" t="e">
        <f t="shared" si="76"/>
        <v>#DIV/0!</v>
      </c>
      <c r="BY1944" s="215">
        <f t="shared" si="77"/>
        <v>0</v>
      </c>
    </row>
    <row r="1945" spans="76:77" x14ac:dyDescent="0.2">
      <c r="BX1945" s="214" t="e">
        <f t="shared" si="76"/>
        <v>#DIV/0!</v>
      </c>
      <c r="BY1945" s="215">
        <f t="shared" si="77"/>
        <v>0</v>
      </c>
    </row>
    <row r="1946" spans="76:77" x14ac:dyDescent="0.2">
      <c r="BX1946" s="214" t="e">
        <f t="shared" si="76"/>
        <v>#DIV/0!</v>
      </c>
      <c r="BY1946" s="215">
        <f t="shared" si="77"/>
        <v>0</v>
      </c>
    </row>
    <row r="1947" spans="76:77" x14ac:dyDescent="0.2">
      <c r="BX1947" s="214" t="e">
        <f t="shared" si="76"/>
        <v>#DIV/0!</v>
      </c>
      <c r="BY1947" s="215">
        <f t="shared" si="77"/>
        <v>0</v>
      </c>
    </row>
    <row r="1948" spans="76:77" x14ac:dyDescent="0.2">
      <c r="BX1948" s="214" t="e">
        <f t="shared" si="76"/>
        <v>#DIV/0!</v>
      </c>
      <c r="BY1948" s="215">
        <f t="shared" si="77"/>
        <v>0</v>
      </c>
    </row>
    <row r="1949" spans="76:77" x14ac:dyDescent="0.2">
      <c r="BX1949" s="214" t="e">
        <f t="shared" si="76"/>
        <v>#DIV/0!</v>
      </c>
      <c r="BY1949" s="215">
        <f t="shared" si="77"/>
        <v>0</v>
      </c>
    </row>
    <row r="1950" spans="76:77" x14ac:dyDescent="0.2">
      <c r="BX1950" s="214" t="e">
        <f t="shared" si="76"/>
        <v>#DIV/0!</v>
      </c>
      <c r="BY1950" s="215">
        <f t="shared" si="77"/>
        <v>0</v>
      </c>
    </row>
    <row r="1951" spans="76:77" x14ac:dyDescent="0.2">
      <c r="BX1951" s="214" t="e">
        <f t="shared" si="76"/>
        <v>#DIV/0!</v>
      </c>
      <c r="BY1951" s="215">
        <f t="shared" si="77"/>
        <v>0</v>
      </c>
    </row>
    <row r="1952" spans="76:77" x14ac:dyDescent="0.2">
      <c r="BX1952" s="214" t="e">
        <f t="shared" si="76"/>
        <v>#DIV/0!</v>
      </c>
      <c r="BY1952" s="215">
        <f t="shared" si="77"/>
        <v>0</v>
      </c>
    </row>
    <row r="1953" spans="76:77" x14ac:dyDescent="0.2">
      <c r="BX1953" s="214" t="e">
        <f t="shared" si="76"/>
        <v>#DIV/0!</v>
      </c>
      <c r="BY1953" s="215">
        <f t="shared" si="77"/>
        <v>0</v>
      </c>
    </row>
    <row r="1954" spans="76:77" x14ac:dyDescent="0.2">
      <c r="BX1954" s="214" t="e">
        <f t="shared" si="76"/>
        <v>#DIV/0!</v>
      </c>
      <c r="BY1954" s="215">
        <f t="shared" si="77"/>
        <v>0</v>
      </c>
    </row>
    <row r="1955" spans="76:77" x14ac:dyDescent="0.2">
      <c r="BX1955" s="214" t="e">
        <f t="shared" si="76"/>
        <v>#DIV/0!</v>
      </c>
      <c r="BY1955" s="215">
        <f t="shared" si="77"/>
        <v>0</v>
      </c>
    </row>
    <row r="1956" spans="76:77" x14ac:dyDescent="0.2">
      <c r="BX1956" s="214" t="e">
        <f t="shared" si="76"/>
        <v>#DIV/0!</v>
      </c>
      <c r="BY1956" s="215">
        <f t="shared" si="77"/>
        <v>0</v>
      </c>
    </row>
    <row r="1957" spans="76:77" x14ac:dyDescent="0.2">
      <c r="BX1957" s="214" t="e">
        <f t="shared" si="76"/>
        <v>#DIV/0!</v>
      </c>
      <c r="BY1957" s="215">
        <f t="shared" si="77"/>
        <v>0</v>
      </c>
    </row>
    <row r="1958" spans="76:77" x14ac:dyDescent="0.2">
      <c r="BX1958" s="214" t="e">
        <f t="shared" si="76"/>
        <v>#DIV/0!</v>
      </c>
      <c r="BY1958" s="215">
        <f t="shared" si="77"/>
        <v>0</v>
      </c>
    </row>
    <row r="1959" spans="76:77" x14ac:dyDescent="0.2">
      <c r="BX1959" s="214" t="e">
        <f t="shared" si="76"/>
        <v>#DIV/0!</v>
      </c>
      <c r="BY1959" s="215">
        <f t="shared" si="77"/>
        <v>0</v>
      </c>
    </row>
    <row r="1960" spans="76:77" x14ac:dyDescent="0.2">
      <c r="BX1960" s="214" t="e">
        <f t="shared" si="76"/>
        <v>#DIV/0!</v>
      </c>
      <c r="BY1960" s="215">
        <f t="shared" si="77"/>
        <v>0</v>
      </c>
    </row>
    <row r="1961" spans="76:77" x14ac:dyDescent="0.2">
      <c r="BX1961" s="214" t="e">
        <f t="shared" si="76"/>
        <v>#DIV/0!</v>
      </c>
      <c r="BY1961" s="215">
        <f t="shared" si="77"/>
        <v>0</v>
      </c>
    </row>
    <row r="1962" spans="76:77" x14ac:dyDescent="0.2">
      <c r="BX1962" s="214" t="e">
        <f t="shared" si="76"/>
        <v>#DIV/0!</v>
      </c>
      <c r="BY1962" s="215">
        <f t="shared" si="77"/>
        <v>0</v>
      </c>
    </row>
    <row r="1963" spans="76:77" x14ac:dyDescent="0.2">
      <c r="BX1963" s="214" t="e">
        <f t="shared" si="76"/>
        <v>#DIV/0!</v>
      </c>
      <c r="BY1963" s="215">
        <f t="shared" si="77"/>
        <v>0</v>
      </c>
    </row>
    <row r="1964" spans="76:77" x14ac:dyDescent="0.2">
      <c r="BX1964" s="214" t="e">
        <f t="shared" si="76"/>
        <v>#DIV/0!</v>
      </c>
      <c r="BY1964" s="215">
        <f t="shared" si="77"/>
        <v>0</v>
      </c>
    </row>
    <row r="1965" spans="76:77" x14ac:dyDescent="0.2">
      <c r="BX1965" s="214" t="e">
        <f t="shared" si="76"/>
        <v>#DIV/0!</v>
      </c>
      <c r="BY1965" s="215">
        <f t="shared" si="77"/>
        <v>0</v>
      </c>
    </row>
    <row r="1966" spans="76:77" x14ac:dyDescent="0.2">
      <c r="BX1966" s="214" t="e">
        <f t="shared" si="76"/>
        <v>#DIV/0!</v>
      </c>
      <c r="BY1966" s="215">
        <f t="shared" si="77"/>
        <v>0</v>
      </c>
    </row>
    <row r="1967" spans="76:77" x14ac:dyDescent="0.2">
      <c r="BX1967" s="214" t="e">
        <f t="shared" si="76"/>
        <v>#DIV/0!</v>
      </c>
      <c r="BY1967" s="215">
        <f t="shared" si="77"/>
        <v>0</v>
      </c>
    </row>
    <row r="1968" spans="76:77" x14ac:dyDescent="0.2">
      <c r="BX1968" s="214" t="e">
        <f t="shared" si="76"/>
        <v>#DIV/0!</v>
      </c>
      <c r="BY1968" s="215">
        <f t="shared" si="77"/>
        <v>0</v>
      </c>
    </row>
    <row r="1969" spans="76:77" x14ac:dyDescent="0.2">
      <c r="BX1969" s="214" t="e">
        <f t="shared" si="76"/>
        <v>#DIV/0!</v>
      </c>
      <c r="BY1969" s="215">
        <f t="shared" si="77"/>
        <v>0</v>
      </c>
    </row>
    <row r="1970" spans="76:77" x14ac:dyDescent="0.2">
      <c r="BX1970" s="214" t="e">
        <f t="shared" si="76"/>
        <v>#DIV/0!</v>
      </c>
      <c r="BY1970" s="215">
        <f t="shared" si="77"/>
        <v>0</v>
      </c>
    </row>
    <row r="1971" spans="76:77" x14ac:dyDescent="0.2">
      <c r="BX1971" s="214" t="e">
        <f t="shared" si="76"/>
        <v>#DIV/0!</v>
      </c>
      <c r="BY1971" s="215">
        <f t="shared" si="77"/>
        <v>0</v>
      </c>
    </row>
    <row r="1972" spans="76:77" x14ac:dyDescent="0.2">
      <c r="BX1972" s="214" t="e">
        <f t="shared" si="76"/>
        <v>#DIV/0!</v>
      </c>
      <c r="BY1972" s="215">
        <f t="shared" si="77"/>
        <v>0</v>
      </c>
    </row>
    <row r="1973" spans="76:77" x14ac:dyDescent="0.2">
      <c r="BX1973" s="214" t="e">
        <f t="shared" si="76"/>
        <v>#DIV/0!</v>
      </c>
      <c r="BY1973" s="215">
        <f t="shared" si="77"/>
        <v>0</v>
      </c>
    </row>
    <row r="1974" spans="76:77" x14ac:dyDescent="0.2">
      <c r="BX1974" s="214" t="e">
        <f t="shared" si="76"/>
        <v>#DIV/0!</v>
      </c>
      <c r="BY1974" s="215">
        <f t="shared" si="77"/>
        <v>0</v>
      </c>
    </row>
    <row r="1975" spans="76:77" x14ac:dyDescent="0.2">
      <c r="BX1975" s="214" t="e">
        <f t="shared" si="76"/>
        <v>#DIV/0!</v>
      </c>
      <c r="BY1975" s="215">
        <f t="shared" si="77"/>
        <v>0</v>
      </c>
    </row>
    <row r="1976" spans="76:77" x14ac:dyDescent="0.2">
      <c r="BX1976" s="214" t="e">
        <f t="shared" si="76"/>
        <v>#DIV/0!</v>
      </c>
      <c r="BY1976" s="215">
        <f t="shared" si="77"/>
        <v>0</v>
      </c>
    </row>
    <row r="1977" spans="76:77" x14ac:dyDescent="0.2">
      <c r="BX1977" s="214" t="e">
        <f t="shared" si="76"/>
        <v>#DIV/0!</v>
      </c>
      <c r="BY1977" s="215">
        <f t="shared" si="77"/>
        <v>0</v>
      </c>
    </row>
    <row r="1978" spans="76:77" x14ac:dyDescent="0.2">
      <c r="BX1978" s="214" t="e">
        <f t="shared" si="76"/>
        <v>#DIV/0!</v>
      </c>
      <c r="BY1978" s="215">
        <f t="shared" si="77"/>
        <v>0</v>
      </c>
    </row>
    <row r="1979" spans="76:77" x14ac:dyDescent="0.2">
      <c r="BX1979" s="214" t="e">
        <f t="shared" si="76"/>
        <v>#DIV/0!</v>
      </c>
      <c r="BY1979" s="215">
        <f t="shared" si="77"/>
        <v>0</v>
      </c>
    </row>
    <row r="1980" spans="76:77" x14ac:dyDescent="0.2">
      <c r="BX1980" s="214" t="e">
        <f t="shared" si="76"/>
        <v>#DIV/0!</v>
      </c>
      <c r="BY1980" s="215">
        <f t="shared" si="77"/>
        <v>0</v>
      </c>
    </row>
    <row r="1981" spans="76:77" x14ac:dyDescent="0.2">
      <c r="BX1981" s="214" t="e">
        <f t="shared" si="76"/>
        <v>#DIV/0!</v>
      </c>
      <c r="BY1981" s="215">
        <f t="shared" si="77"/>
        <v>0</v>
      </c>
    </row>
    <row r="1982" spans="76:77" x14ac:dyDescent="0.2">
      <c r="BX1982" s="214" t="e">
        <f t="shared" si="76"/>
        <v>#DIV/0!</v>
      </c>
      <c r="BY1982" s="215">
        <f t="shared" si="77"/>
        <v>0</v>
      </c>
    </row>
    <row r="1983" spans="76:77" x14ac:dyDescent="0.2">
      <c r="BX1983" s="214" t="e">
        <f t="shared" si="76"/>
        <v>#DIV/0!</v>
      </c>
      <c r="BY1983" s="215">
        <f t="shared" si="77"/>
        <v>0</v>
      </c>
    </row>
    <row r="1984" spans="76:77" x14ac:dyDescent="0.2">
      <c r="BX1984" s="214" t="e">
        <f t="shared" si="76"/>
        <v>#DIV/0!</v>
      </c>
      <c r="BY1984" s="215">
        <f t="shared" si="77"/>
        <v>0</v>
      </c>
    </row>
    <row r="1985" spans="76:77" x14ac:dyDescent="0.2">
      <c r="BX1985" s="214" t="e">
        <f t="shared" si="76"/>
        <v>#DIV/0!</v>
      </c>
      <c r="BY1985" s="215">
        <f t="shared" si="77"/>
        <v>0</v>
      </c>
    </row>
    <row r="1986" spans="76:77" x14ac:dyDescent="0.2">
      <c r="BX1986" s="214" t="e">
        <f t="shared" si="76"/>
        <v>#DIV/0!</v>
      </c>
      <c r="BY1986" s="215">
        <f t="shared" si="77"/>
        <v>0</v>
      </c>
    </row>
    <row r="1987" spans="76:77" x14ac:dyDescent="0.2">
      <c r="BX1987" s="214" t="e">
        <f t="shared" si="76"/>
        <v>#DIV/0!</v>
      </c>
      <c r="BY1987" s="215">
        <f t="shared" si="77"/>
        <v>0</v>
      </c>
    </row>
    <row r="1988" spans="76:77" x14ac:dyDescent="0.2">
      <c r="BX1988" s="214" t="e">
        <f t="shared" si="76"/>
        <v>#DIV/0!</v>
      </c>
      <c r="BY1988" s="215">
        <f t="shared" si="77"/>
        <v>0</v>
      </c>
    </row>
    <row r="1989" spans="76:77" x14ac:dyDescent="0.2">
      <c r="BX1989" s="214" t="e">
        <f t="shared" si="76"/>
        <v>#DIV/0!</v>
      </c>
      <c r="BY1989" s="215">
        <f t="shared" si="77"/>
        <v>0</v>
      </c>
    </row>
    <row r="1990" spans="76:77" x14ac:dyDescent="0.2">
      <c r="BX1990" s="214" t="e">
        <f t="shared" si="76"/>
        <v>#DIV/0!</v>
      </c>
      <c r="BY1990" s="215">
        <f t="shared" si="77"/>
        <v>0</v>
      </c>
    </row>
    <row r="1991" spans="76:77" x14ac:dyDescent="0.2">
      <c r="BX1991" s="214" t="e">
        <f t="shared" si="76"/>
        <v>#DIV/0!</v>
      </c>
      <c r="BY1991" s="215">
        <f t="shared" si="77"/>
        <v>0</v>
      </c>
    </row>
    <row r="1992" spans="76:77" x14ac:dyDescent="0.2">
      <c r="BX1992" s="214" t="e">
        <f t="shared" si="76"/>
        <v>#DIV/0!</v>
      </c>
      <c r="BY1992" s="215">
        <f t="shared" si="77"/>
        <v>0</v>
      </c>
    </row>
    <row r="1993" spans="76:77" x14ac:dyDescent="0.2">
      <c r="BX1993" s="214" t="e">
        <f t="shared" si="76"/>
        <v>#DIV/0!</v>
      </c>
      <c r="BY1993" s="215">
        <f t="shared" si="77"/>
        <v>0</v>
      </c>
    </row>
    <row r="1994" spans="76:77" x14ac:dyDescent="0.2">
      <c r="BX1994" s="214" t="e">
        <f t="shared" si="76"/>
        <v>#DIV/0!</v>
      </c>
      <c r="BY1994" s="215">
        <f t="shared" si="77"/>
        <v>0</v>
      </c>
    </row>
    <row r="1995" spans="76:77" x14ac:dyDescent="0.2">
      <c r="BX1995" s="214" t="e">
        <f t="shared" si="76"/>
        <v>#DIV/0!</v>
      </c>
      <c r="BY1995" s="215">
        <f t="shared" si="77"/>
        <v>0</v>
      </c>
    </row>
    <row r="1996" spans="76:77" x14ac:dyDescent="0.2">
      <c r="BX1996" s="214" t="e">
        <f t="shared" si="76"/>
        <v>#DIV/0!</v>
      </c>
      <c r="BY1996" s="215">
        <f t="shared" si="77"/>
        <v>0</v>
      </c>
    </row>
    <row r="1997" spans="76:77" x14ac:dyDescent="0.2">
      <c r="BX1997" s="214" t="e">
        <f t="shared" ref="BX1997:BX2060" si="78">BY1997/BV1997</f>
        <v>#DIV/0!</v>
      </c>
      <c r="BY1997" s="215">
        <f t="shared" si="77"/>
        <v>0</v>
      </c>
    </row>
    <row r="1998" spans="76:77" x14ac:dyDescent="0.2">
      <c r="BX1998" s="214" t="e">
        <f t="shared" si="78"/>
        <v>#DIV/0!</v>
      </c>
      <c r="BY1998" s="215">
        <f t="shared" ref="BY1998:BY2061" si="79">BY1997+BW1998*(BV1998-BV1997)</f>
        <v>0</v>
      </c>
    </row>
    <row r="1999" spans="76:77" x14ac:dyDescent="0.2">
      <c r="BX1999" s="214" t="e">
        <f t="shared" si="78"/>
        <v>#DIV/0!</v>
      </c>
      <c r="BY1999" s="215">
        <f t="shared" si="79"/>
        <v>0</v>
      </c>
    </row>
    <row r="2000" spans="76:77" x14ac:dyDescent="0.2">
      <c r="BX2000" s="214" t="e">
        <f t="shared" si="78"/>
        <v>#DIV/0!</v>
      </c>
      <c r="BY2000" s="215">
        <f t="shared" si="79"/>
        <v>0</v>
      </c>
    </row>
    <row r="2001" spans="76:77" x14ac:dyDescent="0.2">
      <c r="BX2001" s="214" t="e">
        <f t="shared" si="78"/>
        <v>#DIV/0!</v>
      </c>
      <c r="BY2001" s="215">
        <f t="shared" si="79"/>
        <v>0</v>
      </c>
    </row>
    <row r="2002" spans="76:77" x14ac:dyDescent="0.2">
      <c r="BX2002" s="214" t="e">
        <f t="shared" si="78"/>
        <v>#DIV/0!</v>
      </c>
      <c r="BY2002" s="215">
        <f t="shared" si="79"/>
        <v>0</v>
      </c>
    </row>
    <row r="2003" spans="76:77" x14ac:dyDescent="0.2">
      <c r="BX2003" s="214" t="e">
        <f t="shared" si="78"/>
        <v>#DIV/0!</v>
      </c>
      <c r="BY2003" s="215">
        <f t="shared" si="79"/>
        <v>0</v>
      </c>
    </row>
    <row r="2004" spans="76:77" x14ac:dyDescent="0.2">
      <c r="BX2004" s="214" t="e">
        <f t="shared" si="78"/>
        <v>#DIV/0!</v>
      </c>
      <c r="BY2004" s="215">
        <f t="shared" si="79"/>
        <v>0</v>
      </c>
    </row>
    <row r="2005" spans="76:77" x14ac:dyDescent="0.2">
      <c r="BX2005" s="214" t="e">
        <f t="shared" si="78"/>
        <v>#DIV/0!</v>
      </c>
      <c r="BY2005" s="215">
        <f t="shared" si="79"/>
        <v>0</v>
      </c>
    </row>
    <row r="2006" spans="76:77" x14ac:dyDescent="0.2">
      <c r="BX2006" s="214" t="e">
        <f t="shared" si="78"/>
        <v>#DIV/0!</v>
      </c>
      <c r="BY2006" s="215">
        <f t="shared" si="79"/>
        <v>0</v>
      </c>
    </row>
    <row r="2007" spans="76:77" x14ac:dyDescent="0.2">
      <c r="BX2007" s="214" t="e">
        <f t="shared" si="78"/>
        <v>#DIV/0!</v>
      </c>
      <c r="BY2007" s="215">
        <f t="shared" si="79"/>
        <v>0</v>
      </c>
    </row>
    <row r="2008" spans="76:77" x14ac:dyDescent="0.2">
      <c r="BX2008" s="214" t="e">
        <f t="shared" si="78"/>
        <v>#DIV/0!</v>
      </c>
      <c r="BY2008" s="215">
        <f t="shared" si="79"/>
        <v>0</v>
      </c>
    </row>
    <row r="2009" spans="76:77" x14ac:dyDescent="0.2">
      <c r="BX2009" s="214" t="e">
        <f t="shared" si="78"/>
        <v>#DIV/0!</v>
      </c>
      <c r="BY2009" s="215">
        <f t="shared" si="79"/>
        <v>0</v>
      </c>
    </row>
    <row r="2010" spans="76:77" x14ac:dyDescent="0.2">
      <c r="BX2010" s="214" t="e">
        <f t="shared" si="78"/>
        <v>#DIV/0!</v>
      </c>
      <c r="BY2010" s="215">
        <f t="shared" si="79"/>
        <v>0</v>
      </c>
    </row>
    <row r="2011" spans="76:77" x14ac:dyDescent="0.2">
      <c r="BX2011" s="214" t="e">
        <f t="shared" si="78"/>
        <v>#DIV/0!</v>
      </c>
      <c r="BY2011" s="215">
        <f t="shared" si="79"/>
        <v>0</v>
      </c>
    </row>
    <row r="2012" spans="76:77" x14ac:dyDescent="0.2">
      <c r="BX2012" s="214" t="e">
        <f t="shared" si="78"/>
        <v>#DIV/0!</v>
      </c>
      <c r="BY2012" s="215">
        <f t="shared" si="79"/>
        <v>0</v>
      </c>
    </row>
    <row r="2013" spans="76:77" x14ac:dyDescent="0.2">
      <c r="BX2013" s="214" t="e">
        <f t="shared" si="78"/>
        <v>#DIV/0!</v>
      </c>
      <c r="BY2013" s="215">
        <f t="shared" si="79"/>
        <v>0</v>
      </c>
    </row>
    <row r="2014" spans="76:77" x14ac:dyDescent="0.2">
      <c r="BX2014" s="214" t="e">
        <f t="shared" si="78"/>
        <v>#DIV/0!</v>
      </c>
      <c r="BY2014" s="215">
        <f t="shared" si="79"/>
        <v>0</v>
      </c>
    </row>
    <row r="2015" spans="76:77" x14ac:dyDescent="0.2">
      <c r="BX2015" s="214" t="e">
        <f t="shared" si="78"/>
        <v>#DIV/0!</v>
      </c>
      <c r="BY2015" s="215">
        <f t="shared" si="79"/>
        <v>0</v>
      </c>
    </row>
    <row r="2016" spans="76:77" x14ac:dyDescent="0.2">
      <c r="BX2016" s="214" t="e">
        <f t="shared" si="78"/>
        <v>#DIV/0!</v>
      </c>
      <c r="BY2016" s="215">
        <f t="shared" si="79"/>
        <v>0</v>
      </c>
    </row>
    <row r="2017" spans="76:77" x14ac:dyDescent="0.2">
      <c r="BX2017" s="214" t="e">
        <f t="shared" si="78"/>
        <v>#DIV/0!</v>
      </c>
      <c r="BY2017" s="215">
        <f t="shared" si="79"/>
        <v>0</v>
      </c>
    </row>
    <row r="2018" spans="76:77" x14ac:dyDescent="0.2">
      <c r="BX2018" s="214" t="e">
        <f t="shared" si="78"/>
        <v>#DIV/0!</v>
      </c>
      <c r="BY2018" s="215">
        <f t="shared" si="79"/>
        <v>0</v>
      </c>
    </row>
    <row r="2019" spans="76:77" x14ac:dyDescent="0.2">
      <c r="BX2019" s="214" t="e">
        <f t="shared" si="78"/>
        <v>#DIV/0!</v>
      </c>
      <c r="BY2019" s="215">
        <f t="shared" si="79"/>
        <v>0</v>
      </c>
    </row>
    <row r="2020" spans="76:77" x14ac:dyDescent="0.2">
      <c r="BX2020" s="214" t="e">
        <f t="shared" si="78"/>
        <v>#DIV/0!</v>
      </c>
      <c r="BY2020" s="215">
        <f t="shared" si="79"/>
        <v>0</v>
      </c>
    </row>
    <row r="2021" spans="76:77" x14ac:dyDescent="0.2">
      <c r="BX2021" s="214" t="e">
        <f t="shared" si="78"/>
        <v>#DIV/0!</v>
      </c>
      <c r="BY2021" s="215">
        <f t="shared" si="79"/>
        <v>0</v>
      </c>
    </row>
    <row r="2022" spans="76:77" x14ac:dyDescent="0.2">
      <c r="BX2022" s="214" t="e">
        <f t="shared" si="78"/>
        <v>#DIV/0!</v>
      </c>
      <c r="BY2022" s="215">
        <f t="shared" si="79"/>
        <v>0</v>
      </c>
    </row>
    <row r="2023" spans="76:77" x14ac:dyDescent="0.2">
      <c r="BX2023" s="214" t="e">
        <f t="shared" si="78"/>
        <v>#DIV/0!</v>
      </c>
      <c r="BY2023" s="215">
        <f t="shared" si="79"/>
        <v>0</v>
      </c>
    </row>
    <row r="2024" spans="76:77" x14ac:dyDescent="0.2">
      <c r="BX2024" s="214" t="e">
        <f t="shared" si="78"/>
        <v>#DIV/0!</v>
      </c>
      <c r="BY2024" s="215">
        <f t="shared" si="79"/>
        <v>0</v>
      </c>
    </row>
    <row r="2025" spans="76:77" x14ac:dyDescent="0.2">
      <c r="BX2025" s="214" t="e">
        <f t="shared" si="78"/>
        <v>#DIV/0!</v>
      </c>
      <c r="BY2025" s="215">
        <f t="shared" si="79"/>
        <v>0</v>
      </c>
    </row>
    <row r="2026" spans="76:77" x14ac:dyDescent="0.2">
      <c r="BX2026" s="214" t="e">
        <f t="shared" si="78"/>
        <v>#DIV/0!</v>
      </c>
      <c r="BY2026" s="215">
        <f t="shared" si="79"/>
        <v>0</v>
      </c>
    </row>
    <row r="2027" spans="76:77" x14ac:dyDescent="0.2">
      <c r="BX2027" s="214" t="e">
        <f t="shared" si="78"/>
        <v>#DIV/0!</v>
      </c>
      <c r="BY2027" s="215">
        <f t="shared" si="79"/>
        <v>0</v>
      </c>
    </row>
    <row r="2028" spans="76:77" x14ac:dyDescent="0.2">
      <c r="BX2028" s="214" t="e">
        <f t="shared" si="78"/>
        <v>#DIV/0!</v>
      </c>
      <c r="BY2028" s="215">
        <f t="shared" si="79"/>
        <v>0</v>
      </c>
    </row>
    <row r="2029" spans="76:77" x14ac:dyDescent="0.2">
      <c r="BX2029" s="214" t="e">
        <f t="shared" si="78"/>
        <v>#DIV/0!</v>
      </c>
      <c r="BY2029" s="215">
        <f t="shared" si="79"/>
        <v>0</v>
      </c>
    </row>
    <row r="2030" spans="76:77" x14ac:dyDescent="0.2">
      <c r="BX2030" s="214" t="e">
        <f t="shared" si="78"/>
        <v>#DIV/0!</v>
      </c>
      <c r="BY2030" s="215">
        <f t="shared" si="79"/>
        <v>0</v>
      </c>
    </row>
    <row r="2031" spans="76:77" x14ac:dyDescent="0.2">
      <c r="BX2031" s="214" t="e">
        <f t="shared" si="78"/>
        <v>#DIV/0!</v>
      </c>
      <c r="BY2031" s="215">
        <f t="shared" si="79"/>
        <v>0</v>
      </c>
    </row>
    <row r="2032" spans="76:77" x14ac:dyDescent="0.2">
      <c r="BX2032" s="214" t="e">
        <f t="shared" si="78"/>
        <v>#DIV/0!</v>
      </c>
      <c r="BY2032" s="215">
        <f t="shared" si="79"/>
        <v>0</v>
      </c>
    </row>
    <row r="2033" spans="76:77" x14ac:dyDescent="0.2">
      <c r="BX2033" s="214" t="e">
        <f t="shared" si="78"/>
        <v>#DIV/0!</v>
      </c>
      <c r="BY2033" s="215">
        <f t="shared" si="79"/>
        <v>0</v>
      </c>
    </row>
    <row r="2034" spans="76:77" x14ac:dyDescent="0.2">
      <c r="BX2034" s="214" t="e">
        <f t="shared" si="78"/>
        <v>#DIV/0!</v>
      </c>
      <c r="BY2034" s="215">
        <f t="shared" si="79"/>
        <v>0</v>
      </c>
    </row>
    <row r="2035" spans="76:77" x14ac:dyDescent="0.2">
      <c r="BX2035" s="214" t="e">
        <f t="shared" si="78"/>
        <v>#DIV/0!</v>
      </c>
      <c r="BY2035" s="215">
        <f t="shared" si="79"/>
        <v>0</v>
      </c>
    </row>
    <row r="2036" spans="76:77" x14ac:dyDescent="0.2">
      <c r="BX2036" s="214" t="e">
        <f t="shared" si="78"/>
        <v>#DIV/0!</v>
      </c>
      <c r="BY2036" s="215">
        <f t="shared" si="79"/>
        <v>0</v>
      </c>
    </row>
    <row r="2037" spans="76:77" x14ac:dyDescent="0.2">
      <c r="BX2037" s="214" t="e">
        <f t="shared" si="78"/>
        <v>#DIV/0!</v>
      </c>
      <c r="BY2037" s="215">
        <f t="shared" si="79"/>
        <v>0</v>
      </c>
    </row>
    <row r="2038" spans="76:77" x14ac:dyDescent="0.2">
      <c r="BX2038" s="214" t="e">
        <f t="shared" si="78"/>
        <v>#DIV/0!</v>
      </c>
      <c r="BY2038" s="215">
        <f t="shared" si="79"/>
        <v>0</v>
      </c>
    </row>
    <row r="2039" spans="76:77" x14ac:dyDescent="0.2">
      <c r="BX2039" s="214" t="e">
        <f t="shared" si="78"/>
        <v>#DIV/0!</v>
      </c>
      <c r="BY2039" s="215">
        <f t="shared" si="79"/>
        <v>0</v>
      </c>
    </row>
    <row r="2040" spans="76:77" x14ac:dyDescent="0.2">
      <c r="BX2040" s="214" t="e">
        <f t="shared" si="78"/>
        <v>#DIV/0!</v>
      </c>
      <c r="BY2040" s="215">
        <f t="shared" si="79"/>
        <v>0</v>
      </c>
    </row>
    <row r="2041" spans="76:77" x14ac:dyDescent="0.2">
      <c r="BX2041" s="214" t="e">
        <f t="shared" si="78"/>
        <v>#DIV/0!</v>
      </c>
      <c r="BY2041" s="215">
        <f t="shared" si="79"/>
        <v>0</v>
      </c>
    </row>
    <row r="2042" spans="76:77" x14ac:dyDescent="0.2">
      <c r="BX2042" s="214" t="e">
        <f t="shared" si="78"/>
        <v>#DIV/0!</v>
      </c>
      <c r="BY2042" s="215">
        <f t="shared" si="79"/>
        <v>0</v>
      </c>
    </row>
    <row r="2043" spans="76:77" x14ac:dyDescent="0.2">
      <c r="BX2043" s="214" t="e">
        <f t="shared" si="78"/>
        <v>#DIV/0!</v>
      </c>
      <c r="BY2043" s="215">
        <f t="shared" si="79"/>
        <v>0</v>
      </c>
    </row>
    <row r="2044" spans="76:77" x14ac:dyDescent="0.2">
      <c r="BX2044" s="214" t="e">
        <f t="shared" si="78"/>
        <v>#DIV/0!</v>
      </c>
      <c r="BY2044" s="215">
        <f t="shared" si="79"/>
        <v>0</v>
      </c>
    </row>
    <row r="2045" spans="76:77" x14ac:dyDescent="0.2">
      <c r="BX2045" s="214" t="e">
        <f t="shared" si="78"/>
        <v>#DIV/0!</v>
      </c>
      <c r="BY2045" s="215">
        <f t="shared" si="79"/>
        <v>0</v>
      </c>
    </row>
    <row r="2046" spans="76:77" x14ac:dyDescent="0.2">
      <c r="BX2046" s="214" t="e">
        <f t="shared" si="78"/>
        <v>#DIV/0!</v>
      </c>
      <c r="BY2046" s="215">
        <f t="shared" si="79"/>
        <v>0</v>
      </c>
    </row>
    <row r="2047" spans="76:77" x14ac:dyDescent="0.2">
      <c r="BX2047" s="214" t="e">
        <f t="shared" si="78"/>
        <v>#DIV/0!</v>
      </c>
      <c r="BY2047" s="215">
        <f t="shared" si="79"/>
        <v>0</v>
      </c>
    </row>
    <row r="2048" spans="76:77" x14ac:dyDescent="0.2">
      <c r="BX2048" s="214" t="e">
        <f t="shared" si="78"/>
        <v>#DIV/0!</v>
      </c>
      <c r="BY2048" s="215">
        <f t="shared" si="79"/>
        <v>0</v>
      </c>
    </row>
    <row r="2049" spans="76:77" x14ac:dyDescent="0.2">
      <c r="BX2049" s="214" t="e">
        <f t="shared" si="78"/>
        <v>#DIV/0!</v>
      </c>
      <c r="BY2049" s="215">
        <f t="shared" si="79"/>
        <v>0</v>
      </c>
    </row>
    <row r="2050" spans="76:77" x14ac:dyDescent="0.2">
      <c r="BX2050" s="214" t="e">
        <f t="shared" si="78"/>
        <v>#DIV/0!</v>
      </c>
      <c r="BY2050" s="215">
        <f t="shared" si="79"/>
        <v>0</v>
      </c>
    </row>
    <row r="2051" spans="76:77" x14ac:dyDescent="0.2">
      <c r="BX2051" s="214" t="e">
        <f t="shared" si="78"/>
        <v>#DIV/0!</v>
      </c>
      <c r="BY2051" s="215">
        <f t="shared" si="79"/>
        <v>0</v>
      </c>
    </row>
    <row r="2052" spans="76:77" x14ac:dyDescent="0.2">
      <c r="BX2052" s="214" t="e">
        <f t="shared" si="78"/>
        <v>#DIV/0!</v>
      </c>
      <c r="BY2052" s="215">
        <f t="shared" si="79"/>
        <v>0</v>
      </c>
    </row>
    <row r="2053" spans="76:77" x14ac:dyDescent="0.2">
      <c r="BX2053" s="214" t="e">
        <f t="shared" si="78"/>
        <v>#DIV/0!</v>
      </c>
      <c r="BY2053" s="215">
        <f t="shared" si="79"/>
        <v>0</v>
      </c>
    </row>
    <row r="2054" spans="76:77" x14ac:dyDescent="0.2">
      <c r="BX2054" s="214" t="e">
        <f t="shared" si="78"/>
        <v>#DIV/0!</v>
      </c>
      <c r="BY2054" s="215">
        <f t="shared" si="79"/>
        <v>0</v>
      </c>
    </row>
    <row r="2055" spans="76:77" x14ac:dyDescent="0.2">
      <c r="BX2055" s="214" t="e">
        <f t="shared" si="78"/>
        <v>#DIV/0!</v>
      </c>
      <c r="BY2055" s="215">
        <f t="shared" si="79"/>
        <v>0</v>
      </c>
    </row>
    <row r="2056" spans="76:77" x14ac:dyDescent="0.2">
      <c r="BX2056" s="214" t="e">
        <f t="shared" si="78"/>
        <v>#DIV/0!</v>
      </c>
      <c r="BY2056" s="215">
        <f t="shared" si="79"/>
        <v>0</v>
      </c>
    </row>
    <row r="2057" spans="76:77" x14ac:dyDescent="0.2">
      <c r="BX2057" s="214" t="e">
        <f t="shared" si="78"/>
        <v>#DIV/0!</v>
      </c>
      <c r="BY2057" s="215">
        <f t="shared" si="79"/>
        <v>0</v>
      </c>
    </row>
    <row r="2058" spans="76:77" x14ac:dyDescent="0.2">
      <c r="BX2058" s="214" t="e">
        <f t="shared" si="78"/>
        <v>#DIV/0!</v>
      </c>
      <c r="BY2058" s="215">
        <f t="shared" si="79"/>
        <v>0</v>
      </c>
    </row>
    <row r="2059" spans="76:77" x14ac:dyDescent="0.2">
      <c r="BX2059" s="214" t="e">
        <f t="shared" si="78"/>
        <v>#DIV/0!</v>
      </c>
      <c r="BY2059" s="215">
        <f t="shared" si="79"/>
        <v>0</v>
      </c>
    </row>
    <row r="2060" spans="76:77" x14ac:dyDescent="0.2">
      <c r="BX2060" s="214" t="e">
        <f t="shared" si="78"/>
        <v>#DIV/0!</v>
      </c>
      <c r="BY2060" s="215">
        <f t="shared" si="79"/>
        <v>0</v>
      </c>
    </row>
    <row r="2061" spans="76:77" x14ac:dyDescent="0.2">
      <c r="BX2061" s="214" t="e">
        <f t="shared" ref="BX2061:BX2124" si="80">BY2061/BV2061</f>
        <v>#DIV/0!</v>
      </c>
      <c r="BY2061" s="215">
        <f t="shared" si="79"/>
        <v>0</v>
      </c>
    </row>
    <row r="2062" spans="76:77" x14ac:dyDescent="0.2">
      <c r="BX2062" s="214" t="e">
        <f t="shared" si="80"/>
        <v>#DIV/0!</v>
      </c>
      <c r="BY2062" s="215">
        <f t="shared" ref="BY2062:BY2125" si="81">BY2061+BW2062*(BV2062-BV2061)</f>
        <v>0</v>
      </c>
    </row>
    <row r="2063" spans="76:77" x14ac:dyDescent="0.2">
      <c r="BX2063" s="214" t="e">
        <f t="shared" si="80"/>
        <v>#DIV/0!</v>
      </c>
      <c r="BY2063" s="215">
        <f t="shared" si="81"/>
        <v>0</v>
      </c>
    </row>
    <row r="2064" spans="76:77" x14ac:dyDescent="0.2">
      <c r="BX2064" s="214" t="e">
        <f t="shared" si="80"/>
        <v>#DIV/0!</v>
      </c>
      <c r="BY2064" s="215">
        <f t="shared" si="81"/>
        <v>0</v>
      </c>
    </row>
    <row r="2065" spans="76:77" x14ac:dyDescent="0.2">
      <c r="BX2065" s="214" t="e">
        <f t="shared" si="80"/>
        <v>#DIV/0!</v>
      </c>
      <c r="BY2065" s="215">
        <f t="shared" si="81"/>
        <v>0</v>
      </c>
    </row>
    <row r="2066" spans="76:77" x14ac:dyDescent="0.2">
      <c r="BX2066" s="214" t="e">
        <f t="shared" si="80"/>
        <v>#DIV/0!</v>
      </c>
      <c r="BY2066" s="215">
        <f t="shared" si="81"/>
        <v>0</v>
      </c>
    </row>
    <row r="2067" spans="76:77" x14ac:dyDescent="0.2">
      <c r="BX2067" s="214" t="e">
        <f t="shared" si="80"/>
        <v>#DIV/0!</v>
      </c>
      <c r="BY2067" s="215">
        <f t="shared" si="81"/>
        <v>0</v>
      </c>
    </row>
    <row r="2068" spans="76:77" x14ac:dyDescent="0.2">
      <c r="BX2068" s="214" t="e">
        <f t="shared" si="80"/>
        <v>#DIV/0!</v>
      </c>
      <c r="BY2068" s="215">
        <f t="shared" si="81"/>
        <v>0</v>
      </c>
    </row>
    <row r="2069" spans="76:77" x14ac:dyDescent="0.2">
      <c r="BX2069" s="214" t="e">
        <f t="shared" si="80"/>
        <v>#DIV/0!</v>
      </c>
      <c r="BY2069" s="215">
        <f t="shared" si="81"/>
        <v>0</v>
      </c>
    </row>
    <row r="2070" spans="76:77" x14ac:dyDescent="0.2">
      <c r="BX2070" s="214" t="e">
        <f t="shared" si="80"/>
        <v>#DIV/0!</v>
      </c>
      <c r="BY2070" s="215">
        <f t="shared" si="81"/>
        <v>0</v>
      </c>
    </row>
    <row r="2071" spans="76:77" x14ac:dyDescent="0.2">
      <c r="BX2071" s="214" t="e">
        <f t="shared" si="80"/>
        <v>#DIV/0!</v>
      </c>
      <c r="BY2071" s="215">
        <f t="shared" si="81"/>
        <v>0</v>
      </c>
    </row>
    <row r="2072" spans="76:77" x14ac:dyDescent="0.2">
      <c r="BX2072" s="214" t="e">
        <f t="shared" si="80"/>
        <v>#DIV/0!</v>
      </c>
      <c r="BY2072" s="215">
        <f t="shared" si="81"/>
        <v>0</v>
      </c>
    </row>
    <row r="2073" spans="76:77" x14ac:dyDescent="0.2">
      <c r="BX2073" s="214" t="e">
        <f t="shared" si="80"/>
        <v>#DIV/0!</v>
      </c>
      <c r="BY2073" s="215">
        <f t="shared" si="81"/>
        <v>0</v>
      </c>
    </row>
    <row r="2074" spans="76:77" x14ac:dyDescent="0.2">
      <c r="BX2074" s="214" t="e">
        <f t="shared" si="80"/>
        <v>#DIV/0!</v>
      </c>
      <c r="BY2074" s="215">
        <f t="shared" si="81"/>
        <v>0</v>
      </c>
    </row>
    <row r="2075" spans="76:77" x14ac:dyDescent="0.2">
      <c r="BX2075" s="214" t="e">
        <f t="shared" si="80"/>
        <v>#DIV/0!</v>
      </c>
      <c r="BY2075" s="215">
        <f t="shared" si="81"/>
        <v>0</v>
      </c>
    </row>
    <row r="2076" spans="76:77" x14ac:dyDescent="0.2">
      <c r="BX2076" s="214" t="e">
        <f t="shared" si="80"/>
        <v>#DIV/0!</v>
      </c>
      <c r="BY2076" s="215">
        <f t="shared" si="81"/>
        <v>0</v>
      </c>
    </row>
    <row r="2077" spans="76:77" x14ac:dyDescent="0.2">
      <c r="BX2077" s="214" t="e">
        <f t="shared" si="80"/>
        <v>#DIV/0!</v>
      </c>
      <c r="BY2077" s="215">
        <f t="shared" si="81"/>
        <v>0</v>
      </c>
    </row>
    <row r="2078" spans="76:77" x14ac:dyDescent="0.2">
      <c r="BX2078" s="214" t="e">
        <f t="shared" si="80"/>
        <v>#DIV/0!</v>
      </c>
      <c r="BY2078" s="215">
        <f t="shared" si="81"/>
        <v>0</v>
      </c>
    </row>
    <row r="2079" spans="76:77" x14ac:dyDescent="0.2">
      <c r="BX2079" s="214" t="e">
        <f t="shared" si="80"/>
        <v>#DIV/0!</v>
      </c>
      <c r="BY2079" s="215">
        <f t="shared" si="81"/>
        <v>0</v>
      </c>
    </row>
    <row r="2080" spans="76:77" x14ac:dyDescent="0.2">
      <c r="BX2080" s="214" t="e">
        <f t="shared" si="80"/>
        <v>#DIV/0!</v>
      </c>
      <c r="BY2080" s="215">
        <f t="shared" si="81"/>
        <v>0</v>
      </c>
    </row>
    <row r="2081" spans="76:77" x14ac:dyDescent="0.2">
      <c r="BX2081" s="214" t="e">
        <f t="shared" si="80"/>
        <v>#DIV/0!</v>
      </c>
      <c r="BY2081" s="215">
        <f t="shared" si="81"/>
        <v>0</v>
      </c>
    </row>
    <row r="2082" spans="76:77" x14ac:dyDescent="0.2">
      <c r="BX2082" s="214" t="e">
        <f t="shared" si="80"/>
        <v>#DIV/0!</v>
      </c>
      <c r="BY2082" s="215">
        <f t="shared" si="81"/>
        <v>0</v>
      </c>
    </row>
    <row r="2083" spans="76:77" x14ac:dyDescent="0.2">
      <c r="BX2083" s="214" t="e">
        <f t="shared" si="80"/>
        <v>#DIV/0!</v>
      </c>
      <c r="BY2083" s="215">
        <f t="shared" si="81"/>
        <v>0</v>
      </c>
    </row>
    <row r="2084" spans="76:77" x14ac:dyDescent="0.2">
      <c r="BX2084" s="214" t="e">
        <f t="shared" si="80"/>
        <v>#DIV/0!</v>
      </c>
      <c r="BY2084" s="215">
        <f t="shared" si="81"/>
        <v>0</v>
      </c>
    </row>
    <row r="2085" spans="76:77" x14ac:dyDescent="0.2">
      <c r="BX2085" s="214" t="e">
        <f t="shared" si="80"/>
        <v>#DIV/0!</v>
      </c>
      <c r="BY2085" s="215">
        <f t="shared" si="81"/>
        <v>0</v>
      </c>
    </row>
    <row r="2086" spans="76:77" x14ac:dyDescent="0.2">
      <c r="BX2086" s="214" t="e">
        <f t="shared" si="80"/>
        <v>#DIV/0!</v>
      </c>
      <c r="BY2086" s="215">
        <f t="shared" si="81"/>
        <v>0</v>
      </c>
    </row>
    <row r="2087" spans="76:77" x14ac:dyDescent="0.2">
      <c r="BX2087" s="214" t="e">
        <f t="shared" si="80"/>
        <v>#DIV/0!</v>
      </c>
      <c r="BY2087" s="215">
        <f t="shared" si="81"/>
        <v>0</v>
      </c>
    </row>
    <row r="2088" spans="76:77" x14ac:dyDescent="0.2">
      <c r="BX2088" s="214" t="e">
        <f t="shared" si="80"/>
        <v>#DIV/0!</v>
      </c>
      <c r="BY2088" s="215">
        <f t="shared" si="81"/>
        <v>0</v>
      </c>
    </row>
    <row r="2089" spans="76:77" x14ac:dyDescent="0.2">
      <c r="BX2089" s="214" t="e">
        <f t="shared" si="80"/>
        <v>#DIV/0!</v>
      </c>
      <c r="BY2089" s="215">
        <f t="shared" si="81"/>
        <v>0</v>
      </c>
    </row>
    <row r="2090" spans="76:77" x14ac:dyDescent="0.2">
      <c r="BX2090" s="214" t="e">
        <f t="shared" si="80"/>
        <v>#DIV/0!</v>
      </c>
      <c r="BY2090" s="215">
        <f t="shared" si="81"/>
        <v>0</v>
      </c>
    </row>
    <row r="2091" spans="76:77" x14ac:dyDescent="0.2">
      <c r="BX2091" s="214" t="e">
        <f t="shared" si="80"/>
        <v>#DIV/0!</v>
      </c>
      <c r="BY2091" s="215">
        <f t="shared" si="81"/>
        <v>0</v>
      </c>
    </row>
    <row r="2092" spans="76:77" x14ac:dyDescent="0.2">
      <c r="BX2092" s="214" t="e">
        <f t="shared" si="80"/>
        <v>#DIV/0!</v>
      </c>
      <c r="BY2092" s="215">
        <f t="shared" si="81"/>
        <v>0</v>
      </c>
    </row>
    <row r="2093" spans="76:77" x14ac:dyDescent="0.2">
      <c r="BX2093" s="214" t="e">
        <f t="shared" si="80"/>
        <v>#DIV/0!</v>
      </c>
      <c r="BY2093" s="215">
        <f t="shared" si="81"/>
        <v>0</v>
      </c>
    </row>
    <row r="2094" spans="76:77" x14ac:dyDescent="0.2">
      <c r="BX2094" s="214" t="e">
        <f t="shared" si="80"/>
        <v>#DIV/0!</v>
      </c>
      <c r="BY2094" s="215">
        <f t="shared" si="81"/>
        <v>0</v>
      </c>
    </row>
    <row r="2095" spans="76:77" x14ac:dyDescent="0.2">
      <c r="BX2095" s="214" t="e">
        <f t="shared" si="80"/>
        <v>#DIV/0!</v>
      </c>
      <c r="BY2095" s="215">
        <f t="shared" si="81"/>
        <v>0</v>
      </c>
    </row>
    <row r="2096" spans="76:77" x14ac:dyDescent="0.2">
      <c r="BX2096" s="214" t="e">
        <f t="shared" si="80"/>
        <v>#DIV/0!</v>
      </c>
      <c r="BY2096" s="215">
        <f t="shared" si="81"/>
        <v>0</v>
      </c>
    </row>
    <row r="2097" spans="76:77" x14ac:dyDescent="0.2">
      <c r="BX2097" s="214" t="e">
        <f t="shared" si="80"/>
        <v>#DIV/0!</v>
      </c>
      <c r="BY2097" s="215">
        <f t="shared" si="81"/>
        <v>0</v>
      </c>
    </row>
    <row r="2098" spans="76:77" x14ac:dyDescent="0.2">
      <c r="BX2098" s="214" t="e">
        <f t="shared" si="80"/>
        <v>#DIV/0!</v>
      </c>
      <c r="BY2098" s="215">
        <f t="shared" si="81"/>
        <v>0</v>
      </c>
    </row>
    <row r="2099" spans="76:77" x14ac:dyDescent="0.2">
      <c r="BX2099" s="214" t="e">
        <f t="shared" si="80"/>
        <v>#DIV/0!</v>
      </c>
      <c r="BY2099" s="215">
        <f t="shared" si="81"/>
        <v>0</v>
      </c>
    </row>
    <row r="2100" spans="76:77" x14ac:dyDescent="0.2">
      <c r="BX2100" s="214" t="e">
        <f t="shared" si="80"/>
        <v>#DIV/0!</v>
      </c>
      <c r="BY2100" s="215">
        <f t="shared" si="81"/>
        <v>0</v>
      </c>
    </row>
    <row r="2101" spans="76:77" x14ac:dyDescent="0.2">
      <c r="BX2101" s="214" t="e">
        <f t="shared" si="80"/>
        <v>#DIV/0!</v>
      </c>
      <c r="BY2101" s="215">
        <f t="shared" si="81"/>
        <v>0</v>
      </c>
    </row>
    <row r="2102" spans="76:77" x14ac:dyDescent="0.2">
      <c r="BX2102" s="214" t="e">
        <f t="shared" si="80"/>
        <v>#DIV/0!</v>
      </c>
      <c r="BY2102" s="215">
        <f t="shared" si="81"/>
        <v>0</v>
      </c>
    </row>
    <row r="2103" spans="76:77" x14ac:dyDescent="0.2">
      <c r="BX2103" s="214" t="e">
        <f t="shared" si="80"/>
        <v>#DIV/0!</v>
      </c>
      <c r="BY2103" s="215">
        <f t="shared" si="81"/>
        <v>0</v>
      </c>
    </row>
    <row r="2104" spans="76:77" x14ac:dyDescent="0.2">
      <c r="BX2104" s="214" t="e">
        <f t="shared" si="80"/>
        <v>#DIV/0!</v>
      </c>
      <c r="BY2104" s="215">
        <f t="shared" si="81"/>
        <v>0</v>
      </c>
    </row>
    <row r="2105" spans="76:77" x14ac:dyDescent="0.2">
      <c r="BX2105" s="214" t="e">
        <f t="shared" si="80"/>
        <v>#DIV/0!</v>
      </c>
      <c r="BY2105" s="215">
        <f t="shared" si="81"/>
        <v>0</v>
      </c>
    </row>
    <row r="2106" spans="76:77" x14ac:dyDescent="0.2">
      <c r="BX2106" s="214" t="e">
        <f t="shared" si="80"/>
        <v>#DIV/0!</v>
      </c>
      <c r="BY2106" s="215">
        <f t="shared" si="81"/>
        <v>0</v>
      </c>
    </row>
    <row r="2107" spans="76:77" x14ac:dyDescent="0.2">
      <c r="BX2107" s="214" t="e">
        <f t="shared" si="80"/>
        <v>#DIV/0!</v>
      </c>
      <c r="BY2107" s="215">
        <f t="shared" si="81"/>
        <v>0</v>
      </c>
    </row>
    <row r="2108" spans="76:77" x14ac:dyDescent="0.2">
      <c r="BX2108" s="214" t="e">
        <f t="shared" si="80"/>
        <v>#DIV/0!</v>
      </c>
      <c r="BY2108" s="215">
        <f t="shared" si="81"/>
        <v>0</v>
      </c>
    </row>
    <row r="2109" spans="76:77" x14ac:dyDescent="0.2">
      <c r="BX2109" s="214" t="e">
        <f t="shared" si="80"/>
        <v>#DIV/0!</v>
      </c>
      <c r="BY2109" s="215">
        <f t="shared" si="81"/>
        <v>0</v>
      </c>
    </row>
    <row r="2110" spans="76:77" x14ac:dyDescent="0.2">
      <c r="BX2110" s="214" t="e">
        <f t="shared" si="80"/>
        <v>#DIV/0!</v>
      </c>
      <c r="BY2110" s="215">
        <f t="shared" si="81"/>
        <v>0</v>
      </c>
    </row>
    <row r="2111" spans="76:77" x14ac:dyDescent="0.2">
      <c r="BX2111" s="214" t="e">
        <f t="shared" si="80"/>
        <v>#DIV/0!</v>
      </c>
      <c r="BY2111" s="215">
        <f t="shared" si="81"/>
        <v>0</v>
      </c>
    </row>
    <row r="2112" spans="76:77" x14ac:dyDescent="0.2">
      <c r="BX2112" s="214" t="e">
        <f t="shared" si="80"/>
        <v>#DIV/0!</v>
      </c>
      <c r="BY2112" s="215">
        <f t="shared" si="81"/>
        <v>0</v>
      </c>
    </row>
    <row r="2113" spans="76:77" x14ac:dyDescent="0.2">
      <c r="BX2113" s="214" t="e">
        <f t="shared" si="80"/>
        <v>#DIV/0!</v>
      </c>
      <c r="BY2113" s="215">
        <f t="shared" si="81"/>
        <v>0</v>
      </c>
    </row>
    <row r="2114" spans="76:77" x14ac:dyDescent="0.2">
      <c r="BX2114" s="214" t="e">
        <f t="shared" si="80"/>
        <v>#DIV/0!</v>
      </c>
      <c r="BY2114" s="215">
        <f t="shared" si="81"/>
        <v>0</v>
      </c>
    </row>
    <row r="2115" spans="76:77" x14ac:dyDescent="0.2">
      <c r="BX2115" s="214" t="e">
        <f t="shared" si="80"/>
        <v>#DIV/0!</v>
      </c>
      <c r="BY2115" s="215">
        <f t="shared" si="81"/>
        <v>0</v>
      </c>
    </row>
    <row r="2116" spans="76:77" x14ac:dyDescent="0.2">
      <c r="BX2116" s="214" t="e">
        <f t="shared" si="80"/>
        <v>#DIV/0!</v>
      </c>
      <c r="BY2116" s="215">
        <f t="shared" si="81"/>
        <v>0</v>
      </c>
    </row>
    <row r="2117" spans="76:77" x14ac:dyDescent="0.2">
      <c r="BX2117" s="214" t="e">
        <f t="shared" si="80"/>
        <v>#DIV/0!</v>
      </c>
      <c r="BY2117" s="215">
        <f t="shared" si="81"/>
        <v>0</v>
      </c>
    </row>
    <row r="2118" spans="76:77" x14ac:dyDescent="0.2">
      <c r="BX2118" s="214" t="e">
        <f t="shared" si="80"/>
        <v>#DIV/0!</v>
      </c>
      <c r="BY2118" s="215">
        <f t="shared" si="81"/>
        <v>0</v>
      </c>
    </row>
    <row r="2119" spans="76:77" x14ac:dyDescent="0.2">
      <c r="BX2119" s="214" t="e">
        <f t="shared" si="80"/>
        <v>#DIV/0!</v>
      </c>
      <c r="BY2119" s="215">
        <f t="shared" si="81"/>
        <v>0</v>
      </c>
    </row>
    <row r="2120" spans="76:77" x14ac:dyDescent="0.2">
      <c r="BX2120" s="214" t="e">
        <f t="shared" si="80"/>
        <v>#DIV/0!</v>
      </c>
      <c r="BY2120" s="215">
        <f t="shared" si="81"/>
        <v>0</v>
      </c>
    </row>
    <row r="2121" spans="76:77" x14ac:dyDescent="0.2">
      <c r="BX2121" s="214" t="e">
        <f t="shared" si="80"/>
        <v>#DIV/0!</v>
      </c>
      <c r="BY2121" s="215">
        <f t="shared" si="81"/>
        <v>0</v>
      </c>
    </row>
    <row r="2122" spans="76:77" x14ac:dyDescent="0.2">
      <c r="BX2122" s="214" t="e">
        <f t="shared" si="80"/>
        <v>#DIV/0!</v>
      </c>
      <c r="BY2122" s="215">
        <f t="shared" si="81"/>
        <v>0</v>
      </c>
    </row>
    <row r="2123" spans="76:77" x14ac:dyDescent="0.2">
      <c r="BX2123" s="214" t="e">
        <f t="shared" si="80"/>
        <v>#DIV/0!</v>
      </c>
      <c r="BY2123" s="215">
        <f t="shared" si="81"/>
        <v>0</v>
      </c>
    </row>
    <row r="2124" spans="76:77" x14ac:dyDescent="0.2">
      <c r="BX2124" s="214" t="e">
        <f t="shared" si="80"/>
        <v>#DIV/0!</v>
      </c>
      <c r="BY2124" s="215">
        <f t="shared" si="81"/>
        <v>0</v>
      </c>
    </row>
    <row r="2125" spans="76:77" x14ac:dyDescent="0.2">
      <c r="BX2125" s="214" t="e">
        <f t="shared" ref="BX2125:BX2188" si="82">BY2125/BV2125</f>
        <v>#DIV/0!</v>
      </c>
      <c r="BY2125" s="215">
        <f t="shared" si="81"/>
        <v>0</v>
      </c>
    </row>
    <row r="2126" spans="76:77" x14ac:dyDescent="0.2">
      <c r="BX2126" s="214" t="e">
        <f t="shared" si="82"/>
        <v>#DIV/0!</v>
      </c>
      <c r="BY2126" s="215">
        <f t="shared" ref="BY2126:BY2189" si="83">BY2125+BW2126*(BV2126-BV2125)</f>
        <v>0</v>
      </c>
    </row>
    <row r="2127" spans="76:77" x14ac:dyDescent="0.2">
      <c r="BX2127" s="214" t="e">
        <f t="shared" si="82"/>
        <v>#DIV/0!</v>
      </c>
      <c r="BY2127" s="215">
        <f t="shared" si="83"/>
        <v>0</v>
      </c>
    </row>
    <row r="2128" spans="76:77" x14ac:dyDescent="0.2">
      <c r="BX2128" s="214" t="e">
        <f t="shared" si="82"/>
        <v>#DIV/0!</v>
      </c>
      <c r="BY2128" s="215">
        <f t="shared" si="83"/>
        <v>0</v>
      </c>
    </row>
    <row r="2129" spans="76:77" x14ac:dyDescent="0.2">
      <c r="BX2129" s="214" t="e">
        <f t="shared" si="82"/>
        <v>#DIV/0!</v>
      </c>
      <c r="BY2129" s="215">
        <f t="shared" si="83"/>
        <v>0</v>
      </c>
    </row>
    <row r="2130" spans="76:77" x14ac:dyDescent="0.2">
      <c r="BX2130" s="214" t="e">
        <f t="shared" si="82"/>
        <v>#DIV/0!</v>
      </c>
      <c r="BY2130" s="215">
        <f t="shared" si="83"/>
        <v>0</v>
      </c>
    </row>
    <row r="2131" spans="76:77" x14ac:dyDescent="0.2">
      <c r="BX2131" s="214" t="e">
        <f t="shared" si="82"/>
        <v>#DIV/0!</v>
      </c>
      <c r="BY2131" s="215">
        <f t="shared" si="83"/>
        <v>0</v>
      </c>
    </row>
    <row r="2132" spans="76:77" x14ac:dyDescent="0.2">
      <c r="BX2132" s="214" t="e">
        <f t="shared" si="82"/>
        <v>#DIV/0!</v>
      </c>
      <c r="BY2132" s="215">
        <f t="shared" si="83"/>
        <v>0</v>
      </c>
    </row>
    <row r="2133" spans="76:77" x14ac:dyDescent="0.2">
      <c r="BX2133" s="214" t="e">
        <f t="shared" si="82"/>
        <v>#DIV/0!</v>
      </c>
      <c r="BY2133" s="215">
        <f t="shared" si="83"/>
        <v>0</v>
      </c>
    </row>
    <row r="2134" spans="76:77" x14ac:dyDescent="0.2">
      <c r="BX2134" s="214" t="e">
        <f t="shared" si="82"/>
        <v>#DIV/0!</v>
      </c>
      <c r="BY2134" s="215">
        <f t="shared" si="83"/>
        <v>0</v>
      </c>
    </row>
    <row r="2135" spans="76:77" x14ac:dyDescent="0.2">
      <c r="BX2135" s="214" t="e">
        <f t="shared" si="82"/>
        <v>#DIV/0!</v>
      </c>
      <c r="BY2135" s="215">
        <f t="shared" si="83"/>
        <v>0</v>
      </c>
    </row>
    <row r="2136" spans="76:77" x14ac:dyDescent="0.2">
      <c r="BX2136" s="214" t="e">
        <f t="shared" si="82"/>
        <v>#DIV/0!</v>
      </c>
      <c r="BY2136" s="215">
        <f t="shared" si="83"/>
        <v>0</v>
      </c>
    </row>
    <row r="2137" spans="76:77" x14ac:dyDescent="0.2">
      <c r="BX2137" s="214" t="e">
        <f t="shared" si="82"/>
        <v>#DIV/0!</v>
      </c>
      <c r="BY2137" s="215">
        <f t="shared" si="83"/>
        <v>0</v>
      </c>
    </row>
    <row r="2138" spans="76:77" x14ac:dyDescent="0.2">
      <c r="BX2138" s="214" t="e">
        <f t="shared" si="82"/>
        <v>#DIV/0!</v>
      </c>
      <c r="BY2138" s="215">
        <f t="shared" si="83"/>
        <v>0</v>
      </c>
    </row>
    <row r="2139" spans="76:77" x14ac:dyDescent="0.2">
      <c r="BX2139" s="214" t="e">
        <f t="shared" si="82"/>
        <v>#DIV/0!</v>
      </c>
      <c r="BY2139" s="215">
        <f t="shared" si="83"/>
        <v>0</v>
      </c>
    </row>
    <row r="2140" spans="76:77" x14ac:dyDescent="0.2">
      <c r="BX2140" s="214" t="e">
        <f t="shared" si="82"/>
        <v>#DIV/0!</v>
      </c>
      <c r="BY2140" s="215">
        <f t="shared" si="83"/>
        <v>0</v>
      </c>
    </row>
    <row r="2141" spans="76:77" x14ac:dyDescent="0.2">
      <c r="BX2141" s="214" t="e">
        <f t="shared" si="82"/>
        <v>#DIV/0!</v>
      </c>
      <c r="BY2141" s="215">
        <f t="shared" si="83"/>
        <v>0</v>
      </c>
    </row>
    <row r="2142" spans="76:77" x14ac:dyDescent="0.2">
      <c r="BX2142" s="214" t="e">
        <f t="shared" si="82"/>
        <v>#DIV/0!</v>
      </c>
      <c r="BY2142" s="215">
        <f t="shared" si="83"/>
        <v>0</v>
      </c>
    </row>
    <row r="2143" spans="76:77" x14ac:dyDescent="0.2">
      <c r="BX2143" s="214" t="e">
        <f t="shared" si="82"/>
        <v>#DIV/0!</v>
      </c>
      <c r="BY2143" s="215">
        <f t="shared" si="83"/>
        <v>0</v>
      </c>
    </row>
    <row r="2144" spans="76:77" x14ac:dyDescent="0.2">
      <c r="BX2144" s="214" t="e">
        <f t="shared" si="82"/>
        <v>#DIV/0!</v>
      </c>
      <c r="BY2144" s="215">
        <f t="shared" si="83"/>
        <v>0</v>
      </c>
    </row>
    <row r="2145" spans="76:77" x14ac:dyDescent="0.2">
      <c r="BX2145" s="214" t="e">
        <f t="shared" si="82"/>
        <v>#DIV/0!</v>
      </c>
      <c r="BY2145" s="215">
        <f t="shared" si="83"/>
        <v>0</v>
      </c>
    </row>
    <row r="2146" spans="76:77" x14ac:dyDescent="0.2">
      <c r="BX2146" s="214" t="e">
        <f t="shared" si="82"/>
        <v>#DIV/0!</v>
      </c>
      <c r="BY2146" s="215">
        <f t="shared" si="83"/>
        <v>0</v>
      </c>
    </row>
    <row r="2147" spans="76:77" x14ac:dyDescent="0.2">
      <c r="BX2147" s="214" t="e">
        <f t="shared" si="82"/>
        <v>#DIV/0!</v>
      </c>
      <c r="BY2147" s="215">
        <f t="shared" si="83"/>
        <v>0</v>
      </c>
    </row>
    <row r="2148" spans="76:77" x14ac:dyDescent="0.2">
      <c r="BX2148" s="214" t="e">
        <f t="shared" si="82"/>
        <v>#DIV/0!</v>
      </c>
      <c r="BY2148" s="215">
        <f t="shared" si="83"/>
        <v>0</v>
      </c>
    </row>
    <row r="2149" spans="76:77" x14ac:dyDescent="0.2">
      <c r="BX2149" s="214" t="e">
        <f t="shared" si="82"/>
        <v>#DIV/0!</v>
      </c>
      <c r="BY2149" s="215">
        <f t="shared" si="83"/>
        <v>0</v>
      </c>
    </row>
    <row r="2150" spans="76:77" x14ac:dyDescent="0.2">
      <c r="BX2150" s="214" t="e">
        <f t="shared" si="82"/>
        <v>#DIV/0!</v>
      </c>
      <c r="BY2150" s="215">
        <f t="shared" si="83"/>
        <v>0</v>
      </c>
    </row>
    <row r="2151" spans="76:77" x14ac:dyDescent="0.2">
      <c r="BX2151" s="214" t="e">
        <f t="shared" si="82"/>
        <v>#DIV/0!</v>
      </c>
      <c r="BY2151" s="215">
        <f t="shared" si="83"/>
        <v>0</v>
      </c>
    </row>
    <row r="2152" spans="76:77" x14ac:dyDescent="0.2">
      <c r="BX2152" s="214" t="e">
        <f t="shared" si="82"/>
        <v>#DIV/0!</v>
      </c>
      <c r="BY2152" s="215">
        <f t="shared" si="83"/>
        <v>0</v>
      </c>
    </row>
    <row r="2153" spans="76:77" x14ac:dyDescent="0.2">
      <c r="BX2153" s="214" t="e">
        <f t="shared" si="82"/>
        <v>#DIV/0!</v>
      </c>
      <c r="BY2153" s="215">
        <f t="shared" si="83"/>
        <v>0</v>
      </c>
    </row>
    <row r="2154" spans="76:77" x14ac:dyDescent="0.2">
      <c r="BX2154" s="214" t="e">
        <f t="shared" si="82"/>
        <v>#DIV/0!</v>
      </c>
      <c r="BY2154" s="215">
        <f t="shared" si="83"/>
        <v>0</v>
      </c>
    </row>
    <row r="2155" spans="76:77" x14ac:dyDescent="0.2">
      <c r="BX2155" s="214" t="e">
        <f t="shared" si="82"/>
        <v>#DIV/0!</v>
      </c>
      <c r="BY2155" s="215">
        <f t="shared" si="83"/>
        <v>0</v>
      </c>
    </row>
    <row r="2156" spans="76:77" x14ac:dyDescent="0.2">
      <c r="BX2156" s="214" t="e">
        <f t="shared" si="82"/>
        <v>#DIV/0!</v>
      </c>
      <c r="BY2156" s="215">
        <f t="shared" si="83"/>
        <v>0</v>
      </c>
    </row>
    <row r="2157" spans="76:77" x14ac:dyDescent="0.2">
      <c r="BX2157" s="214" t="e">
        <f t="shared" si="82"/>
        <v>#DIV/0!</v>
      </c>
      <c r="BY2157" s="215">
        <f t="shared" si="83"/>
        <v>0</v>
      </c>
    </row>
    <row r="2158" spans="76:77" x14ac:dyDescent="0.2">
      <c r="BX2158" s="214" t="e">
        <f t="shared" si="82"/>
        <v>#DIV/0!</v>
      </c>
      <c r="BY2158" s="215">
        <f t="shared" si="83"/>
        <v>0</v>
      </c>
    </row>
    <row r="2159" spans="76:77" x14ac:dyDescent="0.2">
      <c r="BX2159" s="214" t="e">
        <f t="shared" si="82"/>
        <v>#DIV/0!</v>
      </c>
      <c r="BY2159" s="215">
        <f t="shared" si="83"/>
        <v>0</v>
      </c>
    </row>
    <row r="2160" spans="76:77" x14ac:dyDescent="0.2">
      <c r="BX2160" s="214" t="e">
        <f t="shared" si="82"/>
        <v>#DIV/0!</v>
      </c>
      <c r="BY2160" s="215">
        <f t="shared" si="83"/>
        <v>0</v>
      </c>
    </row>
    <row r="2161" spans="76:77" x14ac:dyDescent="0.2">
      <c r="BX2161" s="214" t="e">
        <f t="shared" si="82"/>
        <v>#DIV/0!</v>
      </c>
      <c r="BY2161" s="215">
        <f t="shared" si="83"/>
        <v>0</v>
      </c>
    </row>
    <row r="2162" spans="76:77" x14ac:dyDescent="0.2">
      <c r="BX2162" s="214" t="e">
        <f t="shared" si="82"/>
        <v>#DIV/0!</v>
      </c>
      <c r="BY2162" s="215">
        <f t="shared" si="83"/>
        <v>0</v>
      </c>
    </row>
    <row r="2163" spans="76:77" x14ac:dyDescent="0.2">
      <c r="BX2163" s="214" t="e">
        <f t="shared" si="82"/>
        <v>#DIV/0!</v>
      </c>
      <c r="BY2163" s="215">
        <f t="shared" si="83"/>
        <v>0</v>
      </c>
    </row>
    <row r="2164" spans="76:77" x14ac:dyDescent="0.2">
      <c r="BX2164" s="214" t="e">
        <f t="shared" si="82"/>
        <v>#DIV/0!</v>
      </c>
      <c r="BY2164" s="215">
        <f t="shared" si="83"/>
        <v>0</v>
      </c>
    </row>
    <row r="2165" spans="76:77" x14ac:dyDescent="0.2">
      <c r="BX2165" s="214" t="e">
        <f t="shared" si="82"/>
        <v>#DIV/0!</v>
      </c>
      <c r="BY2165" s="215">
        <f t="shared" si="83"/>
        <v>0</v>
      </c>
    </row>
    <row r="2166" spans="76:77" x14ac:dyDescent="0.2">
      <c r="BX2166" s="214" t="e">
        <f t="shared" si="82"/>
        <v>#DIV/0!</v>
      </c>
      <c r="BY2166" s="215">
        <f t="shared" si="83"/>
        <v>0</v>
      </c>
    </row>
    <row r="2167" spans="76:77" x14ac:dyDescent="0.2">
      <c r="BX2167" s="214" t="e">
        <f t="shared" si="82"/>
        <v>#DIV/0!</v>
      </c>
      <c r="BY2167" s="215">
        <f t="shared" si="83"/>
        <v>0</v>
      </c>
    </row>
    <row r="2168" spans="76:77" x14ac:dyDescent="0.2">
      <c r="BX2168" s="214" t="e">
        <f t="shared" si="82"/>
        <v>#DIV/0!</v>
      </c>
      <c r="BY2168" s="215">
        <f t="shared" si="83"/>
        <v>0</v>
      </c>
    </row>
    <row r="2169" spans="76:77" x14ac:dyDescent="0.2">
      <c r="BX2169" s="214" t="e">
        <f t="shared" si="82"/>
        <v>#DIV/0!</v>
      </c>
      <c r="BY2169" s="215">
        <f t="shared" si="83"/>
        <v>0</v>
      </c>
    </row>
    <row r="2170" spans="76:77" x14ac:dyDescent="0.2">
      <c r="BX2170" s="214" t="e">
        <f t="shared" si="82"/>
        <v>#DIV/0!</v>
      </c>
      <c r="BY2170" s="215">
        <f t="shared" si="83"/>
        <v>0</v>
      </c>
    </row>
    <row r="2171" spans="76:77" x14ac:dyDescent="0.2">
      <c r="BX2171" s="214" t="e">
        <f t="shared" si="82"/>
        <v>#DIV/0!</v>
      </c>
      <c r="BY2171" s="215">
        <f t="shared" si="83"/>
        <v>0</v>
      </c>
    </row>
    <row r="2172" spans="76:77" x14ac:dyDescent="0.2">
      <c r="BX2172" s="214" t="e">
        <f t="shared" si="82"/>
        <v>#DIV/0!</v>
      </c>
      <c r="BY2172" s="215">
        <f t="shared" si="83"/>
        <v>0</v>
      </c>
    </row>
    <row r="2173" spans="76:77" x14ac:dyDescent="0.2">
      <c r="BX2173" s="214" t="e">
        <f t="shared" si="82"/>
        <v>#DIV/0!</v>
      </c>
      <c r="BY2173" s="215">
        <f t="shared" si="83"/>
        <v>0</v>
      </c>
    </row>
    <row r="2174" spans="76:77" x14ac:dyDescent="0.2">
      <c r="BX2174" s="214" t="e">
        <f t="shared" si="82"/>
        <v>#DIV/0!</v>
      </c>
      <c r="BY2174" s="215">
        <f t="shared" si="83"/>
        <v>0</v>
      </c>
    </row>
    <row r="2175" spans="76:77" x14ac:dyDescent="0.2">
      <c r="BX2175" s="214" t="e">
        <f t="shared" si="82"/>
        <v>#DIV/0!</v>
      </c>
      <c r="BY2175" s="215">
        <f t="shared" si="83"/>
        <v>0</v>
      </c>
    </row>
    <row r="2176" spans="76:77" x14ac:dyDescent="0.2">
      <c r="BX2176" s="214" t="e">
        <f t="shared" si="82"/>
        <v>#DIV/0!</v>
      </c>
      <c r="BY2176" s="215">
        <f t="shared" si="83"/>
        <v>0</v>
      </c>
    </row>
    <row r="2177" spans="76:77" x14ac:dyDescent="0.2">
      <c r="BX2177" s="214" t="e">
        <f t="shared" si="82"/>
        <v>#DIV/0!</v>
      </c>
      <c r="BY2177" s="215">
        <f t="shared" si="83"/>
        <v>0</v>
      </c>
    </row>
    <row r="2178" spans="76:77" x14ac:dyDescent="0.2">
      <c r="BX2178" s="214" t="e">
        <f t="shared" si="82"/>
        <v>#DIV/0!</v>
      </c>
      <c r="BY2178" s="215">
        <f t="shared" si="83"/>
        <v>0</v>
      </c>
    </row>
    <row r="2179" spans="76:77" x14ac:dyDescent="0.2">
      <c r="BX2179" s="214" t="e">
        <f t="shared" si="82"/>
        <v>#DIV/0!</v>
      </c>
      <c r="BY2179" s="215">
        <f t="shared" si="83"/>
        <v>0</v>
      </c>
    </row>
    <row r="2180" spans="76:77" x14ac:dyDescent="0.2">
      <c r="BX2180" s="214" t="e">
        <f t="shared" si="82"/>
        <v>#DIV/0!</v>
      </c>
      <c r="BY2180" s="215">
        <f t="shared" si="83"/>
        <v>0</v>
      </c>
    </row>
    <row r="2181" spans="76:77" x14ac:dyDescent="0.2">
      <c r="BX2181" s="214" t="e">
        <f t="shared" si="82"/>
        <v>#DIV/0!</v>
      </c>
      <c r="BY2181" s="215">
        <f t="shared" si="83"/>
        <v>0</v>
      </c>
    </row>
    <row r="2182" spans="76:77" x14ac:dyDescent="0.2">
      <c r="BX2182" s="214" t="e">
        <f t="shared" si="82"/>
        <v>#DIV/0!</v>
      </c>
      <c r="BY2182" s="215">
        <f t="shared" si="83"/>
        <v>0</v>
      </c>
    </row>
    <row r="2183" spans="76:77" x14ac:dyDescent="0.2">
      <c r="BX2183" s="214" t="e">
        <f t="shared" si="82"/>
        <v>#DIV/0!</v>
      </c>
      <c r="BY2183" s="215">
        <f t="shared" si="83"/>
        <v>0</v>
      </c>
    </row>
    <row r="2184" spans="76:77" x14ac:dyDescent="0.2">
      <c r="BX2184" s="214" t="e">
        <f t="shared" si="82"/>
        <v>#DIV/0!</v>
      </c>
      <c r="BY2184" s="215">
        <f t="shared" si="83"/>
        <v>0</v>
      </c>
    </row>
    <row r="2185" spans="76:77" x14ac:dyDescent="0.2">
      <c r="BX2185" s="214" t="e">
        <f t="shared" si="82"/>
        <v>#DIV/0!</v>
      </c>
      <c r="BY2185" s="215">
        <f t="shared" si="83"/>
        <v>0</v>
      </c>
    </row>
    <row r="2186" spans="76:77" x14ac:dyDescent="0.2">
      <c r="BX2186" s="214" t="e">
        <f t="shared" si="82"/>
        <v>#DIV/0!</v>
      </c>
      <c r="BY2186" s="215">
        <f t="shared" si="83"/>
        <v>0</v>
      </c>
    </row>
    <row r="2187" spans="76:77" x14ac:dyDescent="0.2">
      <c r="BX2187" s="214" t="e">
        <f t="shared" si="82"/>
        <v>#DIV/0!</v>
      </c>
      <c r="BY2187" s="215">
        <f t="shared" si="83"/>
        <v>0</v>
      </c>
    </row>
    <row r="2188" spans="76:77" x14ac:dyDescent="0.2">
      <c r="BX2188" s="214" t="e">
        <f t="shared" si="82"/>
        <v>#DIV/0!</v>
      </c>
      <c r="BY2188" s="215">
        <f t="shared" si="83"/>
        <v>0</v>
      </c>
    </row>
    <row r="2189" spans="76:77" x14ac:dyDescent="0.2">
      <c r="BX2189" s="214" t="e">
        <f t="shared" ref="BX2189:BX2252" si="84">BY2189/BV2189</f>
        <v>#DIV/0!</v>
      </c>
      <c r="BY2189" s="215">
        <f t="shared" si="83"/>
        <v>0</v>
      </c>
    </row>
    <row r="2190" spans="76:77" x14ac:dyDescent="0.2">
      <c r="BX2190" s="214" t="e">
        <f t="shared" si="84"/>
        <v>#DIV/0!</v>
      </c>
      <c r="BY2190" s="215">
        <f t="shared" ref="BY2190:BY2253" si="85">BY2189+BW2190*(BV2190-BV2189)</f>
        <v>0</v>
      </c>
    </row>
    <row r="2191" spans="76:77" x14ac:dyDescent="0.2">
      <c r="BX2191" s="214" t="e">
        <f t="shared" si="84"/>
        <v>#DIV/0!</v>
      </c>
      <c r="BY2191" s="215">
        <f t="shared" si="85"/>
        <v>0</v>
      </c>
    </row>
    <row r="2192" spans="76:77" x14ac:dyDescent="0.2">
      <c r="BX2192" s="214" t="e">
        <f t="shared" si="84"/>
        <v>#DIV/0!</v>
      </c>
      <c r="BY2192" s="215">
        <f t="shared" si="85"/>
        <v>0</v>
      </c>
    </row>
    <row r="2193" spans="76:77" x14ac:dyDescent="0.2">
      <c r="BX2193" s="214" t="e">
        <f t="shared" si="84"/>
        <v>#DIV/0!</v>
      </c>
      <c r="BY2193" s="215">
        <f t="shared" si="85"/>
        <v>0</v>
      </c>
    </row>
    <row r="2194" spans="76:77" x14ac:dyDescent="0.2">
      <c r="BX2194" s="214" t="e">
        <f t="shared" si="84"/>
        <v>#DIV/0!</v>
      </c>
      <c r="BY2194" s="215">
        <f t="shared" si="85"/>
        <v>0</v>
      </c>
    </row>
    <row r="2195" spans="76:77" x14ac:dyDescent="0.2">
      <c r="BX2195" s="214" t="e">
        <f t="shared" si="84"/>
        <v>#DIV/0!</v>
      </c>
      <c r="BY2195" s="215">
        <f t="shared" si="85"/>
        <v>0</v>
      </c>
    </row>
    <row r="2196" spans="76:77" x14ac:dyDescent="0.2">
      <c r="BX2196" s="214" t="e">
        <f t="shared" si="84"/>
        <v>#DIV/0!</v>
      </c>
      <c r="BY2196" s="215">
        <f t="shared" si="85"/>
        <v>0</v>
      </c>
    </row>
    <row r="2197" spans="76:77" x14ac:dyDescent="0.2">
      <c r="BX2197" s="214" t="e">
        <f t="shared" si="84"/>
        <v>#DIV/0!</v>
      </c>
      <c r="BY2197" s="215">
        <f t="shared" si="85"/>
        <v>0</v>
      </c>
    </row>
    <row r="2198" spans="76:77" x14ac:dyDescent="0.2">
      <c r="BX2198" s="214" t="e">
        <f t="shared" si="84"/>
        <v>#DIV/0!</v>
      </c>
      <c r="BY2198" s="215">
        <f t="shared" si="85"/>
        <v>0</v>
      </c>
    </row>
    <row r="2199" spans="76:77" x14ac:dyDescent="0.2">
      <c r="BX2199" s="214" t="e">
        <f t="shared" si="84"/>
        <v>#DIV/0!</v>
      </c>
      <c r="BY2199" s="215">
        <f t="shared" si="85"/>
        <v>0</v>
      </c>
    </row>
    <row r="2200" spans="76:77" x14ac:dyDescent="0.2">
      <c r="BX2200" s="214" t="e">
        <f t="shared" si="84"/>
        <v>#DIV/0!</v>
      </c>
      <c r="BY2200" s="215">
        <f t="shared" si="85"/>
        <v>0</v>
      </c>
    </row>
    <row r="2201" spans="76:77" x14ac:dyDescent="0.2">
      <c r="BX2201" s="214" t="e">
        <f t="shared" si="84"/>
        <v>#DIV/0!</v>
      </c>
      <c r="BY2201" s="215">
        <f t="shared" si="85"/>
        <v>0</v>
      </c>
    </row>
    <row r="2202" spans="76:77" x14ac:dyDescent="0.2">
      <c r="BX2202" s="214" t="e">
        <f t="shared" si="84"/>
        <v>#DIV/0!</v>
      </c>
      <c r="BY2202" s="215">
        <f t="shared" si="85"/>
        <v>0</v>
      </c>
    </row>
    <row r="2203" spans="76:77" x14ac:dyDescent="0.2">
      <c r="BX2203" s="214" t="e">
        <f t="shared" si="84"/>
        <v>#DIV/0!</v>
      </c>
      <c r="BY2203" s="215">
        <f t="shared" si="85"/>
        <v>0</v>
      </c>
    </row>
    <row r="2204" spans="76:77" x14ac:dyDescent="0.2">
      <c r="BX2204" s="214" t="e">
        <f t="shared" si="84"/>
        <v>#DIV/0!</v>
      </c>
      <c r="BY2204" s="215">
        <f t="shared" si="85"/>
        <v>0</v>
      </c>
    </row>
    <row r="2205" spans="76:77" x14ac:dyDescent="0.2">
      <c r="BX2205" s="214" t="e">
        <f t="shared" si="84"/>
        <v>#DIV/0!</v>
      </c>
      <c r="BY2205" s="215">
        <f t="shared" si="85"/>
        <v>0</v>
      </c>
    </row>
    <row r="2206" spans="76:77" x14ac:dyDescent="0.2">
      <c r="BX2206" s="214" t="e">
        <f t="shared" si="84"/>
        <v>#DIV/0!</v>
      </c>
      <c r="BY2206" s="215">
        <f t="shared" si="85"/>
        <v>0</v>
      </c>
    </row>
    <row r="2207" spans="76:77" x14ac:dyDescent="0.2">
      <c r="BX2207" s="214" t="e">
        <f t="shared" si="84"/>
        <v>#DIV/0!</v>
      </c>
      <c r="BY2207" s="215">
        <f t="shared" si="85"/>
        <v>0</v>
      </c>
    </row>
    <row r="2208" spans="76:77" x14ac:dyDescent="0.2">
      <c r="BX2208" s="214" t="e">
        <f t="shared" si="84"/>
        <v>#DIV/0!</v>
      </c>
      <c r="BY2208" s="215">
        <f t="shared" si="85"/>
        <v>0</v>
      </c>
    </row>
    <row r="2209" spans="76:77" x14ac:dyDescent="0.2">
      <c r="BX2209" s="214" t="e">
        <f t="shared" si="84"/>
        <v>#DIV/0!</v>
      </c>
      <c r="BY2209" s="215">
        <f t="shared" si="85"/>
        <v>0</v>
      </c>
    </row>
    <row r="2210" spans="76:77" x14ac:dyDescent="0.2">
      <c r="BX2210" s="214" t="e">
        <f t="shared" si="84"/>
        <v>#DIV/0!</v>
      </c>
      <c r="BY2210" s="215">
        <f t="shared" si="85"/>
        <v>0</v>
      </c>
    </row>
    <row r="2211" spans="76:77" x14ac:dyDescent="0.2">
      <c r="BX2211" s="214" t="e">
        <f t="shared" si="84"/>
        <v>#DIV/0!</v>
      </c>
      <c r="BY2211" s="215">
        <f t="shared" si="85"/>
        <v>0</v>
      </c>
    </row>
    <row r="2212" spans="76:77" x14ac:dyDescent="0.2">
      <c r="BX2212" s="214" t="e">
        <f t="shared" si="84"/>
        <v>#DIV/0!</v>
      </c>
      <c r="BY2212" s="215">
        <f t="shared" si="85"/>
        <v>0</v>
      </c>
    </row>
    <row r="2213" spans="76:77" x14ac:dyDescent="0.2">
      <c r="BX2213" s="214" t="e">
        <f t="shared" si="84"/>
        <v>#DIV/0!</v>
      </c>
      <c r="BY2213" s="215">
        <f t="shared" si="85"/>
        <v>0</v>
      </c>
    </row>
    <row r="2214" spans="76:77" x14ac:dyDescent="0.2">
      <c r="BX2214" s="214" t="e">
        <f t="shared" si="84"/>
        <v>#DIV/0!</v>
      </c>
      <c r="BY2214" s="215">
        <f t="shared" si="85"/>
        <v>0</v>
      </c>
    </row>
    <row r="2215" spans="76:77" x14ac:dyDescent="0.2">
      <c r="BX2215" s="214" t="e">
        <f t="shared" si="84"/>
        <v>#DIV/0!</v>
      </c>
      <c r="BY2215" s="215">
        <f t="shared" si="85"/>
        <v>0</v>
      </c>
    </row>
    <row r="2216" spans="76:77" x14ac:dyDescent="0.2">
      <c r="BX2216" s="214" t="e">
        <f t="shared" si="84"/>
        <v>#DIV/0!</v>
      </c>
      <c r="BY2216" s="215">
        <f t="shared" si="85"/>
        <v>0</v>
      </c>
    </row>
    <row r="2217" spans="76:77" x14ac:dyDescent="0.2">
      <c r="BX2217" s="214" t="e">
        <f t="shared" si="84"/>
        <v>#DIV/0!</v>
      </c>
      <c r="BY2217" s="215">
        <f t="shared" si="85"/>
        <v>0</v>
      </c>
    </row>
    <row r="2218" spans="76:77" x14ac:dyDescent="0.2">
      <c r="BX2218" s="214" t="e">
        <f t="shared" si="84"/>
        <v>#DIV/0!</v>
      </c>
      <c r="BY2218" s="215">
        <f t="shared" si="85"/>
        <v>0</v>
      </c>
    </row>
    <row r="2219" spans="76:77" x14ac:dyDescent="0.2">
      <c r="BX2219" s="214" t="e">
        <f t="shared" si="84"/>
        <v>#DIV/0!</v>
      </c>
      <c r="BY2219" s="215">
        <f t="shared" si="85"/>
        <v>0</v>
      </c>
    </row>
    <row r="2220" spans="76:77" x14ac:dyDescent="0.2">
      <c r="BX2220" s="214" t="e">
        <f t="shared" si="84"/>
        <v>#DIV/0!</v>
      </c>
      <c r="BY2220" s="215">
        <f t="shared" si="85"/>
        <v>0</v>
      </c>
    </row>
    <row r="2221" spans="76:77" x14ac:dyDescent="0.2">
      <c r="BX2221" s="214" t="e">
        <f t="shared" si="84"/>
        <v>#DIV/0!</v>
      </c>
      <c r="BY2221" s="215">
        <f t="shared" si="85"/>
        <v>0</v>
      </c>
    </row>
    <row r="2222" spans="76:77" x14ac:dyDescent="0.2">
      <c r="BX2222" s="214" t="e">
        <f t="shared" si="84"/>
        <v>#DIV/0!</v>
      </c>
      <c r="BY2222" s="215">
        <f t="shared" si="85"/>
        <v>0</v>
      </c>
    </row>
    <row r="2223" spans="76:77" x14ac:dyDescent="0.2">
      <c r="BX2223" s="214" t="e">
        <f t="shared" si="84"/>
        <v>#DIV/0!</v>
      </c>
      <c r="BY2223" s="215">
        <f t="shared" si="85"/>
        <v>0</v>
      </c>
    </row>
    <row r="2224" spans="76:77" x14ac:dyDescent="0.2">
      <c r="BX2224" s="214" t="e">
        <f t="shared" si="84"/>
        <v>#DIV/0!</v>
      </c>
      <c r="BY2224" s="215">
        <f t="shared" si="85"/>
        <v>0</v>
      </c>
    </row>
    <row r="2225" spans="76:77" x14ac:dyDescent="0.2">
      <c r="BX2225" s="214" t="e">
        <f t="shared" si="84"/>
        <v>#DIV/0!</v>
      </c>
      <c r="BY2225" s="215">
        <f t="shared" si="85"/>
        <v>0</v>
      </c>
    </row>
    <row r="2226" spans="76:77" x14ac:dyDescent="0.2">
      <c r="BX2226" s="214" t="e">
        <f t="shared" si="84"/>
        <v>#DIV/0!</v>
      </c>
      <c r="BY2226" s="215">
        <f t="shared" si="85"/>
        <v>0</v>
      </c>
    </row>
    <row r="2227" spans="76:77" x14ac:dyDescent="0.2">
      <c r="BX2227" s="214" t="e">
        <f t="shared" si="84"/>
        <v>#DIV/0!</v>
      </c>
      <c r="BY2227" s="215">
        <f t="shared" si="85"/>
        <v>0</v>
      </c>
    </row>
    <row r="2228" spans="76:77" x14ac:dyDescent="0.2">
      <c r="BX2228" s="214" t="e">
        <f t="shared" si="84"/>
        <v>#DIV/0!</v>
      </c>
      <c r="BY2228" s="215">
        <f t="shared" si="85"/>
        <v>0</v>
      </c>
    </row>
    <row r="2229" spans="76:77" x14ac:dyDescent="0.2">
      <c r="BX2229" s="214" t="e">
        <f t="shared" si="84"/>
        <v>#DIV/0!</v>
      </c>
      <c r="BY2229" s="215">
        <f t="shared" si="85"/>
        <v>0</v>
      </c>
    </row>
    <row r="2230" spans="76:77" x14ac:dyDescent="0.2">
      <c r="BX2230" s="214" t="e">
        <f t="shared" si="84"/>
        <v>#DIV/0!</v>
      </c>
      <c r="BY2230" s="215">
        <f t="shared" si="85"/>
        <v>0</v>
      </c>
    </row>
    <row r="2231" spans="76:77" x14ac:dyDescent="0.2">
      <c r="BX2231" s="214" t="e">
        <f t="shared" si="84"/>
        <v>#DIV/0!</v>
      </c>
      <c r="BY2231" s="215">
        <f t="shared" si="85"/>
        <v>0</v>
      </c>
    </row>
    <row r="2232" spans="76:77" x14ac:dyDescent="0.2">
      <c r="BX2232" s="214" t="e">
        <f t="shared" si="84"/>
        <v>#DIV/0!</v>
      </c>
      <c r="BY2232" s="215">
        <f t="shared" si="85"/>
        <v>0</v>
      </c>
    </row>
    <row r="2233" spans="76:77" x14ac:dyDescent="0.2">
      <c r="BX2233" s="214" t="e">
        <f t="shared" si="84"/>
        <v>#DIV/0!</v>
      </c>
      <c r="BY2233" s="215">
        <f t="shared" si="85"/>
        <v>0</v>
      </c>
    </row>
    <row r="2234" spans="76:77" x14ac:dyDescent="0.2">
      <c r="BX2234" s="214" t="e">
        <f t="shared" si="84"/>
        <v>#DIV/0!</v>
      </c>
      <c r="BY2234" s="215">
        <f t="shared" si="85"/>
        <v>0</v>
      </c>
    </row>
    <row r="2235" spans="76:77" x14ac:dyDescent="0.2">
      <c r="BX2235" s="214" t="e">
        <f t="shared" si="84"/>
        <v>#DIV/0!</v>
      </c>
      <c r="BY2235" s="215">
        <f t="shared" si="85"/>
        <v>0</v>
      </c>
    </row>
    <row r="2236" spans="76:77" x14ac:dyDescent="0.2">
      <c r="BX2236" s="214" t="e">
        <f t="shared" si="84"/>
        <v>#DIV/0!</v>
      </c>
      <c r="BY2236" s="215">
        <f t="shared" si="85"/>
        <v>0</v>
      </c>
    </row>
    <row r="2237" spans="76:77" x14ac:dyDescent="0.2">
      <c r="BX2237" s="214" t="e">
        <f t="shared" si="84"/>
        <v>#DIV/0!</v>
      </c>
      <c r="BY2237" s="215">
        <f t="shared" si="85"/>
        <v>0</v>
      </c>
    </row>
    <row r="2238" spans="76:77" x14ac:dyDescent="0.2">
      <c r="BX2238" s="214" t="e">
        <f t="shared" si="84"/>
        <v>#DIV/0!</v>
      </c>
      <c r="BY2238" s="215">
        <f t="shared" si="85"/>
        <v>0</v>
      </c>
    </row>
    <row r="2239" spans="76:77" x14ac:dyDescent="0.2">
      <c r="BX2239" s="214" t="e">
        <f t="shared" si="84"/>
        <v>#DIV/0!</v>
      </c>
      <c r="BY2239" s="215">
        <f t="shared" si="85"/>
        <v>0</v>
      </c>
    </row>
    <row r="2240" spans="76:77" x14ac:dyDescent="0.2">
      <c r="BX2240" s="214" t="e">
        <f t="shared" si="84"/>
        <v>#DIV/0!</v>
      </c>
      <c r="BY2240" s="215">
        <f t="shared" si="85"/>
        <v>0</v>
      </c>
    </row>
    <row r="2241" spans="76:77" x14ac:dyDescent="0.2">
      <c r="BX2241" s="214" t="e">
        <f t="shared" si="84"/>
        <v>#DIV/0!</v>
      </c>
      <c r="BY2241" s="215">
        <f t="shared" si="85"/>
        <v>0</v>
      </c>
    </row>
    <row r="2242" spans="76:77" x14ac:dyDescent="0.2">
      <c r="BX2242" s="214" t="e">
        <f t="shared" si="84"/>
        <v>#DIV/0!</v>
      </c>
      <c r="BY2242" s="215">
        <f t="shared" si="85"/>
        <v>0</v>
      </c>
    </row>
    <row r="2243" spans="76:77" x14ac:dyDescent="0.2">
      <c r="BX2243" s="214" t="e">
        <f t="shared" si="84"/>
        <v>#DIV/0!</v>
      </c>
      <c r="BY2243" s="215">
        <f t="shared" si="85"/>
        <v>0</v>
      </c>
    </row>
    <row r="2244" spans="76:77" x14ac:dyDescent="0.2">
      <c r="BX2244" s="214" t="e">
        <f t="shared" si="84"/>
        <v>#DIV/0!</v>
      </c>
      <c r="BY2244" s="215">
        <f t="shared" si="85"/>
        <v>0</v>
      </c>
    </row>
    <row r="2245" spans="76:77" x14ac:dyDescent="0.2">
      <c r="BX2245" s="214" t="e">
        <f t="shared" si="84"/>
        <v>#DIV/0!</v>
      </c>
      <c r="BY2245" s="215">
        <f t="shared" si="85"/>
        <v>0</v>
      </c>
    </row>
    <row r="2246" spans="76:77" x14ac:dyDescent="0.2">
      <c r="BX2246" s="214" t="e">
        <f t="shared" si="84"/>
        <v>#DIV/0!</v>
      </c>
      <c r="BY2246" s="215">
        <f t="shared" si="85"/>
        <v>0</v>
      </c>
    </row>
    <row r="2247" spans="76:77" x14ac:dyDescent="0.2">
      <c r="BX2247" s="214" t="e">
        <f t="shared" si="84"/>
        <v>#DIV/0!</v>
      </c>
      <c r="BY2247" s="215">
        <f t="shared" si="85"/>
        <v>0</v>
      </c>
    </row>
    <row r="2248" spans="76:77" x14ac:dyDescent="0.2">
      <c r="BX2248" s="214" t="e">
        <f t="shared" si="84"/>
        <v>#DIV/0!</v>
      </c>
      <c r="BY2248" s="215">
        <f t="shared" si="85"/>
        <v>0</v>
      </c>
    </row>
    <row r="2249" spans="76:77" x14ac:dyDescent="0.2">
      <c r="BX2249" s="214" t="e">
        <f t="shared" si="84"/>
        <v>#DIV/0!</v>
      </c>
      <c r="BY2249" s="215">
        <f t="shared" si="85"/>
        <v>0</v>
      </c>
    </row>
    <row r="2250" spans="76:77" x14ac:dyDescent="0.2">
      <c r="BX2250" s="214" t="e">
        <f t="shared" si="84"/>
        <v>#DIV/0!</v>
      </c>
      <c r="BY2250" s="215">
        <f t="shared" si="85"/>
        <v>0</v>
      </c>
    </row>
    <row r="2251" spans="76:77" x14ac:dyDescent="0.2">
      <c r="BX2251" s="214" t="e">
        <f t="shared" si="84"/>
        <v>#DIV/0!</v>
      </c>
      <c r="BY2251" s="215">
        <f t="shared" si="85"/>
        <v>0</v>
      </c>
    </row>
    <row r="2252" spans="76:77" x14ac:dyDescent="0.2">
      <c r="BX2252" s="214" t="e">
        <f t="shared" si="84"/>
        <v>#DIV/0!</v>
      </c>
      <c r="BY2252" s="215">
        <f t="shared" si="85"/>
        <v>0</v>
      </c>
    </row>
    <row r="2253" spans="76:77" x14ac:dyDescent="0.2">
      <c r="BX2253" s="214" t="e">
        <f t="shared" ref="BX2253:BX2316" si="86">BY2253/BV2253</f>
        <v>#DIV/0!</v>
      </c>
      <c r="BY2253" s="215">
        <f t="shared" si="85"/>
        <v>0</v>
      </c>
    </row>
    <row r="2254" spans="76:77" x14ac:dyDescent="0.2">
      <c r="BX2254" s="214" t="e">
        <f t="shared" si="86"/>
        <v>#DIV/0!</v>
      </c>
      <c r="BY2254" s="215">
        <f t="shared" ref="BY2254:BY2317" si="87">BY2253+BW2254*(BV2254-BV2253)</f>
        <v>0</v>
      </c>
    </row>
    <row r="2255" spans="76:77" x14ac:dyDescent="0.2">
      <c r="BX2255" s="214" t="e">
        <f t="shared" si="86"/>
        <v>#DIV/0!</v>
      </c>
      <c r="BY2255" s="215">
        <f t="shared" si="87"/>
        <v>0</v>
      </c>
    </row>
    <row r="2256" spans="76:77" x14ac:dyDescent="0.2">
      <c r="BX2256" s="214" t="e">
        <f t="shared" si="86"/>
        <v>#DIV/0!</v>
      </c>
      <c r="BY2256" s="215">
        <f t="shared" si="87"/>
        <v>0</v>
      </c>
    </row>
    <row r="2257" spans="76:77" x14ac:dyDescent="0.2">
      <c r="BX2257" s="214" t="e">
        <f t="shared" si="86"/>
        <v>#DIV/0!</v>
      </c>
      <c r="BY2257" s="215">
        <f t="shared" si="87"/>
        <v>0</v>
      </c>
    </row>
    <row r="2258" spans="76:77" x14ac:dyDescent="0.2">
      <c r="BX2258" s="214" t="e">
        <f t="shared" si="86"/>
        <v>#DIV/0!</v>
      </c>
      <c r="BY2258" s="215">
        <f t="shared" si="87"/>
        <v>0</v>
      </c>
    </row>
    <row r="2259" spans="76:77" x14ac:dyDescent="0.2">
      <c r="BX2259" s="214" t="e">
        <f t="shared" si="86"/>
        <v>#DIV/0!</v>
      </c>
      <c r="BY2259" s="215">
        <f t="shared" si="87"/>
        <v>0</v>
      </c>
    </row>
    <row r="2260" spans="76:77" x14ac:dyDescent="0.2">
      <c r="BX2260" s="214" t="e">
        <f t="shared" si="86"/>
        <v>#DIV/0!</v>
      </c>
      <c r="BY2260" s="215">
        <f t="shared" si="87"/>
        <v>0</v>
      </c>
    </row>
    <row r="2261" spans="76:77" x14ac:dyDescent="0.2">
      <c r="BX2261" s="214" t="e">
        <f t="shared" si="86"/>
        <v>#DIV/0!</v>
      </c>
      <c r="BY2261" s="215">
        <f t="shared" si="87"/>
        <v>0</v>
      </c>
    </row>
    <row r="2262" spans="76:77" x14ac:dyDescent="0.2">
      <c r="BX2262" s="214" t="e">
        <f t="shared" si="86"/>
        <v>#DIV/0!</v>
      </c>
      <c r="BY2262" s="215">
        <f t="shared" si="87"/>
        <v>0</v>
      </c>
    </row>
    <row r="2263" spans="76:77" x14ac:dyDescent="0.2">
      <c r="BX2263" s="214" t="e">
        <f t="shared" si="86"/>
        <v>#DIV/0!</v>
      </c>
      <c r="BY2263" s="215">
        <f t="shared" si="87"/>
        <v>0</v>
      </c>
    </row>
    <row r="2264" spans="76:77" x14ac:dyDescent="0.2">
      <c r="BX2264" s="214" t="e">
        <f t="shared" si="86"/>
        <v>#DIV/0!</v>
      </c>
      <c r="BY2264" s="215">
        <f t="shared" si="87"/>
        <v>0</v>
      </c>
    </row>
    <row r="2265" spans="76:77" x14ac:dyDescent="0.2">
      <c r="BX2265" s="214" t="e">
        <f t="shared" si="86"/>
        <v>#DIV/0!</v>
      </c>
      <c r="BY2265" s="215">
        <f t="shared" si="87"/>
        <v>0</v>
      </c>
    </row>
    <row r="2266" spans="76:77" x14ac:dyDescent="0.2">
      <c r="BX2266" s="214" t="e">
        <f t="shared" si="86"/>
        <v>#DIV/0!</v>
      </c>
      <c r="BY2266" s="215">
        <f t="shared" si="87"/>
        <v>0</v>
      </c>
    </row>
    <row r="2267" spans="76:77" x14ac:dyDescent="0.2">
      <c r="BX2267" s="214" t="e">
        <f t="shared" si="86"/>
        <v>#DIV/0!</v>
      </c>
      <c r="BY2267" s="215">
        <f t="shared" si="87"/>
        <v>0</v>
      </c>
    </row>
    <row r="2268" spans="76:77" x14ac:dyDescent="0.2">
      <c r="BX2268" s="214" t="e">
        <f t="shared" si="86"/>
        <v>#DIV/0!</v>
      </c>
      <c r="BY2268" s="215">
        <f t="shared" si="87"/>
        <v>0</v>
      </c>
    </row>
    <row r="2269" spans="76:77" x14ac:dyDescent="0.2">
      <c r="BX2269" s="214" t="e">
        <f t="shared" si="86"/>
        <v>#DIV/0!</v>
      </c>
      <c r="BY2269" s="215">
        <f t="shared" si="87"/>
        <v>0</v>
      </c>
    </row>
    <row r="2270" spans="76:77" x14ac:dyDescent="0.2">
      <c r="BX2270" s="214" t="e">
        <f t="shared" si="86"/>
        <v>#DIV/0!</v>
      </c>
      <c r="BY2270" s="215">
        <f t="shared" si="87"/>
        <v>0</v>
      </c>
    </row>
    <row r="2271" spans="76:77" x14ac:dyDescent="0.2">
      <c r="BX2271" s="214" t="e">
        <f t="shared" si="86"/>
        <v>#DIV/0!</v>
      </c>
      <c r="BY2271" s="215">
        <f t="shared" si="87"/>
        <v>0</v>
      </c>
    </row>
    <row r="2272" spans="76:77" x14ac:dyDescent="0.2">
      <c r="BX2272" s="214" t="e">
        <f t="shared" si="86"/>
        <v>#DIV/0!</v>
      </c>
      <c r="BY2272" s="215">
        <f t="shared" si="87"/>
        <v>0</v>
      </c>
    </row>
    <row r="2273" spans="76:77" x14ac:dyDescent="0.2">
      <c r="BX2273" s="214" t="e">
        <f t="shared" si="86"/>
        <v>#DIV/0!</v>
      </c>
      <c r="BY2273" s="215">
        <f t="shared" si="87"/>
        <v>0</v>
      </c>
    </row>
    <row r="2274" spans="76:77" x14ac:dyDescent="0.2">
      <c r="BX2274" s="214" t="e">
        <f t="shared" si="86"/>
        <v>#DIV/0!</v>
      </c>
      <c r="BY2274" s="215">
        <f t="shared" si="87"/>
        <v>0</v>
      </c>
    </row>
    <row r="2275" spans="76:77" x14ac:dyDescent="0.2">
      <c r="BX2275" s="214" t="e">
        <f t="shared" si="86"/>
        <v>#DIV/0!</v>
      </c>
      <c r="BY2275" s="215">
        <f t="shared" si="87"/>
        <v>0</v>
      </c>
    </row>
    <row r="2276" spans="76:77" x14ac:dyDescent="0.2">
      <c r="BX2276" s="214" t="e">
        <f t="shared" si="86"/>
        <v>#DIV/0!</v>
      </c>
      <c r="BY2276" s="215">
        <f t="shared" si="87"/>
        <v>0</v>
      </c>
    </row>
    <row r="2277" spans="76:77" x14ac:dyDescent="0.2">
      <c r="BX2277" s="214" t="e">
        <f t="shared" si="86"/>
        <v>#DIV/0!</v>
      </c>
      <c r="BY2277" s="215">
        <f t="shared" si="87"/>
        <v>0</v>
      </c>
    </row>
    <row r="2278" spans="76:77" x14ac:dyDescent="0.2">
      <c r="BX2278" s="214" t="e">
        <f t="shared" si="86"/>
        <v>#DIV/0!</v>
      </c>
      <c r="BY2278" s="215">
        <f t="shared" si="87"/>
        <v>0</v>
      </c>
    </row>
    <row r="2279" spans="76:77" x14ac:dyDescent="0.2">
      <c r="BX2279" s="214" t="e">
        <f t="shared" si="86"/>
        <v>#DIV/0!</v>
      </c>
      <c r="BY2279" s="215">
        <f t="shared" si="87"/>
        <v>0</v>
      </c>
    </row>
    <row r="2280" spans="76:77" x14ac:dyDescent="0.2">
      <c r="BX2280" s="214" t="e">
        <f t="shared" si="86"/>
        <v>#DIV/0!</v>
      </c>
      <c r="BY2280" s="215">
        <f t="shared" si="87"/>
        <v>0</v>
      </c>
    </row>
    <row r="2281" spans="76:77" x14ac:dyDescent="0.2">
      <c r="BX2281" s="214" t="e">
        <f t="shared" si="86"/>
        <v>#DIV/0!</v>
      </c>
      <c r="BY2281" s="215">
        <f t="shared" si="87"/>
        <v>0</v>
      </c>
    </row>
    <row r="2282" spans="76:77" x14ac:dyDescent="0.2">
      <c r="BX2282" s="214" t="e">
        <f t="shared" si="86"/>
        <v>#DIV/0!</v>
      </c>
      <c r="BY2282" s="215">
        <f t="shared" si="87"/>
        <v>0</v>
      </c>
    </row>
    <row r="2283" spans="76:77" x14ac:dyDescent="0.2">
      <c r="BX2283" s="214" t="e">
        <f t="shared" si="86"/>
        <v>#DIV/0!</v>
      </c>
      <c r="BY2283" s="215">
        <f t="shared" si="87"/>
        <v>0</v>
      </c>
    </row>
    <row r="2284" spans="76:77" x14ac:dyDescent="0.2">
      <c r="BX2284" s="214" t="e">
        <f t="shared" si="86"/>
        <v>#DIV/0!</v>
      </c>
      <c r="BY2284" s="215">
        <f t="shared" si="87"/>
        <v>0</v>
      </c>
    </row>
    <row r="2285" spans="76:77" x14ac:dyDescent="0.2">
      <c r="BX2285" s="214" t="e">
        <f t="shared" si="86"/>
        <v>#DIV/0!</v>
      </c>
      <c r="BY2285" s="215">
        <f t="shared" si="87"/>
        <v>0</v>
      </c>
    </row>
    <row r="2286" spans="76:77" x14ac:dyDescent="0.2">
      <c r="BX2286" s="214" t="e">
        <f t="shared" si="86"/>
        <v>#DIV/0!</v>
      </c>
      <c r="BY2286" s="215">
        <f t="shared" si="87"/>
        <v>0</v>
      </c>
    </row>
    <row r="2287" spans="76:77" x14ac:dyDescent="0.2">
      <c r="BX2287" s="214" t="e">
        <f t="shared" si="86"/>
        <v>#DIV/0!</v>
      </c>
      <c r="BY2287" s="215">
        <f t="shared" si="87"/>
        <v>0</v>
      </c>
    </row>
    <row r="2288" spans="76:77" x14ac:dyDescent="0.2">
      <c r="BX2288" s="214" t="e">
        <f t="shared" si="86"/>
        <v>#DIV/0!</v>
      </c>
      <c r="BY2288" s="215">
        <f t="shared" si="87"/>
        <v>0</v>
      </c>
    </row>
    <row r="2289" spans="76:77" x14ac:dyDescent="0.2">
      <c r="BX2289" s="214" t="e">
        <f t="shared" si="86"/>
        <v>#DIV/0!</v>
      </c>
      <c r="BY2289" s="215">
        <f t="shared" si="87"/>
        <v>0</v>
      </c>
    </row>
    <row r="2290" spans="76:77" x14ac:dyDescent="0.2">
      <c r="BX2290" s="214" t="e">
        <f t="shared" si="86"/>
        <v>#DIV/0!</v>
      </c>
      <c r="BY2290" s="215">
        <f t="shared" si="87"/>
        <v>0</v>
      </c>
    </row>
    <row r="2291" spans="76:77" x14ac:dyDescent="0.2">
      <c r="BX2291" s="214" t="e">
        <f t="shared" si="86"/>
        <v>#DIV/0!</v>
      </c>
      <c r="BY2291" s="215">
        <f t="shared" si="87"/>
        <v>0</v>
      </c>
    </row>
    <row r="2292" spans="76:77" x14ac:dyDescent="0.2">
      <c r="BX2292" s="214" t="e">
        <f t="shared" si="86"/>
        <v>#DIV/0!</v>
      </c>
      <c r="BY2292" s="215">
        <f t="shared" si="87"/>
        <v>0</v>
      </c>
    </row>
    <row r="2293" spans="76:77" x14ac:dyDescent="0.2">
      <c r="BX2293" s="214" t="e">
        <f t="shared" si="86"/>
        <v>#DIV/0!</v>
      </c>
      <c r="BY2293" s="215">
        <f t="shared" si="87"/>
        <v>0</v>
      </c>
    </row>
    <row r="2294" spans="76:77" x14ac:dyDescent="0.2">
      <c r="BX2294" s="214" t="e">
        <f t="shared" si="86"/>
        <v>#DIV/0!</v>
      </c>
      <c r="BY2294" s="215">
        <f t="shared" si="87"/>
        <v>0</v>
      </c>
    </row>
    <row r="2295" spans="76:77" x14ac:dyDescent="0.2">
      <c r="BX2295" s="214" t="e">
        <f t="shared" si="86"/>
        <v>#DIV/0!</v>
      </c>
      <c r="BY2295" s="215">
        <f t="shared" si="87"/>
        <v>0</v>
      </c>
    </row>
    <row r="2296" spans="76:77" x14ac:dyDescent="0.2">
      <c r="BX2296" s="214" t="e">
        <f t="shared" si="86"/>
        <v>#DIV/0!</v>
      </c>
      <c r="BY2296" s="215">
        <f t="shared" si="87"/>
        <v>0</v>
      </c>
    </row>
    <row r="2297" spans="76:77" x14ac:dyDescent="0.2">
      <c r="BX2297" s="214" t="e">
        <f t="shared" si="86"/>
        <v>#DIV/0!</v>
      </c>
      <c r="BY2297" s="215">
        <f t="shared" si="87"/>
        <v>0</v>
      </c>
    </row>
    <row r="2298" spans="76:77" x14ac:dyDescent="0.2">
      <c r="BX2298" s="214" t="e">
        <f t="shared" si="86"/>
        <v>#DIV/0!</v>
      </c>
      <c r="BY2298" s="215">
        <f t="shared" si="87"/>
        <v>0</v>
      </c>
    </row>
    <row r="2299" spans="76:77" x14ac:dyDescent="0.2">
      <c r="BX2299" s="214" t="e">
        <f t="shared" si="86"/>
        <v>#DIV/0!</v>
      </c>
      <c r="BY2299" s="215">
        <f t="shared" si="87"/>
        <v>0</v>
      </c>
    </row>
    <row r="2300" spans="76:77" x14ac:dyDescent="0.2">
      <c r="BX2300" s="214" t="e">
        <f t="shared" si="86"/>
        <v>#DIV/0!</v>
      </c>
      <c r="BY2300" s="215">
        <f t="shared" si="87"/>
        <v>0</v>
      </c>
    </row>
    <row r="2301" spans="76:77" x14ac:dyDescent="0.2">
      <c r="BX2301" s="214" t="e">
        <f t="shared" si="86"/>
        <v>#DIV/0!</v>
      </c>
      <c r="BY2301" s="215">
        <f t="shared" si="87"/>
        <v>0</v>
      </c>
    </row>
    <row r="2302" spans="76:77" x14ac:dyDescent="0.2">
      <c r="BX2302" s="214" t="e">
        <f t="shared" si="86"/>
        <v>#DIV/0!</v>
      </c>
      <c r="BY2302" s="215">
        <f t="shared" si="87"/>
        <v>0</v>
      </c>
    </row>
    <row r="2303" spans="76:77" x14ac:dyDescent="0.2">
      <c r="BX2303" s="214" t="e">
        <f t="shared" si="86"/>
        <v>#DIV/0!</v>
      </c>
      <c r="BY2303" s="215">
        <f t="shared" si="87"/>
        <v>0</v>
      </c>
    </row>
    <row r="2304" spans="76:77" x14ac:dyDescent="0.2">
      <c r="BX2304" s="214" t="e">
        <f t="shared" si="86"/>
        <v>#DIV/0!</v>
      </c>
      <c r="BY2304" s="215">
        <f t="shared" si="87"/>
        <v>0</v>
      </c>
    </row>
    <row r="2305" spans="76:77" x14ac:dyDescent="0.2">
      <c r="BX2305" s="214" t="e">
        <f t="shared" si="86"/>
        <v>#DIV/0!</v>
      </c>
      <c r="BY2305" s="215">
        <f t="shared" si="87"/>
        <v>0</v>
      </c>
    </row>
    <row r="2306" spans="76:77" x14ac:dyDescent="0.2">
      <c r="BX2306" s="214" t="e">
        <f t="shared" si="86"/>
        <v>#DIV/0!</v>
      </c>
      <c r="BY2306" s="215">
        <f t="shared" si="87"/>
        <v>0</v>
      </c>
    </row>
    <row r="2307" spans="76:77" x14ac:dyDescent="0.2">
      <c r="BX2307" s="214" t="e">
        <f t="shared" si="86"/>
        <v>#DIV/0!</v>
      </c>
      <c r="BY2307" s="215">
        <f t="shared" si="87"/>
        <v>0</v>
      </c>
    </row>
    <row r="2308" spans="76:77" x14ac:dyDescent="0.2">
      <c r="BX2308" s="214" t="e">
        <f t="shared" si="86"/>
        <v>#DIV/0!</v>
      </c>
      <c r="BY2308" s="215">
        <f t="shared" si="87"/>
        <v>0</v>
      </c>
    </row>
    <row r="2309" spans="76:77" x14ac:dyDescent="0.2">
      <c r="BX2309" s="214" t="e">
        <f t="shared" si="86"/>
        <v>#DIV/0!</v>
      </c>
      <c r="BY2309" s="215">
        <f t="shared" si="87"/>
        <v>0</v>
      </c>
    </row>
    <row r="2310" spans="76:77" x14ac:dyDescent="0.2">
      <c r="BX2310" s="214" t="e">
        <f t="shared" si="86"/>
        <v>#DIV/0!</v>
      </c>
      <c r="BY2310" s="215">
        <f t="shared" si="87"/>
        <v>0</v>
      </c>
    </row>
    <row r="2311" spans="76:77" x14ac:dyDescent="0.2">
      <c r="BX2311" s="214" t="e">
        <f t="shared" si="86"/>
        <v>#DIV/0!</v>
      </c>
      <c r="BY2311" s="215">
        <f t="shared" si="87"/>
        <v>0</v>
      </c>
    </row>
    <row r="2312" spans="76:77" x14ac:dyDescent="0.2">
      <c r="BX2312" s="214" t="e">
        <f t="shared" si="86"/>
        <v>#DIV/0!</v>
      </c>
      <c r="BY2312" s="215">
        <f t="shared" si="87"/>
        <v>0</v>
      </c>
    </row>
    <row r="2313" spans="76:77" x14ac:dyDescent="0.2">
      <c r="BX2313" s="214" t="e">
        <f t="shared" si="86"/>
        <v>#DIV/0!</v>
      </c>
      <c r="BY2313" s="215">
        <f t="shared" si="87"/>
        <v>0</v>
      </c>
    </row>
    <row r="2314" spans="76:77" x14ac:dyDescent="0.2">
      <c r="BX2314" s="214" t="e">
        <f t="shared" si="86"/>
        <v>#DIV/0!</v>
      </c>
      <c r="BY2314" s="215">
        <f t="shared" si="87"/>
        <v>0</v>
      </c>
    </row>
    <row r="2315" spans="76:77" x14ac:dyDescent="0.2">
      <c r="BX2315" s="214" t="e">
        <f t="shared" si="86"/>
        <v>#DIV/0!</v>
      </c>
      <c r="BY2315" s="215">
        <f t="shared" si="87"/>
        <v>0</v>
      </c>
    </row>
    <row r="2316" spans="76:77" x14ac:dyDescent="0.2">
      <c r="BX2316" s="214" t="e">
        <f t="shared" si="86"/>
        <v>#DIV/0!</v>
      </c>
      <c r="BY2316" s="215">
        <f t="shared" si="87"/>
        <v>0</v>
      </c>
    </row>
    <row r="2317" spans="76:77" x14ac:dyDescent="0.2">
      <c r="BX2317" s="214" t="e">
        <f t="shared" ref="BX2317:BX2380" si="88">BY2317/BV2317</f>
        <v>#DIV/0!</v>
      </c>
      <c r="BY2317" s="215">
        <f t="shared" si="87"/>
        <v>0</v>
      </c>
    </row>
    <row r="2318" spans="76:77" x14ac:dyDescent="0.2">
      <c r="BX2318" s="214" t="e">
        <f t="shared" si="88"/>
        <v>#DIV/0!</v>
      </c>
      <c r="BY2318" s="215">
        <f t="shared" ref="BY2318:BY2381" si="89">BY2317+BW2318*(BV2318-BV2317)</f>
        <v>0</v>
      </c>
    </row>
    <row r="2319" spans="76:77" x14ac:dyDescent="0.2">
      <c r="BX2319" s="214" t="e">
        <f t="shared" si="88"/>
        <v>#DIV/0!</v>
      </c>
      <c r="BY2319" s="215">
        <f t="shared" si="89"/>
        <v>0</v>
      </c>
    </row>
    <row r="2320" spans="76:77" x14ac:dyDescent="0.2">
      <c r="BX2320" s="214" t="e">
        <f t="shared" si="88"/>
        <v>#DIV/0!</v>
      </c>
      <c r="BY2320" s="215">
        <f t="shared" si="89"/>
        <v>0</v>
      </c>
    </row>
    <row r="2321" spans="76:77" x14ac:dyDescent="0.2">
      <c r="BX2321" s="214" t="e">
        <f t="shared" si="88"/>
        <v>#DIV/0!</v>
      </c>
      <c r="BY2321" s="215">
        <f t="shared" si="89"/>
        <v>0</v>
      </c>
    </row>
    <row r="2322" spans="76:77" x14ac:dyDescent="0.2">
      <c r="BX2322" s="214" t="e">
        <f t="shared" si="88"/>
        <v>#DIV/0!</v>
      </c>
      <c r="BY2322" s="215">
        <f t="shared" si="89"/>
        <v>0</v>
      </c>
    </row>
    <row r="2323" spans="76:77" x14ac:dyDescent="0.2">
      <c r="BX2323" s="214" t="e">
        <f t="shared" si="88"/>
        <v>#DIV/0!</v>
      </c>
      <c r="BY2323" s="215">
        <f t="shared" si="89"/>
        <v>0</v>
      </c>
    </row>
    <row r="2324" spans="76:77" x14ac:dyDescent="0.2">
      <c r="BX2324" s="214" t="e">
        <f t="shared" si="88"/>
        <v>#DIV/0!</v>
      </c>
      <c r="BY2324" s="215">
        <f t="shared" si="89"/>
        <v>0</v>
      </c>
    </row>
    <row r="2325" spans="76:77" x14ac:dyDescent="0.2">
      <c r="BX2325" s="214" t="e">
        <f t="shared" si="88"/>
        <v>#DIV/0!</v>
      </c>
      <c r="BY2325" s="215">
        <f t="shared" si="89"/>
        <v>0</v>
      </c>
    </row>
    <row r="2326" spans="76:77" x14ac:dyDescent="0.2">
      <c r="BX2326" s="214" t="e">
        <f t="shared" si="88"/>
        <v>#DIV/0!</v>
      </c>
      <c r="BY2326" s="215">
        <f t="shared" si="89"/>
        <v>0</v>
      </c>
    </row>
    <row r="2327" spans="76:77" x14ac:dyDescent="0.2">
      <c r="BX2327" s="214" t="e">
        <f t="shared" si="88"/>
        <v>#DIV/0!</v>
      </c>
      <c r="BY2327" s="215">
        <f t="shared" si="89"/>
        <v>0</v>
      </c>
    </row>
    <row r="2328" spans="76:77" x14ac:dyDescent="0.2">
      <c r="BX2328" s="214" t="e">
        <f t="shared" si="88"/>
        <v>#DIV/0!</v>
      </c>
      <c r="BY2328" s="215">
        <f t="shared" si="89"/>
        <v>0</v>
      </c>
    </row>
    <row r="2329" spans="76:77" x14ac:dyDescent="0.2">
      <c r="BX2329" s="214" t="e">
        <f t="shared" si="88"/>
        <v>#DIV/0!</v>
      </c>
      <c r="BY2329" s="215">
        <f t="shared" si="89"/>
        <v>0</v>
      </c>
    </row>
    <row r="2330" spans="76:77" x14ac:dyDescent="0.2">
      <c r="BX2330" s="214" t="e">
        <f t="shared" si="88"/>
        <v>#DIV/0!</v>
      </c>
      <c r="BY2330" s="215">
        <f t="shared" si="89"/>
        <v>0</v>
      </c>
    </row>
    <row r="2331" spans="76:77" x14ac:dyDescent="0.2">
      <c r="BX2331" s="214" t="e">
        <f t="shared" si="88"/>
        <v>#DIV/0!</v>
      </c>
      <c r="BY2331" s="215">
        <f t="shared" si="89"/>
        <v>0</v>
      </c>
    </row>
    <row r="2332" spans="76:77" x14ac:dyDescent="0.2">
      <c r="BX2332" s="214" t="e">
        <f t="shared" si="88"/>
        <v>#DIV/0!</v>
      </c>
      <c r="BY2332" s="215">
        <f t="shared" si="89"/>
        <v>0</v>
      </c>
    </row>
    <row r="2333" spans="76:77" x14ac:dyDescent="0.2">
      <c r="BX2333" s="214" t="e">
        <f t="shared" si="88"/>
        <v>#DIV/0!</v>
      </c>
      <c r="BY2333" s="215">
        <f t="shared" si="89"/>
        <v>0</v>
      </c>
    </row>
    <row r="2334" spans="76:77" x14ac:dyDescent="0.2">
      <c r="BX2334" s="214" t="e">
        <f t="shared" si="88"/>
        <v>#DIV/0!</v>
      </c>
      <c r="BY2334" s="215">
        <f t="shared" si="89"/>
        <v>0</v>
      </c>
    </row>
    <row r="2335" spans="76:77" x14ac:dyDescent="0.2">
      <c r="BX2335" s="214" t="e">
        <f t="shared" si="88"/>
        <v>#DIV/0!</v>
      </c>
      <c r="BY2335" s="215">
        <f t="shared" si="89"/>
        <v>0</v>
      </c>
    </row>
    <row r="2336" spans="76:77" x14ac:dyDescent="0.2">
      <c r="BX2336" s="214" t="e">
        <f t="shared" si="88"/>
        <v>#DIV/0!</v>
      </c>
      <c r="BY2336" s="215">
        <f t="shared" si="89"/>
        <v>0</v>
      </c>
    </row>
    <row r="2337" spans="76:77" x14ac:dyDescent="0.2">
      <c r="BX2337" s="214" t="e">
        <f t="shared" si="88"/>
        <v>#DIV/0!</v>
      </c>
      <c r="BY2337" s="215">
        <f t="shared" si="89"/>
        <v>0</v>
      </c>
    </row>
    <row r="2338" spans="76:77" x14ac:dyDescent="0.2">
      <c r="BX2338" s="214" t="e">
        <f t="shared" si="88"/>
        <v>#DIV/0!</v>
      </c>
      <c r="BY2338" s="215">
        <f t="shared" si="89"/>
        <v>0</v>
      </c>
    </row>
    <row r="2339" spans="76:77" x14ac:dyDescent="0.2">
      <c r="BX2339" s="214" t="e">
        <f t="shared" si="88"/>
        <v>#DIV/0!</v>
      </c>
      <c r="BY2339" s="215">
        <f t="shared" si="89"/>
        <v>0</v>
      </c>
    </row>
    <row r="2340" spans="76:77" x14ac:dyDescent="0.2">
      <c r="BX2340" s="214" t="e">
        <f t="shared" si="88"/>
        <v>#DIV/0!</v>
      </c>
      <c r="BY2340" s="215">
        <f t="shared" si="89"/>
        <v>0</v>
      </c>
    </row>
    <row r="2341" spans="76:77" x14ac:dyDescent="0.2">
      <c r="BX2341" s="214" t="e">
        <f t="shared" si="88"/>
        <v>#DIV/0!</v>
      </c>
      <c r="BY2341" s="215">
        <f t="shared" si="89"/>
        <v>0</v>
      </c>
    </row>
    <row r="2342" spans="76:77" x14ac:dyDescent="0.2">
      <c r="BX2342" s="214" t="e">
        <f t="shared" si="88"/>
        <v>#DIV/0!</v>
      </c>
      <c r="BY2342" s="215">
        <f t="shared" si="89"/>
        <v>0</v>
      </c>
    </row>
    <row r="2343" spans="76:77" x14ac:dyDescent="0.2">
      <c r="BX2343" s="214" t="e">
        <f t="shared" si="88"/>
        <v>#DIV/0!</v>
      </c>
      <c r="BY2343" s="215">
        <f t="shared" si="89"/>
        <v>0</v>
      </c>
    </row>
    <row r="2344" spans="76:77" x14ac:dyDescent="0.2">
      <c r="BX2344" s="214" t="e">
        <f t="shared" si="88"/>
        <v>#DIV/0!</v>
      </c>
      <c r="BY2344" s="215">
        <f t="shared" si="89"/>
        <v>0</v>
      </c>
    </row>
    <row r="2345" spans="76:77" x14ac:dyDescent="0.2">
      <c r="BX2345" s="214" t="e">
        <f t="shared" si="88"/>
        <v>#DIV/0!</v>
      </c>
      <c r="BY2345" s="215">
        <f t="shared" si="89"/>
        <v>0</v>
      </c>
    </row>
    <row r="2346" spans="76:77" x14ac:dyDescent="0.2">
      <c r="BX2346" s="214" t="e">
        <f t="shared" si="88"/>
        <v>#DIV/0!</v>
      </c>
      <c r="BY2346" s="215">
        <f t="shared" si="89"/>
        <v>0</v>
      </c>
    </row>
    <row r="2347" spans="76:77" x14ac:dyDescent="0.2">
      <c r="BX2347" s="214" t="e">
        <f t="shared" si="88"/>
        <v>#DIV/0!</v>
      </c>
      <c r="BY2347" s="215">
        <f t="shared" si="89"/>
        <v>0</v>
      </c>
    </row>
    <row r="2348" spans="76:77" x14ac:dyDescent="0.2">
      <c r="BX2348" s="214" t="e">
        <f t="shared" si="88"/>
        <v>#DIV/0!</v>
      </c>
      <c r="BY2348" s="215">
        <f t="shared" si="89"/>
        <v>0</v>
      </c>
    </row>
    <row r="2349" spans="76:77" x14ac:dyDescent="0.2">
      <c r="BX2349" s="214" t="e">
        <f t="shared" si="88"/>
        <v>#DIV/0!</v>
      </c>
      <c r="BY2349" s="215">
        <f t="shared" si="89"/>
        <v>0</v>
      </c>
    </row>
    <row r="2350" spans="76:77" x14ac:dyDescent="0.2">
      <c r="BX2350" s="214" t="e">
        <f t="shared" si="88"/>
        <v>#DIV/0!</v>
      </c>
      <c r="BY2350" s="215">
        <f t="shared" si="89"/>
        <v>0</v>
      </c>
    </row>
    <row r="2351" spans="76:77" x14ac:dyDescent="0.2">
      <c r="BX2351" s="214" t="e">
        <f t="shared" si="88"/>
        <v>#DIV/0!</v>
      </c>
      <c r="BY2351" s="215">
        <f t="shared" si="89"/>
        <v>0</v>
      </c>
    </row>
    <row r="2352" spans="76:77" x14ac:dyDescent="0.2">
      <c r="BX2352" s="214" t="e">
        <f t="shared" si="88"/>
        <v>#DIV/0!</v>
      </c>
      <c r="BY2352" s="215">
        <f t="shared" si="89"/>
        <v>0</v>
      </c>
    </row>
    <row r="2353" spans="76:77" x14ac:dyDescent="0.2">
      <c r="BX2353" s="214" t="e">
        <f t="shared" si="88"/>
        <v>#DIV/0!</v>
      </c>
      <c r="BY2353" s="215">
        <f t="shared" si="89"/>
        <v>0</v>
      </c>
    </row>
    <row r="2354" spans="76:77" x14ac:dyDescent="0.2">
      <c r="BX2354" s="214" t="e">
        <f t="shared" si="88"/>
        <v>#DIV/0!</v>
      </c>
      <c r="BY2354" s="215">
        <f t="shared" si="89"/>
        <v>0</v>
      </c>
    </row>
    <row r="2355" spans="76:77" x14ac:dyDescent="0.2">
      <c r="BX2355" s="214" t="e">
        <f t="shared" si="88"/>
        <v>#DIV/0!</v>
      </c>
      <c r="BY2355" s="215">
        <f t="shared" si="89"/>
        <v>0</v>
      </c>
    </row>
    <row r="2356" spans="76:77" x14ac:dyDescent="0.2">
      <c r="BX2356" s="214" t="e">
        <f t="shared" si="88"/>
        <v>#DIV/0!</v>
      </c>
      <c r="BY2356" s="215">
        <f t="shared" si="89"/>
        <v>0</v>
      </c>
    </row>
    <row r="2357" spans="76:77" x14ac:dyDescent="0.2">
      <c r="BX2357" s="214" t="e">
        <f t="shared" si="88"/>
        <v>#DIV/0!</v>
      </c>
      <c r="BY2357" s="215">
        <f t="shared" si="89"/>
        <v>0</v>
      </c>
    </row>
    <row r="2358" spans="76:77" x14ac:dyDescent="0.2">
      <c r="BX2358" s="214" t="e">
        <f t="shared" si="88"/>
        <v>#DIV/0!</v>
      </c>
      <c r="BY2358" s="215">
        <f t="shared" si="89"/>
        <v>0</v>
      </c>
    </row>
    <row r="2359" spans="76:77" x14ac:dyDescent="0.2">
      <c r="BX2359" s="214" t="e">
        <f t="shared" si="88"/>
        <v>#DIV/0!</v>
      </c>
      <c r="BY2359" s="215">
        <f t="shared" si="89"/>
        <v>0</v>
      </c>
    </row>
    <row r="2360" spans="76:77" x14ac:dyDescent="0.2">
      <c r="BX2360" s="214" t="e">
        <f t="shared" si="88"/>
        <v>#DIV/0!</v>
      </c>
      <c r="BY2360" s="215">
        <f t="shared" si="89"/>
        <v>0</v>
      </c>
    </row>
    <row r="2361" spans="76:77" x14ac:dyDescent="0.2">
      <c r="BX2361" s="214" t="e">
        <f t="shared" si="88"/>
        <v>#DIV/0!</v>
      </c>
      <c r="BY2361" s="215">
        <f t="shared" si="89"/>
        <v>0</v>
      </c>
    </row>
    <row r="2362" spans="76:77" x14ac:dyDescent="0.2">
      <c r="BX2362" s="214" t="e">
        <f t="shared" si="88"/>
        <v>#DIV/0!</v>
      </c>
      <c r="BY2362" s="215">
        <f t="shared" si="89"/>
        <v>0</v>
      </c>
    </row>
    <row r="2363" spans="76:77" x14ac:dyDescent="0.2">
      <c r="BX2363" s="214" t="e">
        <f t="shared" si="88"/>
        <v>#DIV/0!</v>
      </c>
      <c r="BY2363" s="215">
        <f t="shared" si="89"/>
        <v>0</v>
      </c>
    </row>
    <row r="2364" spans="76:77" x14ac:dyDescent="0.2">
      <c r="BX2364" s="214" t="e">
        <f t="shared" si="88"/>
        <v>#DIV/0!</v>
      </c>
      <c r="BY2364" s="215">
        <f t="shared" si="89"/>
        <v>0</v>
      </c>
    </row>
    <row r="2365" spans="76:77" x14ac:dyDescent="0.2">
      <c r="BX2365" s="214" t="e">
        <f t="shared" si="88"/>
        <v>#DIV/0!</v>
      </c>
      <c r="BY2365" s="215">
        <f t="shared" si="89"/>
        <v>0</v>
      </c>
    </row>
    <row r="2366" spans="76:77" x14ac:dyDescent="0.2">
      <c r="BX2366" s="214" t="e">
        <f t="shared" si="88"/>
        <v>#DIV/0!</v>
      </c>
      <c r="BY2366" s="215">
        <f t="shared" si="89"/>
        <v>0</v>
      </c>
    </row>
    <row r="2367" spans="76:77" x14ac:dyDescent="0.2">
      <c r="BX2367" s="214" t="e">
        <f t="shared" si="88"/>
        <v>#DIV/0!</v>
      </c>
      <c r="BY2367" s="215">
        <f t="shared" si="89"/>
        <v>0</v>
      </c>
    </row>
    <row r="2368" spans="76:77" x14ac:dyDescent="0.2">
      <c r="BX2368" s="214" t="e">
        <f t="shared" si="88"/>
        <v>#DIV/0!</v>
      </c>
      <c r="BY2368" s="215">
        <f t="shared" si="89"/>
        <v>0</v>
      </c>
    </row>
    <row r="2369" spans="76:77" x14ac:dyDescent="0.2">
      <c r="BX2369" s="214" t="e">
        <f t="shared" si="88"/>
        <v>#DIV/0!</v>
      </c>
      <c r="BY2369" s="215">
        <f t="shared" si="89"/>
        <v>0</v>
      </c>
    </row>
    <row r="2370" spans="76:77" x14ac:dyDescent="0.2">
      <c r="BX2370" s="214" t="e">
        <f t="shared" si="88"/>
        <v>#DIV/0!</v>
      </c>
      <c r="BY2370" s="215">
        <f t="shared" si="89"/>
        <v>0</v>
      </c>
    </row>
    <row r="2371" spans="76:77" x14ac:dyDescent="0.2">
      <c r="BX2371" s="214" t="e">
        <f t="shared" si="88"/>
        <v>#DIV/0!</v>
      </c>
      <c r="BY2371" s="215">
        <f t="shared" si="89"/>
        <v>0</v>
      </c>
    </row>
    <row r="2372" spans="76:77" x14ac:dyDescent="0.2">
      <c r="BX2372" s="214" t="e">
        <f t="shared" si="88"/>
        <v>#DIV/0!</v>
      </c>
      <c r="BY2372" s="215">
        <f t="shared" si="89"/>
        <v>0</v>
      </c>
    </row>
    <row r="2373" spans="76:77" x14ac:dyDescent="0.2">
      <c r="BX2373" s="214" t="e">
        <f t="shared" si="88"/>
        <v>#DIV/0!</v>
      </c>
      <c r="BY2373" s="215">
        <f t="shared" si="89"/>
        <v>0</v>
      </c>
    </row>
    <row r="2374" spans="76:77" x14ac:dyDescent="0.2">
      <c r="BX2374" s="214" t="e">
        <f t="shared" si="88"/>
        <v>#DIV/0!</v>
      </c>
      <c r="BY2374" s="215">
        <f t="shared" si="89"/>
        <v>0</v>
      </c>
    </row>
    <row r="2375" spans="76:77" x14ac:dyDescent="0.2">
      <c r="BX2375" s="214" t="e">
        <f t="shared" si="88"/>
        <v>#DIV/0!</v>
      </c>
      <c r="BY2375" s="215">
        <f t="shared" si="89"/>
        <v>0</v>
      </c>
    </row>
    <row r="2376" spans="76:77" x14ac:dyDescent="0.2">
      <c r="BX2376" s="214" t="e">
        <f t="shared" si="88"/>
        <v>#DIV/0!</v>
      </c>
      <c r="BY2376" s="215">
        <f t="shared" si="89"/>
        <v>0</v>
      </c>
    </row>
    <row r="2377" spans="76:77" x14ac:dyDescent="0.2">
      <c r="BX2377" s="214" t="e">
        <f t="shared" si="88"/>
        <v>#DIV/0!</v>
      </c>
      <c r="BY2377" s="215">
        <f t="shared" si="89"/>
        <v>0</v>
      </c>
    </row>
    <row r="2378" spans="76:77" x14ac:dyDescent="0.2">
      <c r="BX2378" s="214" t="e">
        <f t="shared" si="88"/>
        <v>#DIV/0!</v>
      </c>
      <c r="BY2378" s="215">
        <f t="shared" si="89"/>
        <v>0</v>
      </c>
    </row>
    <row r="2379" spans="76:77" x14ac:dyDescent="0.2">
      <c r="BX2379" s="214" t="e">
        <f t="shared" si="88"/>
        <v>#DIV/0!</v>
      </c>
      <c r="BY2379" s="215">
        <f t="shared" si="89"/>
        <v>0</v>
      </c>
    </row>
    <row r="2380" spans="76:77" x14ac:dyDescent="0.2">
      <c r="BX2380" s="214" t="e">
        <f t="shared" si="88"/>
        <v>#DIV/0!</v>
      </c>
      <c r="BY2380" s="215">
        <f t="shared" si="89"/>
        <v>0</v>
      </c>
    </row>
    <row r="2381" spans="76:77" x14ac:dyDescent="0.2">
      <c r="BX2381" s="214" t="e">
        <f t="shared" ref="BX2381:BX2444" si="90">BY2381/BV2381</f>
        <v>#DIV/0!</v>
      </c>
      <c r="BY2381" s="215">
        <f t="shared" si="89"/>
        <v>0</v>
      </c>
    </row>
    <row r="2382" spans="76:77" x14ac:dyDescent="0.2">
      <c r="BX2382" s="214" t="e">
        <f t="shared" si="90"/>
        <v>#DIV/0!</v>
      </c>
      <c r="BY2382" s="215">
        <f t="shared" ref="BY2382:BY2445" si="91">BY2381+BW2382*(BV2382-BV2381)</f>
        <v>0</v>
      </c>
    </row>
    <row r="2383" spans="76:77" x14ac:dyDescent="0.2">
      <c r="BX2383" s="214" t="e">
        <f t="shared" si="90"/>
        <v>#DIV/0!</v>
      </c>
      <c r="BY2383" s="215">
        <f t="shared" si="91"/>
        <v>0</v>
      </c>
    </row>
    <row r="2384" spans="76:77" x14ac:dyDescent="0.2">
      <c r="BX2384" s="214" t="e">
        <f t="shared" si="90"/>
        <v>#DIV/0!</v>
      </c>
      <c r="BY2384" s="215">
        <f t="shared" si="91"/>
        <v>0</v>
      </c>
    </row>
    <row r="2385" spans="76:77" x14ac:dyDescent="0.2">
      <c r="BX2385" s="214" t="e">
        <f t="shared" si="90"/>
        <v>#DIV/0!</v>
      </c>
      <c r="BY2385" s="215">
        <f t="shared" si="91"/>
        <v>0</v>
      </c>
    </row>
    <row r="2386" spans="76:77" x14ac:dyDescent="0.2">
      <c r="BX2386" s="214" t="e">
        <f t="shared" si="90"/>
        <v>#DIV/0!</v>
      </c>
      <c r="BY2386" s="215">
        <f t="shared" si="91"/>
        <v>0</v>
      </c>
    </row>
    <row r="2387" spans="76:77" x14ac:dyDescent="0.2">
      <c r="BX2387" s="214" t="e">
        <f t="shared" si="90"/>
        <v>#DIV/0!</v>
      </c>
      <c r="BY2387" s="215">
        <f t="shared" si="91"/>
        <v>0</v>
      </c>
    </row>
    <row r="2388" spans="76:77" x14ac:dyDescent="0.2">
      <c r="BX2388" s="214" t="e">
        <f t="shared" si="90"/>
        <v>#DIV/0!</v>
      </c>
      <c r="BY2388" s="215">
        <f t="shared" si="91"/>
        <v>0</v>
      </c>
    </row>
    <row r="2389" spans="76:77" x14ac:dyDescent="0.2">
      <c r="BX2389" s="214" t="e">
        <f t="shared" si="90"/>
        <v>#DIV/0!</v>
      </c>
      <c r="BY2389" s="215">
        <f t="shared" si="91"/>
        <v>0</v>
      </c>
    </row>
    <row r="2390" spans="76:77" x14ac:dyDescent="0.2">
      <c r="BX2390" s="214" t="e">
        <f t="shared" si="90"/>
        <v>#DIV/0!</v>
      </c>
      <c r="BY2390" s="215">
        <f t="shared" si="91"/>
        <v>0</v>
      </c>
    </row>
    <row r="2391" spans="76:77" x14ac:dyDescent="0.2">
      <c r="BX2391" s="214" t="e">
        <f t="shared" si="90"/>
        <v>#DIV/0!</v>
      </c>
      <c r="BY2391" s="215">
        <f t="shared" si="91"/>
        <v>0</v>
      </c>
    </row>
    <row r="2392" spans="76:77" x14ac:dyDescent="0.2">
      <c r="BX2392" s="214" t="e">
        <f t="shared" si="90"/>
        <v>#DIV/0!</v>
      </c>
      <c r="BY2392" s="215">
        <f t="shared" si="91"/>
        <v>0</v>
      </c>
    </row>
    <row r="2393" spans="76:77" x14ac:dyDescent="0.2">
      <c r="BX2393" s="214" t="e">
        <f t="shared" si="90"/>
        <v>#DIV/0!</v>
      </c>
      <c r="BY2393" s="215">
        <f t="shared" si="91"/>
        <v>0</v>
      </c>
    </row>
    <row r="2394" spans="76:77" x14ac:dyDescent="0.2">
      <c r="BX2394" s="214" t="e">
        <f t="shared" si="90"/>
        <v>#DIV/0!</v>
      </c>
      <c r="BY2394" s="215">
        <f t="shared" si="91"/>
        <v>0</v>
      </c>
    </row>
    <row r="2395" spans="76:77" x14ac:dyDescent="0.2">
      <c r="BX2395" s="214" t="e">
        <f t="shared" si="90"/>
        <v>#DIV/0!</v>
      </c>
      <c r="BY2395" s="215">
        <f t="shared" si="91"/>
        <v>0</v>
      </c>
    </row>
    <row r="2396" spans="76:77" x14ac:dyDescent="0.2">
      <c r="BX2396" s="214" t="e">
        <f t="shared" si="90"/>
        <v>#DIV/0!</v>
      </c>
      <c r="BY2396" s="215">
        <f t="shared" si="91"/>
        <v>0</v>
      </c>
    </row>
    <row r="2397" spans="76:77" x14ac:dyDescent="0.2">
      <c r="BX2397" s="214" t="e">
        <f t="shared" si="90"/>
        <v>#DIV/0!</v>
      </c>
      <c r="BY2397" s="215">
        <f t="shared" si="91"/>
        <v>0</v>
      </c>
    </row>
    <row r="2398" spans="76:77" x14ac:dyDescent="0.2">
      <c r="BX2398" s="214" t="e">
        <f t="shared" si="90"/>
        <v>#DIV/0!</v>
      </c>
      <c r="BY2398" s="215">
        <f t="shared" si="91"/>
        <v>0</v>
      </c>
    </row>
    <row r="2399" spans="76:77" x14ac:dyDescent="0.2">
      <c r="BX2399" s="214" t="e">
        <f t="shared" si="90"/>
        <v>#DIV/0!</v>
      </c>
      <c r="BY2399" s="215">
        <f t="shared" si="91"/>
        <v>0</v>
      </c>
    </row>
    <row r="2400" spans="76:77" x14ac:dyDescent="0.2">
      <c r="BX2400" s="214" t="e">
        <f t="shared" si="90"/>
        <v>#DIV/0!</v>
      </c>
      <c r="BY2400" s="215">
        <f t="shared" si="91"/>
        <v>0</v>
      </c>
    </row>
    <row r="2401" spans="76:77" x14ac:dyDescent="0.2">
      <c r="BX2401" s="214" t="e">
        <f t="shared" si="90"/>
        <v>#DIV/0!</v>
      </c>
      <c r="BY2401" s="215">
        <f t="shared" si="91"/>
        <v>0</v>
      </c>
    </row>
    <row r="2402" spans="76:77" x14ac:dyDescent="0.2">
      <c r="BX2402" s="214" t="e">
        <f t="shared" si="90"/>
        <v>#DIV/0!</v>
      </c>
      <c r="BY2402" s="215">
        <f t="shared" si="91"/>
        <v>0</v>
      </c>
    </row>
    <row r="2403" spans="76:77" x14ac:dyDescent="0.2">
      <c r="BX2403" s="214" t="e">
        <f t="shared" si="90"/>
        <v>#DIV/0!</v>
      </c>
      <c r="BY2403" s="215">
        <f t="shared" si="91"/>
        <v>0</v>
      </c>
    </row>
    <row r="2404" spans="76:77" x14ac:dyDescent="0.2">
      <c r="BX2404" s="214" t="e">
        <f t="shared" si="90"/>
        <v>#DIV/0!</v>
      </c>
      <c r="BY2404" s="215">
        <f t="shared" si="91"/>
        <v>0</v>
      </c>
    </row>
    <row r="2405" spans="76:77" x14ac:dyDescent="0.2">
      <c r="BX2405" s="214" t="e">
        <f t="shared" si="90"/>
        <v>#DIV/0!</v>
      </c>
      <c r="BY2405" s="215">
        <f t="shared" si="91"/>
        <v>0</v>
      </c>
    </row>
    <row r="2406" spans="76:77" x14ac:dyDescent="0.2">
      <c r="BX2406" s="214" t="e">
        <f t="shared" si="90"/>
        <v>#DIV/0!</v>
      </c>
      <c r="BY2406" s="215">
        <f t="shared" si="91"/>
        <v>0</v>
      </c>
    </row>
    <row r="2407" spans="76:77" x14ac:dyDescent="0.2">
      <c r="BX2407" s="214" t="e">
        <f t="shared" si="90"/>
        <v>#DIV/0!</v>
      </c>
      <c r="BY2407" s="215">
        <f t="shared" si="91"/>
        <v>0</v>
      </c>
    </row>
    <row r="2408" spans="76:77" x14ac:dyDescent="0.2">
      <c r="BX2408" s="214" t="e">
        <f t="shared" si="90"/>
        <v>#DIV/0!</v>
      </c>
      <c r="BY2408" s="215">
        <f t="shared" si="91"/>
        <v>0</v>
      </c>
    </row>
    <row r="2409" spans="76:77" x14ac:dyDescent="0.2">
      <c r="BX2409" s="214" t="e">
        <f t="shared" si="90"/>
        <v>#DIV/0!</v>
      </c>
      <c r="BY2409" s="215">
        <f t="shared" si="91"/>
        <v>0</v>
      </c>
    </row>
    <row r="2410" spans="76:77" x14ac:dyDescent="0.2">
      <c r="BX2410" s="214" t="e">
        <f t="shared" si="90"/>
        <v>#DIV/0!</v>
      </c>
      <c r="BY2410" s="215">
        <f t="shared" si="91"/>
        <v>0</v>
      </c>
    </row>
    <row r="2411" spans="76:77" x14ac:dyDescent="0.2">
      <c r="BX2411" s="214" t="e">
        <f t="shared" si="90"/>
        <v>#DIV/0!</v>
      </c>
      <c r="BY2411" s="215">
        <f t="shared" si="91"/>
        <v>0</v>
      </c>
    </row>
    <row r="2412" spans="76:77" x14ac:dyDescent="0.2">
      <c r="BX2412" s="214" t="e">
        <f t="shared" si="90"/>
        <v>#DIV/0!</v>
      </c>
      <c r="BY2412" s="215">
        <f t="shared" si="91"/>
        <v>0</v>
      </c>
    </row>
    <row r="2413" spans="76:77" x14ac:dyDescent="0.2">
      <c r="BX2413" s="214" t="e">
        <f t="shared" si="90"/>
        <v>#DIV/0!</v>
      </c>
      <c r="BY2413" s="215">
        <f t="shared" si="91"/>
        <v>0</v>
      </c>
    </row>
    <row r="2414" spans="76:77" x14ac:dyDescent="0.2">
      <c r="BX2414" s="214" t="e">
        <f t="shared" si="90"/>
        <v>#DIV/0!</v>
      </c>
      <c r="BY2414" s="215">
        <f t="shared" si="91"/>
        <v>0</v>
      </c>
    </row>
    <row r="2415" spans="76:77" x14ac:dyDescent="0.2">
      <c r="BX2415" s="214" t="e">
        <f t="shared" si="90"/>
        <v>#DIV/0!</v>
      </c>
      <c r="BY2415" s="215">
        <f t="shared" si="91"/>
        <v>0</v>
      </c>
    </row>
    <row r="2416" spans="76:77" x14ac:dyDescent="0.2">
      <c r="BX2416" s="214" t="e">
        <f t="shared" si="90"/>
        <v>#DIV/0!</v>
      </c>
      <c r="BY2416" s="215">
        <f t="shared" si="91"/>
        <v>0</v>
      </c>
    </row>
    <row r="2417" spans="76:77" x14ac:dyDescent="0.2">
      <c r="BX2417" s="214" t="e">
        <f t="shared" si="90"/>
        <v>#DIV/0!</v>
      </c>
      <c r="BY2417" s="215">
        <f t="shared" si="91"/>
        <v>0</v>
      </c>
    </row>
    <row r="2418" spans="76:77" x14ac:dyDescent="0.2">
      <c r="BX2418" s="214" t="e">
        <f t="shared" si="90"/>
        <v>#DIV/0!</v>
      </c>
      <c r="BY2418" s="215">
        <f t="shared" si="91"/>
        <v>0</v>
      </c>
    </row>
    <row r="2419" spans="76:77" x14ac:dyDescent="0.2">
      <c r="BX2419" s="214" t="e">
        <f t="shared" si="90"/>
        <v>#DIV/0!</v>
      </c>
      <c r="BY2419" s="215">
        <f t="shared" si="91"/>
        <v>0</v>
      </c>
    </row>
    <row r="2420" spans="76:77" x14ac:dyDescent="0.2">
      <c r="BX2420" s="214" t="e">
        <f t="shared" si="90"/>
        <v>#DIV/0!</v>
      </c>
      <c r="BY2420" s="215">
        <f t="shared" si="91"/>
        <v>0</v>
      </c>
    </row>
    <row r="2421" spans="76:77" x14ac:dyDescent="0.2">
      <c r="BX2421" s="214" t="e">
        <f t="shared" si="90"/>
        <v>#DIV/0!</v>
      </c>
      <c r="BY2421" s="215">
        <f t="shared" si="91"/>
        <v>0</v>
      </c>
    </row>
    <row r="2422" spans="76:77" x14ac:dyDescent="0.2">
      <c r="BX2422" s="214" t="e">
        <f t="shared" si="90"/>
        <v>#DIV/0!</v>
      </c>
      <c r="BY2422" s="215">
        <f t="shared" si="91"/>
        <v>0</v>
      </c>
    </row>
    <row r="2423" spans="76:77" x14ac:dyDescent="0.2">
      <c r="BX2423" s="214" t="e">
        <f t="shared" si="90"/>
        <v>#DIV/0!</v>
      </c>
      <c r="BY2423" s="215">
        <f t="shared" si="91"/>
        <v>0</v>
      </c>
    </row>
    <row r="2424" spans="76:77" x14ac:dyDescent="0.2">
      <c r="BX2424" s="214" t="e">
        <f t="shared" si="90"/>
        <v>#DIV/0!</v>
      </c>
      <c r="BY2424" s="215">
        <f t="shared" si="91"/>
        <v>0</v>
      </c>
    </row>
    <row r="2425" spans="76:77" x14ac:dyDescent="0.2">
      <c r="BX2425" s="214" t="e">
        <f t="shared" si="90"/>
        <v>#DIV/0!</v>
      </c>
      <c r="BY2425" s="215">
        <f t="shared" si="91"/>
        <v>0</v>
      </c>
    </row>
    <row r="2426" spans="76:77" x14ac:dyDescent="0.2">
      <c r="BX2426" s="214" t="e">
        <f t="shared" si="90"/>
        <v>#DIV/0!</v>
      </c>
      <c r="BY2426" s="215">
        <f t="shared" si="91"/>
        <v>0</v>
      </c>
    </row>
    <row r="2427" spans="76:77" x14ac:dyDescent="0.2">
      <c r="BX2427" s="214" t="e">
        <f t="shared" si="90"/>
        <v>#DIV/0!</v>
      </c>
      <c r="BY2427" s="215">
        <f t="shared" si="91"/>
        <v>0</v>
      </c>
    </row>
    <row r="2428" spans="76:77" x14ac:dyDescent="0.2">
      <c r="BX2428" s="214" t="e">
        <f t="shared" si="90"/>
        <v>#DIV/0!</v>
      </c>
      <c r="BY2428" s="215">
        <f t="shared" si="91"/>
        <v>0</v>
      </c>
    </row>
    <row r="2429" spans="76:77" x14ac:dyDescent="0.2">
      <c r="BX2429" s="214" t="e">
        <f t="shared" si="90"/>
        <v>#DIV/0!</v>
      </c>
      <c r="BY2429" s="215">
        <f t="shared" si="91"/>
        <v>0</v>
      </c>
    </row>
    <row r="2430" spans="76:77" x14ac:dyDescent="0.2">
      <c r="BX2430" s="214" t="e">
        <f t="shared" si="90"/>
        <v>#DIV/0!</v>
      </c>
      <c r="BY2430" s="215">
        <f t="shared" si="91"/>
        <v>0</v>
      </c>
    </row>
    <row r="2431" spans="76:77" x14ac:dyDescent="0.2">
      <c r="BX2431" s="214" t="e">
        <f t="shared" si="90"/>
        <v>#DIV/0!</v>
      </c>
      <c r="BY2431" s="215">
        <f t="shared" si="91"/>
        <v>0</v>
      </c>
    </row>
    <row r="2432" spans="76:77" x14ac:dyDescent="0.2">
      <c r="BX2432" s="214" t="e">
        <f t="shared" si="90"/>
        <v>#DIV/0!</v>
      </c>
      <c r="BY2432" s="215">
        <f t="shared" si="91"/>
        <v>0</v>
      </c>
    </row>
    <row r="2433" spans="76:77" x14ac:dyDescent="0.2">
      <c r="BX2433" s="214" t="e">
        <f t="shared" si="90"/>
        <v>#DIV/0!</v>
      </c>
      <c r="BY2433" s="215">
        <f t="shared" si="91"/>
        <v>0</v>
      </c>
    </row>
    <row r="2434" spans="76:77" x14ac:dyDescent="0.2">
      <c r="BX2434" s="214" t="e">
        <f t="shared" si="90"/>
        <v>#DIV/0!</v>
      </c>
      <c r="BY2434" s="215">
        <f t="shared" si="91"/>
        <v>0</v>
      </c>
    </row>
    <row r="2435" spans="76:77" x14ac:dyDescent="0.2">
      <c r="BX2435" s="214" t="e">
        <f t="shared" si="90"/>
        <v>#DIV/0!</v>
      </c>
      <c r="BY2435" s="215">
        <f t="shared" si="91"/>
        <v>0</v>
      </c>
    </row>
    <row r="2436" spans="76:77" x14ac:dyDescent="0.2">
      <c r="BX2436" s="214" t="e">
        <f t="shared" si="90"/>
        <v>#DIV/0!</v>
      </c>
      <c r="BY2436" s="215">
        <f t="shared" si="91"/>
        <v>0</v>
      </c>
    </row>
    <row r="2437" spans="76:77" x14ac:dyDescent="0.2">
      <c r="BX2437" s="214" t="e">
        <f t="shared" si="90"/>
        <v>#DIV/0!</v>
      </c>
      <c r="BY2437" s="215">
        <f t="shared" si="91"/>
        <v>0</v>
      </c>
    </row>
    <row r="2438" spans="76:77" x14ac:dyDescent="0.2">
      <c r="BX2438" s="214" t="e">
        <f t="shared" si="90"/>
        <v>#DIV/0!</v>
      </c>
      <c r="BY2438" s="215">
        <f t="shared" si="91"/>
        <v>0</v>
      </c>
    </row>
    <row r="2439" spans="76:77" x14ac:dyDescent="0.2">
      <c r="BX2439" s="214" t="e">
        <f t="shared" si="90"/>
        <v>#DIV/0!</v>
      </c>
      <c r="BY2439" s="215">
        <f t="shared" si="91"/>
        <v>0</v>
      </c>
    </row>
    <row r="2440" spans="76:77" x14ac:dyDescent="0.2">
      <c r="BX2440" s="214" t="e">
        <f t="shared" si="90"/>
        <v>#DIV/0!</v>
      </c>
      <c r="BY2440" s="215">
        <f t="shared" si="91"/>
        <v>0</v>
      </c>
    </row>
    <row r="2441" spans="76:77" x14ac:dyDescent="0.2">
      <c r="BX2441" s="214" t="e">
        <f t="shared" si="90"/>
        <v>#DIV/0!</v>
      </c>
      <c r="BY2441" s="215">
        <f t="shared" si="91"/>
        <v>0</v>
      </c>
    </row>
    <row r="2442" spans="76:77" x14ac:dyDescent="0.2">
      <c r="BX2442" s="214" t="e">
        <f t="shared" si="90"/>
        <v>#DIV/0!</v>
      </c>
      <c r="BY2442" s="215">
        <f t="shared" si="91"/>
        <v>0</v>
      </c>
    </row>
    <row r="2443" spans="76:77" x14ac:dyDescent="0.2">
      <c r="BX2443" s="214" t="e">
        <f t="shared" si="90"/>
        <v>#DIV/0!</v>
      </c>
      <c r="BY2443" s="215">
        <f t="shared" si="91"/>
        <v>0</v>
      </c>
    </row>
    <row r="2444" spans="76:77" x14ac:dyDescent="0.2">
      <c r="BX2444" s="214" t="e">
        <f t="shared" si="90"/>
        <v>#DIV/0!</v>
      </c>
      <c r="BY2444" s="215">
        <f t="shared" si="91"/>
        <v>0</v>
      </c>
    </row>
    <row r="2445" spans="76:77" x14ac:dyDescent="0.2">
      <c r="BX2445" s="214" t="e">
        <f t="shared" ref="BX2445:BX2508" si="92">BY2445/BV2445</f>
        <v>#DIV/0!</v>
      </c>
      <c r="BY2445" s="215">
        <f t="shared" si="91"/>
        <v>0</v>
      </c>
    </row>
    <row r="2446" spans="76:77" x14ac:dyDescent="0.2">
      <c r="BX2446" s="214" t="e">
        <f t="shared" si="92"/>
        <v>#DIV/0!</v>
      </c>
      <c r="BY2446" s="215">
        <f t="shared" ref="BY2446:BY2509" si="93">BY2445+BW2446*(BV2446-BV2445)</f>
        <v>0</v>
      </c>
    </row>
    <row r="2447" spans="76:77" x14ac:dyDescent="0.2">
      <c r="BX2447" s="214" t="e">
        <f t="shared" si="92"/>
        <v>#DIV/0!</v>
      </c>
      <c r="BY2447" s="215">
        <f t="shared" si="93"/>
        <v>0</v>
      </c>
    </row>
    <row r="2448" spans="76:77" x14ac:dyDescent="0.2">
      <c r="BX2448" s="214" t="e">
        <f t="shared" si="92"/>
        <v>#DIV/0!</v>
      </c>
      <c r="BY2448" s="215">
        <f t="shared" si="93"/>
        <v>0</v>
      </c>
    </row>
    <row r="2449" spans="76:77" x14ac:dyDescent="0.2">
      <c r="BX2449" s="214" t="e">
        <f t="shared" si="92"/>
        <v>#DIV/0!</v>
      </c>
      <c r="BY2449" s="215">
        <f t="shared" si="93"/>
        <v>0</v>
      </c>
    </row>
    <row r="2450" spans="76:77" x14ac:dyDescent="0.2">
      <c r="BX2450" s="214" t="e">
        <f t="shared" si="92"/>
        <v>#DIV/0!</v>
      </c>
      <c r="BY2450" s="215">
        <f t="shared" si="93"/>
        <v>0</v>
      </c>
    </row>
    <row r="2451" spans="76:77" x14ac:dyDescent="0.2">
      <c r="BX2451" s="214" t="e">
        <f t="shared" si="92"/>
        <v>#DIV/0!</v>
      </c>
      <c r="BY2451" s="215">
        <f t="shared" si="93"/>
        <v>0</v>
      </c>
    </row>
    <row r="2452" spans="76:77" x14ac:dyDescent="0.2">
      <c r="BX2452" s="214" t="e">
        <f t="shared" si="92"/>
        <v>#DIV/0!</v>
      </c>
      <c r="BY2452" s="215">
        <f t="shared" si="93"/>
        <v>0</v>
      </c>
    </row>
    <row r="2453" spans="76:77" x14ac:dyDescent="0.2">
      <c r="BX2453" s="214" t="e">
        <f t="shared" si="92"/>
        <v>#DIV/0!</v>
      </c>
      <c r="BY2453" s="215">
        <f t="shared" si="93"/>
        <v>0</v>
      </c>
    </row>
    <row r="2454" spans="76:77" x14ac:dyDescent="0.2">
      <c r="BX2454" s="214" t="e">
        <f t="shared" si="92"/>
        <v>#DIV/0!</v>
      </c>
      <c r="BY2454" s="215">
        <f t="shared" si="93"/>
        <v>0</v>
      </c>
    </row>
    <row r="2455" spans="76:77" x14ac:dyDescent="0.2">
      <c r="BX2455" s="214" t="e">
        <f t="shared" si="92"/>
        <v>#DIV/0!</v>
      </c>
      <c r="BY2455" s="215">
        <f t="shared" si="93"/>
        <v>0</v>
      </c>
    </row>
    <row r="2456" spans="76:77" x14ac:dyDescent="0.2">
      <c r="BX2456" s="214" t="e">
        <f t="shared" si="92"/>
        <v>#DIV/0!</v>
      </c>
      <c r="BY2456" s="215">
        <f t="shared" si="93"/>
        <v>0</v>
      </c>
    </row>
    <row r="2457" spans="76:77" x14ac:dyDescent="0.2">
      <c r="BX2457" s="214" t="e">
        <f t="shared" si="92"/>
        <v>#DIV/0!</v>
      </c>
      <c r="BY2457" s="215">
        <f t="shared" si="93"/>
        <v>0</v>
      </c>
    </row>
    <row r="2458" spans="76:77" x14ac:dyDescent="0.2">
      <c r="BX2458" s="214" t="e">
        <f t="shared" si="92"/>
        <v>#DIV/0!</v>
      </c>
      <c r="BY2458" s="215">
        <f t="shared" si="93"/>
        <v>0</v>
      </c>
    </row>
    <row r="2459" spans="76:77" x14ac:dyDescent="0.2">
      <c r="BX2459" s="214" t="e">
        <f t="shared" si="92"/>
        <v>#DIV/0!</v>
      </c>
      <c r="BY2459" s="215">
        <f t="shared" si="93"/>
        <v>0</v>
      </c>
    </row>
    <row r="2460" spans="76:77" x14ac:dyDescent="0.2">
      <c r="BX2460" s="214" t="e">
        <f t="shared" si="92"/>
        <v>#DIV/0!</v>
      </c>
      <c r="BY2460" s="215">
        <f t="shared" si="93"/>
        <v>0</v>
      </c>
    </row>
    <row r="2461" spans="76:77" x14ac:dyDescent="0.2">
      <c r="BX2461" s="214" t="e">
        <f t="shared" si="92"/>
        <v>#DIV/0!</v>
      </c>
      <c r="BY2461" s="215">
        <f t="shared" si="93"/>
        <v>0</v>
      </c>
    </row>
    <row r="2462" spans="76:77" x14ac:dyDescent="0.2">
      <c r="BX2462" s="214" t="e">
        <f t="shared" si="92"/>
        <v>#DIV/0!</v>
      </c>
      <c r="BY2462" s="215">
        <f t="shared" si="93"/>
        <v>0</v>
      </c>
    </row>
    <row r="2463" spans="76:77" x14ac:dyDescent="0.2">
      <c r="BX2463" s="214" t="e">
        <f t="shared" si="92"/>
        <v>#DIV/0!</v>
      </c>
      <c r="BY2463" s="215">
        <f t="shared" si="93"/>
        <v>0</v>
      </c>
    </row>
    <row r="2464" spans="76:77" x14ac:dyDescent="0.2">
      <c r="BX2464" s="214" t="e">
        <f t="shared" si="92"/>
        <v>#DIV/0!</v>
      </c>
      <c r="BY2464" s="215">
        <f t="shared" si="93"/>
        <v>0</v>
      </c>
    </row>
    <row r="2465" spans="76:77" x14ac:dyDescent="0.2">
      <c r="BX2465" s="214" t="e">
        <f t="shared" si="92"/>
        <v>#DIV/0!</v>
      </c>
      <c r="BY2465" s="215">
        <f t="shared" si="93"/>
        <v>0</v>
      </c>
    </row>
    <row r="2466" spans="76:77" x14ac:dyDescent="0.2">
      <c r="BX2466" s="214" t="e">
        <f t="shared" si="92"/>
        <v>#DIV/0!</v>
      </c>
      <c r="BY2466" s="215">
        <f t="shared" si="93"/>
        <v>0</v>
      </c>
    </row>
    <row r="2467" spans="76:77" x14ac:dyDescent="0.2">
      <c r="BX2467" s="214" t="e">
        <f t="shared" si="92"/>
        <v>#DIV/0!</v>
      </c>
      <c r="BY2467" s="215">
        <f t="shared" si="93"/>
        <v>0</v>
      </c>
    </row>
    <row r="2468" spans="76:77" x14ac:dyDescent="0.2">
      <c r="BX2468" s="214" t="e">
        <f t="shared" si="92"/>
        <v>#DIV/0!</v>
      </c>
      <c r="BY2468" s="215">
        <f t="shared" si="93"/>
        <v>0</v>
      </c>
    </row>
    <row r="2469" spans="76:77" x14ac:dyDescent="0.2">
      <c r="BX2469" s="214" t="e">
        <f t="shared" si="92"/>
        <v>#DIV/0!</v>
      </c>
      <c r="BY2469" s="215">
        <f t="shared" si="93"/>
        <v>0</v>
      </c>
    </row>
    <row r="2470" spans="76:77" x14ac:dyDescent="0.2">
      <c r="BX2470" s="214" t="e">
        <f t="shared" si="92"/>
        <v>#DIV/0!</v>
      </c>
      <c r="BY2470" s="215">
        <f t="shared" si="93"/>
        <v>0</v>
      </c>
    </row>
    <row r="2471" spans="76:77" x14ac:dyDescent="0.2">
      <c r="BX2471" s="214" t="e">
        <f t="shared" si="92"/>
        <v>#DIV/0!</v>
      </c>
      <c r="BY2471" s="215">
        <f t="shared" si="93"/>
        <v>0</v>
      </c>
    </row>
    <row r="2472" spans="76:77" x14ac:dyDescent="0.2">
      <c r="BX2472" s="214" t="e">
        <f t="shared" si="92"/>
        <v>#DIV/0!</v>
      </c>
      <c r="BY2472" s="215">
        <f t="shared" si="93"/>
        <v>0</v>
      </c>
    </row>
    <row r="2473" spans="76:77" x14ac:dyDescent="0.2">
      <c r="BX2473" s="214" t="e">
        <f t="shared" si="92"/>
        <v>#DIV/0!</v>
      </c>
      <c r="BY2473" s="215">
        <f t="shared" si="93"/>
        <v>0</v>
      </c>
    </row>
    <row r="2474" spans="76:77" x14ac:dyDescent="0.2">
      <c r="BX2474" s="214" t="e">
        <f t="shared" si="92"/>
        <v>#DIV/0!</v>
      </c>
      <c r="BY2474" s="215">
        <f t="shared" si="93"/>
        <v>0</v>
      </c>
    </row>
    <row r="2475" spans="76:77" x14ac:dyDescent="0.2">
      <c r="BX2475" s="214" t="e">
        <f t="shared" si="92"/>
        <v>#DIV/0!</v>
      </c>
      <c r="BY2475" s="215">
        <f t="shared" si="93"/>
        <v>0</v>
      </c>
    </row>
    <row r="2476" spans="76:77" x14ac:dyDescent="0.2">
      <c r="BX2476" s="214" t="e">
        <f t="shared" si="92"/>
        <v>#DIV/0!</v>
      </c>
      <c r="BY2476" s="215">
        <f t="shared" si="93"/>
        <v>0</v>
      </c>
    </row>
    <row r="2477" spans="76:77" x14ac:dyDescent="0.2">
      <c r="BX2477" s="214" t="e">
        <f t="shared" si="92"/>
        <v>#DIV/0!</v>
      </c>
      <c r="BY2477" s="215">
        <f t="shared" si="93"/>
        <v>0</v>
      </c>
    </row>
    <row r="2478" spans="76:77" x14ac:dyDescent="0.2">
      <c r="BX2478" s="214" t="e">
        <f t="shared" si="92"/>
        <v>#DIV/0!</v>
      </c>
      <c r="BY2478" s="215">
        <f t="shared" si="93"/>
        <v>0</v>
      </c>
    </row>
    <row r="2479" spans="76:77" x14ac:dyDescent="0.2">
      <c r="BX2479" s="214" t="e">
        <f t="shared" si="92"/>
        <v>#DIV/0!</v>
      </c>
      <c r="BY2479" s="215">
        <f t="shared" si="93"/>
        <v>0</v>
      </c>
    </row>
    <row r="2480" spans="76:77" x14ac:dyDescent="0.2">
      <c r="BX2480" s="214" t="e">
        <f t="shared" si="92"/>
        <v>#DIV/0!</v>
      </c>
      <c r="BY2480" s="215">
        <f t="shared" si="93"/>
        <v>0</v>
      </c>
    </row>
    <row r="2481" spans="76:77" x14ac:dyDescent="0.2">
      <c r="BX2481" s="214" t="e">
        <f t="shared" si="92"/>
        <v>#DIV/0!</v>
      </c>
      <c r="BY2481" s="215">
        <f t="shared" si="93"/>
        <v>0</v>
      </c>
    </row>
    <row r="2482" spans="76:77" x14ac:dyDescent="0.2">
      <c r="BX2482" s="214" t="e">
        <f t="shared" si="92"/>
        <v>#DIV/0!</v>
      </c>
      <c r="BY2482" s="215">
        <f t="shared" si="93"/>
        <v>0</v>
      </c>
    </row>
    <row r="2483" spans="76:77" x14ac:dyDescent="0.2">
      <c r="BX2483" s="214" t="e">
        <f t="shared" si="92"/>
        <v>#DIV/0!</v>
      </c>
      <c r="BY2483" s="215">
        <f t="shared" si="93"/>
        <v>0</v>
      </c>
    </row>
    <row r="2484" spans="76:77" x14ac:dyDescent="0.2">
      <c r="BX2484" s="214" t="e">
        <f t="shared" si="92"/>
        <v>#DIV/0!</v>
      </c>
      <c r="BY2484" s="215">
        <f t="shared" si="93"/>
        <v>0</v>
      </c>
    </row>
    <row r="2485" spans="76:77" x14ac:dyDescent="0.2">
      <c r="BX2485" s="214" t="e">
        <f t="shared" si="92"/>
        <v>#DIV/0!</v>
      </c>
      <c r="BY2485" s="215">
        <f t="shared" si="93"/>
        <v>0</v>
      </c>
    </row>
    <row r="2486" spans="76:77" x14ac:dyDescent="0.2">
      <c r="BX2486" s="214" t="e">
        <f t="shared" si="92"/>
        <v>#DIV/0!</v>
      </c>
      <c r="BY2486" s="215">
        <f t="shared" si="93"/>
        <v>0</v>
      </c>
    </row>
    <row r="2487" spans="76:77" x14ac:dyDescent="0.2">
      <c r="BX2487" s="214" t="e">
        <f t="shared" si="92"/>
        <v>#DIV/0!</v>
      </c>
      <c r="BY2487" s="215">
        <f t="shared" si="93"/>
        <v>0</v>
      </c>
    </row>
    <row r="2488" spans="76:77" x14ac:dyDescent="0.2">
      <c r="BX2488" s="214" t="e">
        <f t="shared" si="92"/>
        <v>#DIV/0!</v>
      </c>
      <c r="BY2488" s="215">
        <f t="shared" si="93"/>
        <v>0</v>
      </c>
    </row>
    <row r="2489" spans="76:77" x14ac:dyDescent="0.2">
      <c r="BX2489" s="214" t="e">
        <f t="shared" si="92"/>
        <v>#DIV/0!</v>
      </c>
      <c r="BY2489" s="215">
        <f t="shared" si="93"/>
        <v>0</v>
      </c>
    </row>
    <row r="2490" spans="76:77" x14ac:dyDescent="0.2">
      <c r="BX2490" s="214" t="e">
        <f t="shared" si="92"/>
        <v>#DIV/0!</v>
      </c>
      <c r="BY2490" s="215">
        <f t="shared" si="93"/>
        <v>0</v>
      </c>
    </row>
    <row r="2491" spans="76:77" x14ac:dyDescent="0.2">
      <c r="BX2491" s="214" t="e">
        <f t="shared" si="92"/>
        <v>#DIV/0!</v>
      </c>
      <c r="BY2491" s="215">
        <f t="shared" si="93"/>
        <v>0</v>
      </c>
    </row>
    <row r="2492" spans="76:77" x14ac:dyDescent="0.2">
      <c r="BX2492" s="214" t="e">
        <f t="shared" si="92"/>
        <v>#DIV/0!</v>
      </c>
      <c r="BY2492" s="215">
        <f t="shared" si="93"/>
        <v>0</v>
      </c>
    </row>
    <row r="2493" spans="76:77" x14ac:dyDescent="0.2">
      <c r="BX2493" s="214" t="e">
        <f t="shared" si="92"/>
        <v>#DIV/0!</v>
      </c>
      <c r="BY2493" s="215">
        <f t="shared" si="93"/>
        <v>0</v>
      </c>
    </row>
    <row r="2494" spans="76:77" x14ac:dyDescent="0.2">
      <c r="BX2494" s="214" t="e">
        <f t="shared" si="92"/>
        <v>#DIV/0!</v>
      </c>
      <c r="BY2494" s="215">
        <f t="shared" si="93"/>
        <v>0</v>
      </c>
    </row>
    <row r="2495" spans="76:77" x14ac:dyDescent="0.2">
      <c r="BX2495" s="214" t="e">
        <f t="shared" si="92"/>
        <v>#DIV/0!</v>
      </c>
      <c r="BY2495" s="215">
        <f t="shared" si="93"/>
        <v>0</v>
      </c>
    </row>
    <row r="2496" spans="76:77" x14ac:dyDescent="0.2">
      <c r="BX2496" s="214" t="e">
        <f t="shared" si="92"/>
        <v>#DIV/0!</v>
      </c>
      <c r="BY2496" s="215">
        <f t="shared" si="93"/>
        <v>0</v>
      </c>
    </row>
    <row r="2497" spans="76:77" x14ac:dyDescent="0.2">
      <c r="BX2497" s="214" t="e">
        <f t="shared" si="92"/>
        <v>#DIV/0!</v>
      </c>
      <c r="BY2497" s="215">
        <f t="shared" si="93"/>
        <v>0</v>
      </c>
    </row>
    <row r="2498" spans="76:77" x14ac:dyDescent="0.2">
      <c r="BX2498" s="214" t="e">
        <f t="shared" si="92"/>
        <v>#DIV/0!</v>
      </c>
      <c r="BY2498" s="215">
        <f t="shared" si="93"/>
        <v>0</v>
      </c>
    </row>
    <row r="2499" spans="76:77" x14ac:dyDescent="0.2">
      <c r="BX2499" s="214" t="e">
        <f t="shared" si="92"/>
        <v>#DIV/0!</v>
      </c>
      <c r="BY2499" s="215">
        <f t="shared" si="93"/>
        <v>0</v>
      </c>
    </row>
    <row r="2500" spans="76:77" x14ac:dyDescent="0.2">
      <c r="BX2500" s="214" t="e">
        <f t="shared" si="92"/>
        <v>#DIV/0!</v>
      </c>
      <c r="BY2500" s="215">
        <f t="shared" si="93"/>
        <v>0</v>
      </c>
    </row>
    <row r="2501" spans="76:77" x14ac:dyDescent="0.2">
      <c r="BX2501" s="214" t="e">
        <f t="shared" si="92"/>
        <v>#DIV/0!</v>
      </c>
      <c r="BY2501" s="215">
        <f t="shared" si="93"/>
        <v>0</v>
      </c>
    </row>
    <row r="2502" spans="76:77" x14ac:dyDescent="0.2">
      <c r="BX2502" s="214" t="e">
        <f t="shared" si="92"/>
        <v>#DIV/0!</v>
      </c>
      <c r="BY2502" s="215">
        <f t="shared" si="93"/>
        <v>0</v>
      </c>
    </row>
    <row r="2503" spans="76:77" x14ac:dyDescent="0.2">
      <c r="BX2503" s="214" t="e">
        <f t="shared" si="92"/>
        <v>#DIV/0!</v>
      </c>
      <c r="BY2503" s="215">
        <f t="shared" si="93"/>
        <v>0</v>
      </c>
    </row>
    <row r="2504" spans="76:77" x14ac:dyDescent="0.2">
      <c r="BX2504" s="214" t="e">
        <f t="shared" si="92"/>
        <v>#DIV/0!</v>
      </c>
      <c r="BY2504" s="215">
        <f t="shared" si="93"/>
        <v>0</v>
      </c>
    </row>
    <row r="2505" spans="76:77" x14ac:dyDescent="0.2">
      <c r="BX2505" s="214" t="e">
        <f t="shared" si="92"/>
        <v>#DIV/0!</v>
      </c>
      <c r="BY2505" s="215">
        <f t="shared" si="93"/>
        <v>0</v>
      </c>
    </row>
    <row r="2506" spans="76:77" x14ac:dyDescent="0.2">
      <c r="BX2506" s="214" t="e">
        <f t="shared" si="92"/>
        <v>#DIV/0!</v>
      </c>
      <c r="BY2506" s="215">
        <f t="shared" si="93"/>
        <v>0</v>
      </c>
    </row>
    <row r="2507" spans="76:77" x14ac:dyDescent="0.2">
      <c r="BX2507" s="214" t="e">
        <f t="shared" si="92"/>
        <v>#DIV/0!</v>
      </c>
      <c r="BY2507" s="215">
        <f t="shared" si="93"/>
        <v>0</v>
      </c>
    </row>
    <row r="2508" spans="76:77" x14ac:dyDescent="0.2">
      <c r="BX2508" s="214" t="e">
        <f t="shared" si="92"/>
        <v>#DIV/0!</v>
      </c>
      <c r="BY2508" s="215">
        <f t="shared" si="93"/>
        <v>0</v>
      </c>
    </row>
    <row r="2509" spans="76:77" x14ac:dyDescent="0.2">
      <c r="BX2509" s="214" t="e">
        <f t="shared" ref="BX2509:BX2572" si="94">BY2509/BV2509</f>
        <v>#DIV/0!</v>
      </c>
      <c r="BY2509" s="215">
        <f t="shared" si="93"/>
        <v>0</v>
      </c>
    </row>
    <row r="2510" spans="76:77" x14ac:dyDescent="0.2">
      <c r="BX2510" s="214" t="e">
        <f t="shared" si="94"/>
        <v>#DIV/0!</v>
      </c>
      <c r="BY2510" s="215">
        <f t="shared" ref="BY2510:BY2573" si="95">BY2509+BW2510*(BV2510-BV2509)</f>
        <v>0</v>
      </c>
    </row>
    <row r="2511" spans="76:77" x14ac:dyDescent="0.2">
      <c r="BX2511" s="214" t="e">
        <f t="shared" si="94"/>
        <v>#DIV/0!</v>
      </c>
      <c r="BY2511" s="215">
        <f t="shared" si="95"/>
        <v>0</v>
      </c>
    </row>
    <row r="2512" spans="76:77" x14ac:dyDescent="0.2">
      <c r="BX2512" s="214" t="e">
        <f t="shared" si="94"/>
        <v>#DIV/0!</v>
      </c>
      <c r="BY2512" s="215">
        <f t="shared" si="95"/>
        <v>0</v>
      </c>
    </row>
    <row r="2513" spans="76:77" x14ac:dyDescent="0.2">
      <c r="BX2513" s="214" t="e">
        <f t="shared" si="94"/>
        <v>#DIV/0!</v>
      </c>
      <c r="BY2513" s="215">
        <f t="shared" si="95"/>
        <v>0</v>
      </c>
    </row>
    <row r="2514" spans="76:77" x14ac:dyDescent="0.2">
      <c r="BX2514" s="214" t="e">
        <f t="shared" si="94"/>
        <v>#DIV/0!</v>
      </c>
      <c r="BY2514" s="215">
        <f t="shared" si="95"/>
        <v>0</v>
      </c>
    </row>
    <row r="2515" spans="76:77" x14ac:dyDescent="0.2">
      <c r="BX2515" s="214" t="e">
        <f t="shared" si="94"/>
        <v>#DIV/0!</v>
      </c>
      <c r="BY2515" s="215">
        <f t="shared" si="95"/>
        <v>0</v>
      </c>
    </row>
    <row r="2516" spans="76:77" x14ac:dyDescent="0.2">
      <c r="BX2516" s="214" t="e">
        <f t="shared" si="94"/>
        <v>#DIV/0!</v>
      </c>
      <c r="BY2516" s="215">
        <f t="shared" si="95"/>
        <v>0</v>
      </c>
    </row>
    <row r="2517" spans="76:77" x14ac:dyDescent="0.2">
      <c r="BX2517" s="214" t="e">
        <f t="shared" si="94"/>
        <v>#DIV/0!</v>
      </c>
      <c r="BY2517" s="215">
        <f t="shared" si="95"/>
        <v>0</v>
      </c>
    </row>
    <row r="2518" spans="76:77" x14ac:dyDescent="0.2">
      <c r="BX2518" s="214" t="e">
        <f t="shared" si="94"/>
        <v>#DIV/0!</v>
      </c>
      <c r="BY2518" s="215">
        <f t="shared" si="95"/>
        <v>0</v>
      </c>
    </row>
    <row r="2519" spans="76:77" x14ac:dyDescent="0.2">
      <c r="BX2519" s="214" t="e">
        <f t="shared" si="94"/>
        <v>#DIV/0!</v>
      </c>
      <c r="BY2519" s="215">
        <f t="shared" si="95"/>
        <v>0</v>
      </c>
    </row>
    <row r="2520" spans="76:77" x14ac:dyDescent="0.2">
      <c r="BX2520" s="214" t="e">
        <f t="shared" si="94"/>
        <v>#DIV/0!</v>
      </c>
      <c r="BY2520" s="215">
        <f t="shared" si="95"/>
        <v>0</v>
      </c>
    </row>
    <row r="2521" spans="76:77" x14ac:dyDescent="0.2">
      <c r="BX2521" s="214" t="e">
        <f t="shared" si="94"/>
        <v>#DIV/0!</v>
      </c>
      <c r="BY2521" s="215">
        <f t="shared" si="95"/>
        <v>0</v>
      </c>
    </row>
    <row r="2522" spans="76:77" x14ac:dyDescent="0.2">
      <c r="BX2522" s="214" t="e">
        <f t="shared" si="94"/>
        <v>#DIV/0!</v>
      </c>
      <c r="BY2522" s="215">
        <f t="shared" si="95"/>
        <v>0</v>
      </c>
    </row>
    <row r="2523" spans="76:77" x14ac:dyDescent="0.2">
      <c r="BX2523" s="214" t="e">
        <f t="shared" si="94"/>
        <v>#DIV/0!</v>
      </c>
      <c r="BY2523" s="215">
        <f t="shared" si="95"/>
        <v>0</v>
      </c>
    </row>
    <row r="2524" spans="76:77" x14ac:dyDescent="0.2">
      <c r="BX2524" s="214" t="e">
        <f t="shared" si="94"/>
        <v>#DIV/0!</v>
      </c>
      <c r="BY2524" s="215">
        <f t="shared" si="95"/>
        <v>0</v>
      </c>
    </row>
    <row r="2525" spans="76:77" x14ac:dyDescent="0.2">
      <c r="BX2525" s="214" t="e">
        <f t="shared" si="94"/>
        <v>#DIV/0!</v>
      </c>
      <c r="BY2525" s="215">
        <f t="shared" si="95"/>
        <v>0</v>
      </c>
    </row>
    <row r="2526" spans="76:77" x14ac:dyDescent="0.2">
      <c r="BX2526" s="214" t="e">
        <f t="shared" si="94"/>
        <v>#DIV/0!</v>
      </c>
      <c r="BY2526" s="215">
        <f t="shared" si="95"/>
        <v>0</v>
      </c>
    </row>
    <row r="2527" spans="76:77" x14ac:dyDescent="0.2">
      <c r="BX2527" s="214" t="e">
        <f t="shared" si="94"/>
        <v>#DIV/0!</v>
      </c>
      <c r="BY2527" s="215">
        <f t="shared" si="95"/>
        <v>0</v>
      </c>
    </row>
    <row r="2528" spans="76:77" x14ac:dyDescent="0.2">
      <c r="BX2528" s="214" t="e">
        <f t="shared" si="94"/>
        <v>#DIV/0!</v>
      </c>
      <c r="BY2528" s="215">
        <f t="shared" si="95"/>
        <v>0</v>
      </c>
    </row>
    <row r="2529" spans="76:77" x14ac:dyDescent="0.2">
      <c r="BX2529" s="214" t="e">
        <f t="shared" si="94"/>
        <v>#DIV/0!</v>
      </c>
      <c r="BY2529" s="215">
        <f t="shared" si="95"/>
        <v>0</v>
      </c>
    </row>
    <row r="2530" spans="76:77" x14ac:dyDescent="0.2">
      <c r="BX2530" s="214" t="e">
        <f t="shared" si="94"/>
        <v>#DIV/0!</v>
      </c>
      <c r="BY2530" s="215">
        <f t="shared" si="95"/>
        <v>0</v>
      </c>
    </row>
    <row r="2531" spans="76:77" x14ac:dyDescent="0.2">
      <c r="BX2531" s="214" t="e">
        <f t="shared" si="94"/>
        <v>#DIV/0!</v>
      </c>
      <c r="BY2531" s="215">
        <f t="shared" si="95"/>
        <v>0</v>
      </c>
    </row>
    <row r="2532" spans="76:77" x14ac:dyDescent="0.2">
      <c r="BX2532" s="214" t="e">
        <f t="shared" si="94"/>
        <v>#DIV/0!</v>
      </c>
      <c r="BY2532" s="215">
        <f t="shared" si="95"/>
        <v>0</v>
      </c>
    </row>
    <row r="2533" spans="76:77" x14ac:dyDescent="0.2">
      <c r="BX2533" s="214" t="e">
        <f t="shared" si="94"/>
        <v>#DIV/0!</v>
      </c>
      <c r="BY2533" s="215">
        <f t="shared" si="95"/>
        <v>0</v>
      </c>
    </row>
    <row r="2534" spans="76:77" x14ac:dyDescent="0.2">
      <c r="BX2534" s="214" t="e">
        <f t="shared" si="94"/>
        <v>#DIV/0!</v>
      </c>
      <c r="BY2534" s="215">
        <f t="shared" si="95"/>
        <v>0</v>
      </c>
    </row>
    <row r="2535" spans="76:77" x14ac:dyDescent="0.2">
      <c r="BX2535" s="214" t="e">
        <f t="shared" si="94"/>
        <v>#DIV/0!</v>
      </c>
      <c r="BY2535" s="215">
        <f t="shared" si="95"/>
        <v>0</v>
      </c>
    </row>
    <row r="2536" spans="76:77" x14ac:dyDescent="0.2">
      <c r="BX2536" s="214" t="e">
        <f t="shared" si="94"/>
        <v>#DIV/0!</v>
      </c>
      <c r="BY2536" s="215">
        <f t="shared" si="95"/>
        <v>0</v>
      </c>
    </row>
    <row r="2537" spans="76:77" x14ac:dyDescent="0.2">
      <c r="BX2537" s="214" t="e">
        <f t="shared" si="94"/>
        <v>#DIV/0!</v>
      </c>
      <c r="BY2537" s="215">
        <f t="shared" si="95"/>
        <v>0</v>
      </c>
    </row>
    <row r="2538" spans="76:77" x14ac:dyDescent="0.2">
      <c r="BX2538" s="214" t="e">
        <f t="shared" si="94"/>
        <v>#DIV/0!</v>
      </c>
      <c r="BY2538" s="215">
        <f t="shared" si="95"/>
        <v>0</v>
      </c>
    </row>
    <row r="2539" spans="76:77" x14ac:dyDescent="0.2">
      <c r="BX2539" s="214" t="e">
        <f t="shared" si="94"/>
        <v>#DIV/0!</v>
      </c>
      <c r="BY2539" s="215">
        <f t="shared" si="95"/>
        <v>0</v>
      </c>
    </row>
    <row r="2540" spans="76:77" x14ac:dyDescent="0.2">
      <c r="BX2540" s="214" t="e">
        <f t="shared" si="94"/>
        <v>#DIV/0!</v>
      </c>
      <c r="BY2540" s="215">
        <f t="shared" si="95"/>
        <v>0</v>
      </c>
    </row>
    <row r="2541" spans="76:77" x14ac:dyDescent="0.2">
      <c r="BX2541" s="214" t="e">
        <f t="shared" si="94"/>
        <v>#DIV/0!</v>
      </c>
      <c r="BY2541" s="215">
        <f t="shared" si="95"/>
        <v>0</v>
      </c>
    </row>
    <row r="2542" spans="76:77" x14ac:dyDescent="0.2">
      <c r="BX2542" s="214" t="e">
        <f t="shared" si="94"/>
        <v>#DIV/0!</v>
      </c>
      <c r="BY2542" s="215">
        <f t="shared" si="95"/>
        <v>0</v>
      </c>
    </row>
    <row r="2543" spans="76:77" x14ac:dyDescent="0.2">
      <c r="BX2543" s="214" t="e">
        <f t="shared" si="94"/>
        <v>#DIV/0!</v>
      </c>
      <c r="BY2543" s="215">
        <f t="shared" si="95"/>
        <v>0</v>
      </c>
    </row>
    <row r="2544" spans="76:77" x14ac:dyDescent="0.2">
      <c r="BX2544" s="214" t="e">
        <f t="shared" si="94"/>
        <v>#DIV/0!</v>
      </c>
      <c r="BY2544" s="215">
        <f t="shared" si="95"/>
        <v>0</v>
      </c>
    </row>
    <row r="2545" spans="76:77" x14ac:dyDescent="0.2">
      <c r="BX2545" s="214" t="e">
        <f t="shared" si="94"/>
        <v>#DIV/0!</v>
      </c>
      <c r="BY2545" s="215">
        <f t="shared" si="95"/>
        <v>0</v>
      </c>
    </row>
    <row r="2546" spans="76:77" x14ac:dyDescent="0.2">
      <c r="BX2546" s="214" t="e">
        <f t="shared" si="94"/>
        <v>#DIV/0!</v>
      </c>
      <c r="BY2546" s="215">
        <f t="shared" si="95"/>
        <v>0</v>
      </c>
    </row>
    <row r="2547" spans="76:77" x14ac:dyDescent="0.2">
      <c r="BX2547" s="214" t="e">
        <f t="shared" si="94"/>
        <v>#DIV/0!</v>
      </c>
      <c r="BY2547" s="215">
        <f t="shared" si="95"/>
        <v>0</v>
      </c>
    </row>
    <row r="2548" spans="76:77" x14ac:dyDescent="0.2">
      <c r="BX2548" s="214" t="e">
        <f t="shared" si="94"/>
        <v>#DIV/0!</v>
      </c>
      <c r="BY2548" s="215">
        <f t="shared" si="95"/>
        <v>0</v>
      </c>
    </row>
    <row r="2549" spans="76:77" x14ac:dyDescent="0.2">
      <c r="BX2549" s="214" t="e">
        <f t="shared" si="94"/>
        <v>#DIV/0!</v>
      </c>
      <c r="BY2549" s="215">
        <f t="shared" si="95"/>
        <v>0</v>
      </c>
    </row>
    <row r="2550" spans="76:77" x14ac:dyDescent="0.2">
      <c r="BX2550" s="214" t="e">
        <f t="shared" si="94"/>
        <v>#DIV/0!</v>
      </c>
      <c r="BY2550" s="215">
        <f t="shared" si="95"/>
        <v>0</v>
      </c>
    </row>
    <row r="2551" spans="76:77" x14ac:dyDescent="0.2">
      <c r="BX2551" s="214" t="e">
        <f t="shared" si="94"/>
        <v>#DIV/0!</v>
      </c>
      <c r="BY2551" s="215">
        <f t="shared" si="95"/>
        <v>0</v>
      </c>
    </row>
    <row r="2552" spans="76:77" x14ac:dyDescent="0.2">
      <c r="BX2552" s="214" t="e">
        <f t="shared" si="94"/>
        <v>#DIV/0!</v>
      </c>
      <c r="BY2552" s="215">
        <f t="shared" si="95"/>
        <v>0</v>
      </c>
    </row>
    <row r="2553" spans="76:77" x14ac:dyDescent="0.2">
      <c r="BX2553" s="214" t="e">
        <f t="shared" si="94"/>
        <v>#DIV/0!</v>
      </c>
      <c r="BY2553" s="215">
        <f t="shared" si="95"/>
        <v>0</v>
      </c>
    </row>
    <row r="2554" spans="76:77" x14ac:dyDescent="0.2">
      <c r="BX2554" s="214" t="e">
        <f t="shared" si="94"/>
        <v>#DIV/0!</v>
      </c>
      <c r="BY2554" s="215">
        <f t="shared" si="95"/>
        <v>0</v>
      </c>
    </row>
    <row r="2555" spans="76:77" x14ac:dyDescent="0.2">
      <c r="BX2555" s="214" t="e">
        <f t="shared" si="94"/>
        <v>#DIV/0!</v>
      </c>
      <c r="BY2555" s="215">
        <f t="shared" si="95"/>
        <v>0</v>
      </c>
    </row>
    <row r="2556" spans="76:77" x14ac:dyDescent="0.2">
      <c r="BX2556" s="214" t="e">
        <f t="shared" si="94"/>
        <v>#DIV/0!</v>
      </c>
      <c r="BY2556" s="215">
        <f t="shared" si="95"/>
        <v>0</v>
      </c>
    </row>
    <row r="2557" spans="76:77" x14ac:dyDescent="0.2">
      <c r="BX2557" s="214" t="e">
        <f t="shared" si="94"/>
        <v>#DIV/0!</v>
      </c>
      <c r="BY2557" s="215">
        <f t="shared" si="95"/>
        <v>0</v>
      </c>
    </row>
    <row r="2558" spans="76:77" x14ac:dyDescent="0.2">
      <c r="BX2558" s="214" t="e">
        <f t="shared" si="94"/>
        <v>#DIV/0!</v>
      </c>
      <c r="BY2558" s="215">
        <f t="shared" si="95"/>
        <v>0</v>
      </c>
    </row>
    <row r="2559" spans="76:77" x14ac:dyDescent="0.2">
      <c r="BX2559" s="214" t="e">
        <f t="shared" si="94"/>
        <v>#DIV/0!</v>
      </c>
      <c r="BY2559" s="215">
        <f t="shared" si="95"/>
        <v>0</v>
      </c>
    </row>
    <row r="2560" spans="76:77" x14ac:dyDescent="0.2">
      <c r="BX2560" s="214" t="e">
        <f t="shared" si="94"/>
        <v>#DIV/0!</v>
      </c>
      <c r="BY2560" s="215">
        <f t="shared" si="95"/>
        <v>0</v>
      </c>
    </row>
    <row r="2561" spans="76:77" x14ac:dyDescent="0.2">
      <c r="BX2561" s="214" t="e">
        <f t="shared" si="94"/>
        <v>#DIV/0!</v>
      </c>
      <c r="BY2561" s="215">
        <f t="shared" si="95"/>
        <v>0</v>
      </c>
    </row>
    <row r="2562" spans="76:77" x14ac:dyDescent="0.2">
      <c r="BX2562" s="214" t="e">
        <f t="shared" si="94"/>
        <v>#DIV/0!</v>
      </c>
      <c r="BY2562" s="215">
        <f t="shared" si="95"/>
        <v>0</v>
      </c>
    </row>
    <row r="2563" spans="76:77" x14ac:dyDescent="0.2">
      <c r="BX2563" s="214" t="e">
        <f t="shared" si="94"/>
        <v>#DIV/0!</v>
      </c>
      <c r="BY2563" s="215">
        <f t="shared" si="95"/>
        <v>0</v>
      </c>
    </row>
    <row r="2564" spans="76:77" x14ac:dyDescent="0.2">
      <c r="BX2564" s="214" t="e">
        <f t="shared" si="94"/>
        <v>#DIV/0!</v>
      </c>
      <c r="BY2564" s="215">
        <f t="shared" si="95"/>
        <v>0</v>
      </c>
    </row>
    <row r="2565" spans="76:77" x14ac:dyDescent="0.2">
      <c r="BX2565" s="214" t="e">
        <f t="shared" si="94"/>
        <v>#DIV/0!</v>
      </c>
      <c r="BY2565" s="215">
        <f t="shared" si="95"/>
        <v>0</v>
      </c>
    </row>
    <row r="2566" spans="76:77" x14ac:dyDescent="0.2">
      <c r="BX2566" s="214" t="e">
        <f t="shared" si="94"/>
        <v>#DIV/0!</v>
      </c>
      <c r="BY2566" s="215">
        <f t="shared" si="95"/>
        <v>0</v>
      </c>
    </row>
    <row r="2567" spans="76:77" x14ac:dyDescent="0.2">
      <c r="BX2567" s="214" t="e">
        <f t="shared" si="94"/>
        <v>#DIV/0!</v>
      </c>
      <c r="BY2567" s="215">
        <f t="shared" si="95"/>
        <v>0</v>
      </c>
    </row>
    <row r="2568" spans="76:77" x14ac:dyDescent="0.2">
      <c r="BX2568" s="214" t="e">
        <f t="shared" si="94"/>
        <v>#DIV/0!</v>
      </c>
      <c r="BY2568" s="215">
        <f t="shared" si="95"/>
        <v>0</v>
      </c>
    </row>
    <row r="2569" spans="76:77" x14ac:dyDescent="0.2">
      <c r="BX2569" s="214" t="e">
        <f t="shared" si="94"/>
        <v>#DIV/0!</v>
      </c>
      <c r="BY2569" s="215">
        <f t="shared" si="95"/>
        <v>0</v>
      </c>
    </row>
    <row r="2570" spans="76:77" x14ac:dyDescent="0.2">
      <c r="BX2570" s="214" t="e">
        <f t="shared" si="94"/>
        <v>#DIV/0!</v>
      </c>
      <c r="BY2570" s="215">
        <f t="shared" si="95"/>
        <v>0</v>
      </c>
    </row>
    <row r="2571" spans="76:77" x14ac:dyDescent="0.2">
      <c r="BX2571" s="214" t="e">
        <f t="shared" si="94"/>
        <v>#DIV/0!</v>
      </c>
      <c r="BY2571" s="215">
        <f t="shared" si="95"/>
        <v>0</v>
      </c>
    </row>
    <row r="2572" spans="76:77" x14ac:dyDescent="0.2">
      <c r="BX2572" s="214" t="e">
        <f t="shared" si="94"/>
        <v>#DIV/0!</v>
      </c>
      <c r="BY2572" s="215">
        <f t="shared" si="95"/>
        <v>0</v>
      </c>
    </row>
    <row r="2573" spans="76:77" x14ac:dyDescent="0.2">
      <c r="BX2573" s="214" t="e">
        <f t="shared" ref="BX2573:BX2636" si="96">BY2573/BV2573</f>
        <v>#DIV/0!</v>
      </c>
      <c r="BY2573" s="215">
        <f t="shared" si="95"/>
        <v>0</v>
      </c>
    </row>
    <row r="2574" spans="76:77" x14ac:dyDescent="0.2">
      <c r="BX2574" s="214" t="e">
        <f t="shared" si="96"/>
        <v>#DIV/0!</v>
      </c>
      <c r="BY2574" s="215">
        <f t="shared" ref="BY2574:BY2637" si="97">BY2573+BW2574*(BV2574-BV2573)</f>
        <v>0</v>
      </c>
    </row>
    <row r="2575" spans="76:77" x14ac:dyDescent="0.2">
      <c r="BX2575" s="214" t="e">
        <f t="shared" si="96"/>
        <v>#DIV/0!</v>
      </c>
      <c r="BY2575" s="215">
        <f t="shared" si="97"/>
        <v>0</v>
      </c>
    </row>
    <row r="2576" spans="76:77" x14ac:dyDescent="0.2">
      <c r="BX2576" s="214" t="e">
        <f t="shared" si="96"/>
        <v>#DIV/0!</v>
      </c>
      <c r="BY2576" s="215">
        <f t="shared" si="97"/>
        <v>0</v>
      </c>
    </row>
    <row r="2577" spans="76:77" x14ac:dyDescent="0.2">
      <c r="BX2577" s="214" t="e">
        <f t="shared" si="96"/>
        <v>#DIV/0!</v>
      </c>
      <c r="BY2577" s="215">
        <f t="shared" si="97"/>
        <v>0</v>
      </c>
    </row>
    <row r="2578" spans="76:77" x14ac:dyDescent="0.2">
      <c r="BX2578" s="214" t="e">
        <f t="shared" si="96"/>
        <v>#DIV/0!</v>
      </c>
      <c r="BY2578" s="215">
        <f t="shared" si="97"/>
        <v>0</v>
      </c>
    </row>
    <row r="2579" spans="76:77" x14ac:dyDescent="0.2">
      <c r="BX2579" s="214" t="e">
        <f t="shared" si="96"/>
        <v>#DIV/0!</v>
      </c>
      <c r="BY2579" s="215">
        <f t="shared" si="97"/>
        <v>0</v>
      </c>
    </row>
    <row r="2580" spans="76:77" x14ac:dyDescent="0.2">
      <c r="BX2580" s="214" t="e">
        <f t="shared" si="96"/>
        <v>#DIV/0!</v>
      </c>
      <c r="BY2580" s="215">
        <f t="shared" si="97"/>
        <v>0</v>
      </c>
    </row>
    <row r="2581" spans="76:77" x14ac:dyDescent="0.2">
      <c r="BX2581" s="214" t="e">
        <f t="shared" si="96"/>
        <v>#DIV/0!</v>
      </c>
      <c r="BY2581" s="215">
        <f t="shared" si="97"/>
        <v>0</v>
      </c>
    </row>
    <row r="2582" spans="76:77" x14ac:dyDescent="0.2">
      <c r="BX2582" s="214" t="e">
        <f t="shared" si="96"/>
        <v>#DIV/0!</v>
      </c>
      <c r="BY2582" s="215">
        <f t="shared" si="97"/>
        <v>0</v>
      </c>
    </row>
    <row r="2583" spans="76:77" x14ac:dyDescent="0.2">
      <c r="BX2583" s="214" t="e">
        <f t="shared" si="96"/>
        <v>#DIV/0!</v>
      </c>
      <c r="BY2583" s="215">
        <f t="shared" si="97"/>
        <v>0</v>
      </c>
    </row>
    <row r="2584" spans="76:77" x14ac:dyDescent="0.2">
      <c r="BX2584" s="214" t="e">
        <f t="shared" si="96"/>
        <v>#DIV/0!</v>
      </c>
      <c r="BY2584" s="215">
        <f t="shared" si="97"/>
        <v>0</v>
      </c>
    </row>
    <row r="2585" spans="76:77" x14ac:dyDescent="0.2">
      <c r="BX2585" s="214" t="e">
        <f t="shared" si="96"/>
        <v>#DIV/0!</v>
      </c>
      <c r="BY2585" s="215">
        <f t="shared" si="97"/>
        <v>0</v>
      </c>
    </row>
    <row r="2586" spans="76:77" x14ac:dyDescent="0.2">
      <c r="BX2586" s="214" t="e">
        <f t="shared" si="96"/>
        <v>#DIV/0!</v>
      </c>
      <c r="BY2586" s="215">
        <f t="shared" si="97"/>
        <v>0</v>
      </c>
    </row>
    <row r="2587" spans="76:77" x14ac:dyDescent="0.2">
      <c r="BX2587" s="214" t="e">
        <f t="shared" si="96"/>
        <v>#DIV/0!</v>
      </c>
      <c r="BY2587" s="215">
        <f t="shared" si="97"/>
        <v>0</v>
      </c>
    </row>
    <row r="2588" spans="76:77" x14ac:dyDescent="0.2">
      <c r="BX2588" s="214" t="e">
        <f t="shared" si="96"/>
        <v>#DIV/0!</v>
      </c>
      <c r="BY2588" s="215">
        <f t="shared" si="97"/>
        <v>0</v>
      </c>
    </row>
    <row r="2589" spans="76:77" x14ac:dyDescent="0.2">
      <c r="BX2589" s="214" t="e">
        <f t="shared" si="96"/>
        <v>#DIV/0!</v>
      </c>
      <c r="BY2589" s="215">
        <f t="shared" si="97"/>
        <v>0</v>
      </c>
    </row>
    <row r="2590" spans="76:77" x14ac:dyDescent="0.2">
      <c r="BX2590" s="214" t="e">
        <f t="shared" si="96"/>
        <v>#DIV/0!</v>
      </c>
      <c r="BY2590" s="215">
        <f t="shared" si="97"/>
        <v>0</v>
      </c>
    </row>
    <row r="2591" spans="76:77" x14ac:dyDescent="0.2">
      <c r="BX2591" s="214" t="e">
        <f t="shared" si="96"/>
        <v>#DIV/0!</v>
      </c>
      <c r="BY2591" s="215">
        <f t="shared" si="97"/>
        <v>0</v>
      </c>
    </row>
    <row r="2592" spans="76:77" x14ac:dyDescent="0.2">
      <c r="BX2592" s="214" t="e">
        <f t="shared" si="96"/>
        <v>#DIV/0!</v>
      </c>
      <c r="BY2592" s="215">
        <f t="shared" si="97"/>
        <v>0</v>
      </c>
    </row>
    <row r="2593" spans="76:77" x14ac:dyDescent="0.2">
      <c r="BX2593" s="214" t="e">
        <f t="shared" si="96"/>
        <v>#DIV/0!</v>
      </c>
      <c r="BY2593" s="215">
        <f t="shared" si="97"/>
        <v>0</v>
      </c>
    </row>
    <row r="2594" spans="76:77" x14ac:dyDescent="0.2">
      <c r="BX2594" s="214" t="e">
        <f t="shared" si="96"/>
        <v>#DIV/0!</v>
      </c>
      <c r="BY2594" s="215">
        <f t="shared" si="97"/>
        <v>0</v>
      </c>
    </row>
    <row r="2595" spans="76:77" x14ac:dyDescent="0.2">
      <c r="BX2595" s="214" t="e">
        <f t="shared" si="96"/>
        <v>#DIV/0!</v>
      </c>
      <c r="BY2595" s="215">
        <f t="shared" si="97"/>
        <v>0</v>
      </c>
    </row>
    <row r="2596" spans="76:77" x14ac:dyDescent="0.2">
      <c r="BX2596" s="214" t="e">
        <f t="shared" si="96"/>
        <v>#DIV/0!</v>
      </c>
      <c r="BY2596" s="215">
        <f t="shared" si="97"/>
        <v>0</v>
      </c>
    </row>
    <row r="2597" spans="76:77" x14ac:dyDescent="0.2">
      <c r="BX2597" s="214" t="e">
        <f t="shared" si="96"/>
        <v>#DIV/0!</v>
      </c>
      <c r="BY2597" s="215">
        <f t="shared" si="97"/>
        <v>0</v>
      </c>
    </row>
    <row r="2598" spans="76:77" x14ac:dyDescent="0.2">
      <c r="BX2598" s="214" t="e">
        <f t="shared" si="96"/>
        <v>#DIV/0!</v>
      </c>
      <c r="BY2598" s="215">
        <f t="shared" si="97"/>
        <v>0</v>
      </c>
    </row>
    <row r="2599" spans="76:77" x14ac:dyDescent="0.2">
      <c r="BX2599" s="214" t="e">
        <f t="shared" si="96"/>
        <v>#DIV/0!</v>
      </c>
      <c r="BY2599" s="215">
        <f t="shared" si="97"/>
        <v>0</v>
      </c>
    </row>
    <row r="2600" spans="76:77" x14ac:dyDescent="0.2">
      <c r="BX2600" s="214" t="e">
        <f t="shared" si="96"/>
        <v>#DIV/0!</v>
      </c>
      <c r="BY2600" s="215">
        <f t="shared" si="97"/>
        <v>0</v>
      </c>
    </row>
    <row r="2601" spans="76:77" x14ac:dyDescent="0.2">
      <c r="BX2601" s="214" t="e">
        <f t="shared" si="96"/>
        <v>#DIV/0!</v>
      </c>
      <c r="BY2601" s="215">
        <f t="shared" si="97"/>
        <v>0</v>
      </c>
    </row>
    <row r="2602" spans="76:77" x14ac:dyDescent="0.2">
      <c r="BX2602" s="214" t="e">
        <f t="shared" si="96"/>
        <v>#DIV/0!</v>
      </c>
      <c r="BY2602" s="215">
        <f t="shared" si="97"/>
        <v>0</v>
      </c>
    </row>
    <row r="2603" spans="76:77" x14ac:dyDescent="0.2">
      <c r="BX2603" s="214" t="e">
        <f t="shared" si="96"/>
        <v>#DIV/0!</v>
      </c>
      <c r="BY2603" s="215">
        <f t="shared" si="97"/>
        <v>0</v>
      </c>
    </row>
    <row r="2604" spans="76:77" x14ac:dyDescent="0.2">
      <c r="BX2604" s="214" t="e">
        <f t="shared" si="96"/>
        <v>#DIV/0!</v>
      </c>
      <c r="BY2604" s="215">
        <f t="shared" si="97"/>
        <v>0</v>
      </c>
    </row>
    <row r="2605" spans="76:77" x14ac:dyDescent="0.2">
      <c r="BX2605" s="214" t="e">
        <f t="shared" si="96"/>
        <v>#DIV/0!</v>
      </c>
      <c r="BY2605" s="215">
        <f t="shared" si="97"/>
        <v>0</v>
      </c>
    </row>
    <row r="2606" spans="76:77" x14ac:dyDescent="0.2">
      <c r="BX2606" s="214" t="e">
        <f t="shared" si="96"/>
        <v>#DIV/0!</v>
      </c>
      <c r="BY2606" s="215">
        <f t="shared" si="97"/>
        <v>0</v>
      </c>
    </row>
    <row r="2607" spans="76:77" x14ac:dyDescent="0.2">
      <c r="BX2607" s="214" t="e">
        <f t="shared" si="96"/>
        <v>#DIV/0!</v>
      </c>
      <c r="BY2607" s="215">
        <f t="shared" si="97"/>
        <v>0</v>
      </c>
    </row>
    <row r="2608" spans="76:77" x14ac:dyDescent="0.2">
      <c r="BX2608" s="214" t="e">
        <f t="shared" si="96"/>
        <v>#DIV/0!</v>
      </c>
      <c r="BY2608" s="215">
        <f t="shared" si="97"/>
        <v>0</v>
      </c>
    </row>
    <row r="2609" spans="76:77" x14ac:dyDescent="0.2">
      <c r="BX2609" s="214" t="e">
        <f t="shared" si="96"/>
        <v>#DIV/0!</v>
      </c>
      <c r="BY2609" s="215">
        <f t="shared" si="97"/>
        <v>0</v>
      </c>
    </row>
    <row r="2610" spans="76:77" x14ac:dyDescent="0.2">
      <c r="BX2610" s="214" t="e">
        <f t="shared" si="96"/>
        <v>#DIV/0!</v>
      </c>
      <c r="BY2610" s="215">
        <f t="shared" si="97"/>
        <v>0</v>
      </c>
    </row>
    <row r="2611" spans="76:77" x14ac:dyDescent="0.2">
      <c r="BX2611" s="214" t="e">
        <f t="shared" si="96"/>
        <v>#DIV/0!</v>
      </c>
      <c r="BY2611" s="215">
        <f t="shared" si="97"/>
        <v>0</v>
      </c>
    </row>
    <row r="2612" spans="76:77" x14ac:dyDescent="0.2">
      <c r="BX2612" s="214" t="e">
        <f t="shared" si="96"/>
        <v>#DIV/0!</v>
      </c>
      <c r="BY2612" s="215">
        <f t="shared" si="97"/>
        <v>0</v>
      </c>
    </row>
    <row r="2613" spans="76:77" x14ac:dyDescent="0.2">
      <c r="BX2613" s="214" t="e">
        <f t="shared" si="96"/>
        <v>#DIV/0!</v>
      </c>
      <c r="BY2613" s="215">
        <f t="shared" si="97"/>
        <v>0</v>
      </c>
    </row>
    <row r="2614" spans="76:77" x14ac:dyDescent="0.2">
      <c r="BX2614" s="214" t="e">
        <f t="shared" si="96"/>
        <v>#DIV/0!</v>
      </c>
      <c r="BY2614" s="215">
        <f t="shared" si="97"/>
        <v>0</v>
      </c>
    </row>
    <row r="2615" spans="76:77" x14ac:dyDescent="0.2">
      <c r="BX2615" s="214" t="e">
        <f t="shared" si="96"/>
        <v>#DIV/0!</v>
      </c>
      <c r="BY2615" s="215">
        <f t="shared" si="97"/>
        <v>0</v>
      </c>
    </row>
    <row r="2616" spans="76:77" x14ac:dyDescent="0.2">
      <c r="BX2616" s="214" t="e">
        <f t="shared" si="96"/>
        <v>#DIV/0!</v>
      </c>
      <c r="BY2616" s="215">
        <f t="shared" si="97"/>
        <v>0</v>
      </c>
    </row>
    <row r="2617" spans="76:77" x14ac:dyDescent="0.2">
      <c r="BX2617" s="214" t="e">
        <f t="shared" si="96"/>
        <v>#DIV/0!</v>
      </c>
      <c r="BY2617" s="215">
        <f t="shared" si="97"/>
        <v>0</v>
      </c>
    </row>
    <row r="2618" spans="76:77" x14ac:dyDescent="0.2">
      <c r="BX2618" s="214" t="e">
        <f t="shared" si="96"/>
        <v>#DIV/0!</v>
      </c>
      <c r="BY2618" s="215">
        <f t="shared" si="97"/>
        <v>0</v>
      </c>
    </row>
    <row r="2619" spans="76:77" x14ac:dyDescent="0.2">
      <c r="BX2619" s="214" t="e">
        <f t="shared" si="96"/>
        <v>#DIV/0!</v>
      </c>
      <c r="BY2619" s="215">
        <f t="shared" si="97"/>
        <v>0</v>
      </c>
    </row>
    <row r="2620" spans="76:77" x14ac:dyDescent="0.2">
      <c r="BX2620" s="214" t="e">
        <f t="shared" si="96"/>
        <v>#DIV/0!</v>
      </c>
      <c r="BY2620" s="215">
        <f t="shared" si="97"/>
        <v>0</v>
      </c>
    </row>
    <row r="2621" spans="76:77" x14ac:dyDescent="0.2">
      <c r="BX2621" s="214" t="e">
        <f t="shared" si="96"/>
        <v>#DIV/0!</v>
      </c>
      <c r="BY2621" s="215">
        <f t="shared" si="97"/>
        <v>0</v>
      </c>
    </row>
    <row r="2622" spans="76:77" x14ac:dyDescent="0.2">
      <c r="BX2622" s="214" t="e">
        <f t="shared" si="96"/>
        <v>#DIV/0!</v>
      </c>
      <c r="BY2622" s="215">
        <f t="shared" si="97"/>
        <v>0</v>
      </c>
    </row>
    <row r="2623" spans="76:77" x14ac:dyDescent="0.2">
      <c r="BX2623" s="214" t="e">
        <f t="shared" si="96"/>
        <v>#DIV/0!</v>
      </c>
      <c r="BY2623" s="215">
        <f t="shared" si="97"/>
        <v>0</v>
      </c>
    </row>
    <row r="2624" spans="76:77" x14ac:dyDescent="0.2">
      <c r="BX2624" s="214" t="e">
        <f t="shared" si="96"/>
        <v>#DIV/0!</v>
      </c>
      <c r="BY2624" s="215">
        <f t="shared" si="97"/>
        <v>0</v>
      </c>
    </row>
    <row r="2625" spans="76:77" x14ac:dyDescent="0.2">
      <c r="BX2625" s="214" t="e">
        <f t="shared" si="96"/>
        <v>#DIV/0!</v>
      </c>
      <c r="BY2625" s="215">
        <f t="shared" si="97"/>
        <v>0</v>
      </c>
    </row>
    <row r="2626" spans="76:77" x14ac:dyDescent="0.2">
      <c r="BX2626" s="214" t="e">
        <f t="shared" si="96"/>
        <v>#DIV/0!</v>
      </c>
      <c r="BY2626" s="215">
        <f t="shared" si="97"/>
        <v>0</v>
      </c>
    </row>
    <row r="2627" spans="76:77" x14ac:dyDescent="0.2">
      <c r="BX2627" s="214" t="e">
        <f t="shared" si="96"/>
        <v>#DIV/0!</v>
      </c>
      <c r="BY2627" s="215">
        <f t="shared" si="97"/>
        <v>0</v>
      </c>
    </row>
    <row r="2628" spans="76:77" x14ac:dyDescent="0.2">
      <c r="BX2628" s="214" t="e">
        <f t="shared" si="96"/>
        <v>#DIV/0!</v>
      </c>
      <c r="BY2628" s="215">
        <f t="shared" si="97"/>
        <v>0</v>
      </c>
    </row>
    <row r="2629" spans="76:77" x14ac:dyDescent="0.2">
      <c r="BX2629" s="214" t="e">
        <f t="shared" si="96"/>
        <v>#DIV/0!</v>
      </c>
      <c r="BY2629" s="215">
        <f t="shared" si="97"/>
        <v>0</v>
      </c>
    </row>
    <row r="2630" spans="76:77" x14ac:dyDescent="0.2">
      <c r="BX2630" s="214" t="e">
        <f t="shared" si="96"/>
        <v>#DIV/0!</v>
      </c>
      <c r="BY2630" s="215">
        <f t="shared" si="97"/>
        <v>0</v>
      </c>
    </row>
    <row r="2631" spans="76:77" x14ac:dyDescent="0.2">
      <c r="BX2631" s="214" t="e">
        <f t="shared" si="96"/>
        <v>#DIV/0!</v>
      </c>
      <c r="BY2631" s="215">
        <f t="shared" si="97"/>
        <v>0</v>
      </c>
    </row>
    <row r="2632" spans="76:77" x14ac:dyDescent="0.2">
      <c r="BX2632" s="214" t="e">
        <f t="shared" si="96"/>
        <v>#DIV/0!</v>
      </c>
      <c r="BY2632" s="215">
        <f t="shared" si="97"/>
        <v>0</v>
      </c>
    </row>
    <row r="2633" spans="76:77" x14ac:dyDescent="0.2">
      <c r="BX2633" s="214" t="e">
        <f t="shared" si="96"/>
        <v>#DIV/0!</v>
      </c>
      <c r="BY2633" s="215">
        <f t="shared" si="97"/>
        <v>0</v>
      </c>
    </row>
    <row r="2634" spans="76:77" x14ac:dyDescent="0.2">
      <c r="BX2634" s="214" t="e">
        <f t="shared" si="96"/>
        <v>#DIV/0!</v>
      </c>
      <c r="BY2634" s="215">
        <f t="shared" si="97"/>
        <v>0</v>
      </c>
    </row>
    <row r="2635" spans="76:77" x14ac:dyDescent="0.2">
      <c r="BX2635" s="214" t="e">
        <f t="shared" si="96"/>
        <v>#DIV/0!</v>
      </c>
      <c r="BY2635" s="215">
        <f t="shared" si="97"/>
        <v>0</v>
      </c>
    </row>
    <row r="2636" spans="76:77" x14ac:dyDescent="0.2">
      <c r="BX2636" s="214" t="e">
        <f t="shared" si="96"/>
        <v>#DIV/0!</v>
      </c>
      <c r="BY2636" s="215">
        <f t="shared" si="97"/>
        <v>0</v>
      </c>
    </row>
    <row r="2637" spans="76:77" x14ac:dyDescent="0.2">
      <c r="BX2637" s="214" t="e">
        <f t="shared" ref="BX2637:BX2700" si="98">BY2637/BV2637</f>
        <v>#DIV/0!</v>
      </c>
      <c r="BY2637" s="215">
        <f t="shared" si="97"/>
        <v>0</v>
      </c>
    </row>
    <row r="2638" spans="76:77" x14ac:dyDescent="0.2">
      <c r="BX2638" s="214" t="e">
        <f t="shared" si="98"/>
        <v>#DIV/0!</v>
      </c>
      <c r="BY2638" s="215">
        <f t="shared" ref="BY2638:BY2701" si="99">BY2637+BW2638*(BV2638-BV2637)</f>
        <v>0</v>
      </c>
    </row>
    <row r="2639" spans="76:77" x14ac:dyDescent="0.2">
      <c r="BX2639" s="214" t="e">
        <f t="shared" si="98"/>
        <v>#DIV/0!</v>
      </c>
      <c r="BY2639" s="215">
        <f t="shared" si="99"/>
        <v>0</v>
      </c>
    </row>
    <row r="2640" spans="76:77" x14ac:dyDescent="0.2">
      <c r="BX2640" s="214" t="e">
        <f t="shared" si="98"/>
        <v>#DIV/0!</v>
      </c>
      <c r="BY2640" s="215">
        <f t="shared" si="99"/>
        <v>0</v>
      </c>
    </row>
    <row r="2641" spans="76:77" x14ac:dyDescent="0.2">
      <c r="BX2641" s="214" t="e">
        <f t="shared" si="98"/>
        <v>#DIV/0!</v>
      </c>
      <c r="BY2641" s="215">
        <f t="shared" si="99"/>
        <v>0</v>
      </c>
    </row>
    <row r="2642" spans="76:77" x14ac:dyDescent="0.2">
      <c r="BX2642" s="214" t="e">
        <f t="shared" si="98"/>
        <v>#DIV/0!</v>
      </c>
      <c r="BY2642" s="215">
        <f t="shared" si="99"/>
        <v>0</v>
      </c>
    </row>
    <row r="2643" spans="76:77" x14ac:dyDescent="0.2">
      <c r="BX2643" s="214" t="e">
        <f t="shared" si="98"/>
        <v>#DIV/0!</v>
      </c>
      <c r="BY2643" s="215">
        <f t="shared" si="99"/>
        <v>0</v>
      </c>
    </row>
    <row r="2644" spans="76:77" x14ac:dyDescent="0.2">
      <c r="BX2644" s="214" t="e">
        <f t="shared" si="98"/>
        <v>#DIV/0!</v>
      </c>
      <c r="BY2644" s="215">
        <f t="shared" si="99"/>
        <v>0</v>
      </c>
    </row>
    <row r="2645" spans="76:77" x14ac:dyDescent="0.2">
      <c r="BX2645" s="214" t="e">
        <f t="shared" si="98"/>
        <v>#DIV/0!</v>
      </c>
      <c r="BY2645" s="215">
        <f t="shared" si="99"/>
        <v>0</v>
      </c>
    </row>
    <row r="2646" spans="76:77" x14ac:dyDescent="0.2">
      <c r="BX2646" s="214" t="e">
        <f t="shared" si="98"/>
        <v>#DIV/0!</v>
      </c>
      <c r="BY2646" s="215">
        <f t="shared" si="99"/>
        <v>0</v>
      </c>
    </row>
    <row r="2647" spans="76:77" x14ac:dyDescent="0.2">
      <c r="BX2647" s="214" t="e">
        <f t="shared" si="98"/>
        <v>#DIV/0!</v>
      </c>
      <c r="BY2647" s="215">
        <f t="shared" si="99"/>
        <v>0</v>
      </c>
    </row>
    <row r="2648" spans="76:77" x14ac:dyDescent="0.2">
      <c r="BX2648" s="214" t="e">
        <f t="shared" si="98"/>
        <v>#DIV/0!</v>
      </c>
      <c r="BY2648" s="215">
        <f t="shared" si="99"/>
        <v>0</v>
      </c>
    </row>
    <row r="2649" spans="76:77" x14ac:dyDescent="0.2">
      <c r="BX2649" s="214" t="e">
        <f t="shared" si="98"/>
        <v>#DIV/0!</v>
      </c>
      <c r="BY2649" s="215">
        <f t="shared" si="99"/>
        <v>0</v>
      </c>
    </row>
    <row r="2650" spans="76:77" x14ac:dyDescent="0.2">
      <c r="BX2650" s="214" t="e">
        <f t="shared" si="98"/>
        <v>#DIV/0!</v>
      </c>
      <c r="BY2650" s="215">
        <f t="shared" si="99"/>
        <v>0</v>
      </c>
    </row>
    <row r="2651" spans="76:77" x14ac:dyDescent="0.2">
      <c r="BX2651" s="214" t="e">
        <f t="shared" si="98"/>
        <v>#DIV/0!</v>
      </c>
      <c r="BY2651" s="215">
        <f t="shared" si="99"/>
        <v>0</v>
      </c>
    </row>
    <row r="2652" spans="76:77" x14ac:dyDescent="0.2">
      <c r="BX2652" s="214" t="e">
        <f t="shared" si="98"/>
        <v>#DIV/0!</v>
      </c>
      <c r="BY2652" s="215">
        <f t="shared" si="99"/>
        <v>0</v>
      </c>
    </row>
    <row r="2653" spans="76:77" x14ac:dyDescent="0.2">
      <c r="BX2653" s="214" t="e">
        <f t="shared" si="98"/>
        <v>#DIV/0!</v>
      </c>
      <c r="BY2653" s="215">
        <f t="shared" si="99"/>
        <v>0</v>
      </c>
    </row>
    <row r="2654" spans="76:77" x14ac:dyDescent="0.2">
      <c r="BX2654" s="214" t="e">
        <f t="shared" si="98"/>
        <v>#DIV/0!</v>
      </c>
      <c r="BY2654" s="215">
        <f t="shared" si="99"/>
        <v>0</v>
      </c>
    </row>
    <row r="2655" spans="76:77" x14ac:dyDescent="0.2">
      <c r="BX2655" s="214" t="e">
        <f t="shared" si="98"/>
        <v>#DIV/0!</v>
      </c>
      <c r="BY2655" s="215">
        <f t="shared" si="99"/>
        <v>0</v>
      </c>
    </row>
    <row r="2656" spans="76:77" x14ac:dyDescent="0.2">
      <c r="BX2656" s="214" t="e">
        <f t="shared" si="98"/>
        <v>#DIV/0!</v>
      </c>
      <c r="BY2656" s="215">
        <f t="shared" si="99"/>
        <v>0</v>
      </c>
    </row>
    <row r="2657" spans="76:77" x14ac:dyDescent="0.2">
      <c r="BX2657" s="214" t="e">
        <f t="shared" si="98"/>
        <v>#DIV/0!</v>
      </c>
      <c r="BY2657" s="215">
        <f t="shared" si="99"/>
        <v>0</v>
      </c>
    </row>
    <row r="2658" spans="76:77" x14ac:dyDescent="0.2">
      <c r="BX2658" s="214" t="e">
        <f t="shared" si="98"/>
        <v>#DIV/0!</v>
      </c>
      <c r="BY2658" s="215">
        <f t="shared" si="99"/>
        <v>0</v>
      </c>
    </row>
    <row r="2659" spans="76:77" x14ac:dyDescent="0.2">
      <c r="BX2659" s="214" t="e">
        <f t="shared" si="98"/>
        <v>#DIV/0!</v>
      </c>
      <c r="BY2659" s="215">
        <f t="shared" si="99"/>
        <v>0</v>
      </c>
    </row>
    <row r="2660" spans="76:77" x14ac:dyDescent="0.2">
      <c r="BX2660" s="214" t="e">
        <f t="shared" si="98"/>
        <v>#DIV/0!</v>
      </c>
      <c r="BY2660" s="215">
        <f t="shared" si="99"/>
        <v>0</v>
      </c>
    </row>
    <row r="2661" spans="76:77" x14ac:dyDescent="0.2">
      <c r="BX2661" s="214" t="e">
        <f t="shared" si="98"/>
        <v>#DIV/0!</v>
      </c>
      <c r="BY2661" s="215">
        <f t="shared" si="99"/>
        <v>0</v>
      </c>
    </row>
    <row r="2662" spans="76:77" x14ac:dyDescent="0.2">
      <c r="BX2662" s="214" t="e">
        <f t="shared" si="98"/>
        <v>#DIV/0!</v>
      </c>
      <c r="BY2662" s="215">
        <f t="shared" si="99"/>
        <v>0</v>
      </c>
    </row>
    <row r="2663" spans="76:77" x14ac:dyDescent="0.2">
      <c r="BX2663" s="214" t="e">
        <f t="shared" si="98"/>
        <v>#DIV/0!</v>
      </c>
      <c r="BY2663" s="215">
        <f t="shared" si="99"/>
        <v>0</v>
      </c>
    </row>
    <row r="2664" spans="76:77" x14ac:dyDescent="0.2">
      <c r="BX2664" s="214" t="e">
        <f t="shared" si="98"/>
        <v>#DIV/0!</v>
      </c>
      <c r="BY2664" s="215">
        <f t="shared" si="99"/>
        <v>0</v>
      </c>
    </row>
    <row r="2665" spans="76:77" x14ac:dyDescent="0.2">
      <c r="BX2665" s="214" t="e">
        <f t="shared" si="98"/>
        <v>#DIV/0!</v>
      </c>
      <c r="BY2665" s="215">
        <f t="shared" si="99"/>
        <v>0</v>
      </c>
    </row>
    <row r="2666" spans="76:77" x14ac:dyDescent="0.2">
      <c r="BX2666" s="214" t="e">
        <f t="shared" si="98"/>
        <v>#DIV/0!</v>
      </c>
      <c r="BY2666" s="215">
        <f t="shared" si="99"/>
        <v>0</v>
      </c>
    </row>
    <row r="2667" spans="76:77" x14ac:dyDescent="0.2">
      <c r="BX2667" s="214" t="e">
        <f t="shared" si="98"/>
        <v>#DIV/0!</v>
      </c>
      <c r="BY2667" s="215">
        <f t="shared" si="99"/>
        <v>0</v>
      </c>
    </row>
    <row r="2668" spans="76:77" x14ac:dyDescent="0.2">
      <c r="BX2668" s="214" t="e">
        <f t="shared" si="98"/>
        <v>#DIV/0!</v>
      </c>
      <c r="BY2668" s="215">
        <f t="shared" si="99"/>
        <v>0</v>
      </c>
    </row>
    <row r="2669" spans="76:77" x14ac:dyDescent="0.2">
      <c r="BX2669" s="214" t="e">
        <f t="shared" si="98"/>
        <v>#DIV/0!</v>
      </c>
      <c r="BY2669" s="215">
        <f t="shared" si="99"/>
        <v>0</v>
      </c>
    </row>
    <row r="2670" spans="76:77" x14ac:dyDescent="0.2">
      <c r="BX2670" s="214" t="e">
        <f t="shared" si="98"/>
        <v>#DIV/0!</v>
      </c>
      <c r="BY2670" s="215">
        <f t="shared" si="99"/>
        <v>0</v>
      </c>
    </row>
    <row r="2671" spans="76:77" x14ac:dyDescent="0.2">
      <c r="BX2671" s="214" t="e">
        <f t="shared" si="98"/>
        <v>#DIV/0!</v>
      </c>
      <c r="BY2671" s="215">
        <f t="shared" si="99"/>
        <v>0</v>
      </c>
    </row>
    <row r="2672" spans="76:77" x14ac:dyDescent="0.2">
      <c r="BX2672" s="214" t="e">
        <f t="shared" si="98"/>
        <v>#DIV/0!</v>
      </c>
      <c r="BY2672" s="215">
        <f t="shared" si="99"/>
        <v>0</v>
      </c>
    </row>
    <row r="2673" spans="76:77" x14ac:dyDescent="0.2">
      <c r="BX2673" s="214" t="e">
        <f t="shared" si="98"/>
        <v>#DIV/0!</v>
      </c>
      <c r="BY2673" s="215">
        <f t="shared" si="99"/>
        <v>0</v>
      </c>
    </row>
    <row r="2674" spans="76:77" x14ac:dyDescent="0.2">
      <c r="BX2674" s="214" t="e">
        <f t="shared" si="98"/>
        <v>#DIV/0!</v>
      </c>
      <c r="BY2674" s="215">
        <f t="shared" si="99"/>
        <v>0</v>
      </c>
    </row>
    <row r="2675" spans="76:77" x14ac:dyDescent="0.2">
      <c r="BX2675" s="214" t="e">
        <f t="shared" si="98"/>
        <v>#DIV/0!</v>
      </c>
      <c r="BY2675" s="215">
        <f t="shared" si="99"/>
        <v>0</v>
      </c>
    </row>
    <row r="2676" spans="76:77" x14ac:dyDescent="0.2">
      <c r="BX2676" s="214" t="e">
        <f t="shared" si="98"/>
        <v>#DIV/0!</v>
      </c>
      <c r="BY2676" s="215">
        <f t="shared" si="99"/>
        <v>0</v>
      </c>
    </row>
    <row r="2677" spans="76:77" x14ac:dyDescent="0.2">
      <c r="BX2677" s="214" t="e">
        <f t="shared" si="98"/>
        <v>#DIV/0!</v>
      </c>
      <c r="BY2677" s="215">
        <f t="shared" si="99"/>
        <v>0</v>
      </c>
    </row>
    <row r="2678" spans="76:77" x14ac:dyDescent="0.2">
      <c r="BX2678" s="214" t="e">
        <f t="shared" si="98"/>
        <v>#DIV/0!</v>
      </c>
      <c r="BY2678" s="215">
        <f t="shared" si="99"/>
        <v>0</v>
      </c>
    </row>
    <row r="2679" spans="76:77" x14ac:dyDescent="0.2">
      <c r="BX2679" s="214" t="e">
        <f t="shared" si="98"/>
        <v>#DIV/0!</v>
      </c>
      <c r="BY2679" s="215">
        <f t="shared" si="99"/>
        <v>0</v>
      </c>
    </row>
    <row r="2680" spans="76:77" x14ac:dyDescent="0.2">
      <c r="BX2680" s="214" t="e">
        <f t="shared" si="98"/>
        <v>#DIV/0!</v>
      </c>
      <c r="BY2680" s="215">
        <f t="shared" si="99"/>
        <v>0</v>
      </c>
    </row>
    <row r="2681" spans="76:77" x14ac:dyDescent="0.2">
      <c r="BX2681" s="214" t="e">
        <f t="shared" si="98"/>
        <v>#DIV/0!</v>
      </c>
      <c r="BY2681" s="215">
        <f t="shared" si="99"/>
        <v>0</v>
      </c>
    </row>
    <row r="2682" spans="76:77" x14ac:dyDescent="0.2">
      <c r="BX2682" s="214" t="e">
        <f t="shared" si="98"/>
        <v>#DIV/0!</v>
      </c>
      <c r="BY2682" s="215">
        <f t="shared" si="99"/>
        <v>0</v>
      </c>
    </row>
    <row r="2683" spans="76:77" x14ac:dyDescent="0.2">
      <c r="BX2683" s="214" t="e">
        <f t="shared" si="98"/>
        <v>#DIV/0!</v>
      </c>
      <c r="BY2683" s="215">
        <f t="shared" si="99"/>
        <v>0</v>
      </c>
    </row>
    <row r="2684" spans="76:77" x14ac:dyDescent="0.2">
      <c r="BX2684" s="214" t="e">
        <f t="shared" si="98"/>
        <v>#DIV/0!</v>
      </c>
      <c r="BY2684" s="215">
        <f t="shared" si="99"/>
        <v>0</v>
      </c>
    </row>
    <row r="2685" spans="76:77" x14ac:dyDescent="0.2">
      <c r="BX2685" s="214" t="e">
        <f t="shared" si="98"/>
        <v>#DIV/0!</v>
      </c>
      <c r="BY2685" s="215">
        <f t="shared" si="99"/>
        <v>0</v>
      </c>
    </row>
    <row r="2686" spans="76:77" x14ac:dyDescent="0.2">
      <c r="BX2686" s="214" t="e">
        <f t="shared" si="98"/>
        <v>#DIV/0!</v>
      </c>
      <c r="BY2686" s="215">
        <f t="shared" si="99"/>
        <v>0</v>
      </c>
    </row>
    <row r="2687" spans="76:77" x14ac:dyDescent="0.2">
      <c r="BX2687" s="214" t="e">
        <f t="shared" si="98"/>
        <v>#DIV/0!</v>
      </c>
      <c r="BY2687" s="215">
        <f t="shared" si="99"/>
        <v>0</v>
      </c>
    </row>
    <row r="2688" spans="76:77" x14ac:dyDescent="0.2">
      <c r="BX2688" s="214" t="e">
        <f t="shared" si="98"/>
        <v>#DIV/0!</v>
      </c>
      <c r="BY2688" s="215">
        <f t="shared" si="99"/>
        <v>0</v>
      </c>
    </row>
    <row r="2689" spans="76:77" x14ac:dyDescent="0.2">
      <c r="BX2689" s="214" t="e">
        <f t="shared" si="98"/>
        <v>#DIV/0!</v>
      </c>
      <c r="BY2689" s="215">
        <f t="shared" si="99"/>
        <v>0</v>
      </c>
    </row>
    <row r="2690" spans="76:77" x14ac:dyDescent="0.2">
      <c r="BX2690" s="214" t="e">
        <f t="shared" si="98"/>
        <v>#DIV/0!</v>
      </c>
      <c r="BY2690" s="215">
        <f t="shared" si="99"/>
        <v>0</v>
      </c>
    </row>
    <row r="2691" spans="76:77" x14ac:dyDescent="0.2">
      <c r="BX2691" s="214" t="e">
        <f t="shared" si="98"/>
        <v>#DIV/0!</v>
      </c>
      <c r="BY2691" s="215">
        <f t="shared" si="99"/>
        <v>0</v>
      </c>
    </row>
    <row r="2692" spans="76:77" x14ac:dyDescent="0.2">
      <c r="BX2692" s="214" t="e">
        <f t="shared" si="98"/>
        <v>#DIV/0!</v>
      </c>
      <c r="BY2692" s="215">
        <f t="shared" si="99"/>
        <v>0</v>
      </c>
    </row>
    <row r="2693" spans="76:77" x14ac:dyDescent="0.2">
      <c r="BX2693" s="214" t="e">
        <f t="shared" si="98"/>
        <v>#DIV/0!</v>
      </c>
      <c r="BY2693" s="215">
        <f t="shared" si="99"/>
        <v>0</v>
      </c>
    </row>
    <row r="2694" spans="76:77" x14ac:dyDescent="0.2">
      <c r="BX2694" s="214" t="e">
        <f t="shared" si="98"/>
        <v>#DIV/0!</v>
      </c>
      <c r="BY2694" s="215">
        <f t="shared" si="99"/>
        <v>0</v>
      </c>
    </row>
    <row r="2695" spans="76:77" x14ac:dyDescent="0.2">
      <c r="BX2695" s="214" t="e">
        <f t="shared" si="98"/>
        <v>#DIV/0!</v>
      </c>
      <c r="BY2695" s="215">
        <f t="shared" si="99"/>
        <v>0</v>
      </c>
    </row>
    <row r="2696" spans="76:77" x14ac:dyDescent="0.2">
      <c r="BX2696" s="214" t="e">
        <f t="shared" si="98"/>
        <v>#DIV/0!</v>
      </c>
      <c r="BY2696" s="215">
        <f t="shared" si="99"/>
        <v>0</v>
      </c>
    </row>
    <row r="2697" spans="76:77" x14ac:dyDescent="0.2">
      <c r="BX2697" s="214" t="e">
        <f t="shared" si="98"/>
        <v>#DIV/0!</v>
      </c>
      <c r="BY2697" s="215">
        <f t="shared" si="99"/>
        <v>0</v>
      </c>
    </row>
    <row r="2698" spans="76:77" x14ac:dyDescent="0.2">
      <c r="BX2698" s="214" t="e">
        <f t="shared" si="98"/>
        <v>#DIV/0!</v>
      </c>
      <c r="BY2698" s="215">
        <f t="shared" si="99"/>
        <v>0</v>
      </c>
    </row>
    <row r="2699" spans="76:77" x14ac:dyDescent="0.2">
      <c r="BX2699" s="214" t="e">
        <f t="shared" si="98"/>
        <v>#DIV/0!</v>
      </c>
      <c r="BY2699" s="215">
        <f t="shared" si="99"/>
        <v>0</v>
      </c>
    </row>
    <row r="2700" spans="76:77" x14ac:dyDescent="0.2">
      <c r="BX2700" s="214" t="e">
        <f t="shared" si="98"/>
        <v>#DIV/0!</v>
      </c>
      <c r="BY2700" s="215">
        <f t="shared" si="99"/>
        <v>0</v>
      </c>
    </row>
    <row r="2701" spans="76:77" x14ac:dyDescent="0.2">
      <c r="BX2701" s="214" t="e">
        <f t="shared" ref="BX2701:BX2764" si="100">BY2701/BV2701</f>
        <v>#DIV/0!</v>
      </c>
      <c r="BY2701" s="215">
        <f t="shared" si="99"/>
        <v>0</v>
      </c>
    </row>
    <row r="2702" spans="76:77" x14ac:dyDescent="0.2">
      <c r="BX2702" s="214" t="e">
        <f t="shared" si="100"/>
        <v>#DIV/0!</v>
      </c>
      <c r="BY2702" s="215">
        <f t="shared" ref="BY2702:BY2765" si="101">BY2701+BW2702*(BV2702-BV2701)</f>
        <v>0</v>
      </c>
    </row>
    <row r="2703" spans="76:77" x14ac:dyDescent="0.2">
      <c r="BX2703" s="214" t="e">
        <f t="shared" si="100"/>
        <v>#DIV/0!</v>
      </c>
      <c r="BY2703" s="215">
        <f t="shared" si="101"/>
        <v>0</v>
      </c>
    </row>
    <row r="2704" spans="76:77" x14ac:dyDescent="0.2">
      <c r="BX2704" s="214" t="e">
        <f t="shared" si="100"/>
        <v>#DIV/0!</v>
      </c>
      <c r="BY2704" s="215">
        <f t="shared" si="101"/>
        <v>0</v>
      </c>
    </row>
    <row r="2705" spans="76:77" x14ac:dyDescent="0.2">
      <c r="BX2705" s="214" t="e">
        <f t="shared" si="100"/>
        <v>#DIV/0!</v>
      </c>
      <c r="BY2705" s="215">
        <f t="shared" si="101"/>
        <v>0</v>
      </c>
    </row>
    <row r="2706" spans="76:77" x14ac:dyDescent="0.2">
      <c r="BX2706" s="214" t="e">
        <f t="shared" si="100"/>
        <v>#DIV/0!</v>
      </c>
      <c r="BY2706" s="215">
        <f t="shared" si="101"/>
        <v>0</v>
      </c>
    </row>
    <row r="2707" spans="76:77" x14ac:dyDescent="0.2">
      <c r="BX2707" s="214" t="e">
        <f t="shared" si="100"/>
        <v>#DIV/0!</v>
      </c>
      <c r="BY2707" s="215">
        <f t="shared" si="101"/>
        <v>0</v>
      </c>
    </row>
    <row r="2708" spans="76:77" x14ac:dyDescent="0.2">
      <c r="BX2708" s="214" t="e">
        <f t="shared" si="100"/>
        <v>#DIV/0!</v>
      </c>
      <c r="BY2708" s="215">
        <f t="shared" si="101"/>
        <v>0</v>
      </c>
    </row>
    <row r="2709" spans="76:77" x14ac:dyDescent="0.2">
      <c r="BX2709" s="214" t="e">
        <f t="shared" si="100"/>
        <v>#DIV/0!</v>
      </c>
      <c r="BY2709" s="215">
        <f t="shared" si="101"/>
        <v>0</v>
      </c>
    </row>
    <row r="2710" spans="76:77" x14ac:dyDescent="0.2">
      <c r="BX2710" s="214" t="e">
        <f t="shared" si="100"/>
        <v>#DIV/0!</v>
      </c>
      <c r="BY2710" s="215">
        <f t="shared" si="101"/>
        <v>0</v>
      </c>
    </row>
    <row r="2711" spans="76:77" x14ac:dyDescent="0.2">
      <c r="BX2711" s="214" t="e">
        <f t="shared" si="100"/>
        <v>#DIV/0!</v>
      </c>
      <c r="BY2711" s="215">
        <f t="shared" si="101"/>
        <v>0</v>
      </c>
    </row>
    <row r="2712" spans="76:77" x14ac:dyDescent="0.2">
      <c r="BX2712" s="214" t="e">
        <f t="shared" si="100"/>
        <v>#DIV/0!</v>
      </c>
      <c r="BY2712" s="215">
        <f t="shared" si="101"/>
        <v>0</v>
      </c>
    </row>
    <row r="2713" spans="76:77" x14ac:dyDescent="0.2">
      <c r="BX2713" s="214" t="e">
        <f t="shared" si="100"/>
        <v>#DIV/0!</v>
      </c>
      <c r="BY2713" s="215">
        <f t="shared" si="101"/>
        <v>0</v>
      </c>
    </row>
    <row r="2714" spans="76:77" x14ac:dyDescent="0.2">
      <c r="BX2714" s="214" t="e">
        <f t="shared" si="100"/>
        <v>#DIV/0!</v>
      </c>
      <c r="BY2714" s="215">
        <f t="shared" si="101"/>
        <v>0</v>
      </c>
    </row>
    <row r="2715" spans="76:77" x14ac:dyDescent="0.2">
      <c r="BX2715" s="214" t="e">
        <f t="shared" si="100"/>
        <v>#DIV/0!</v>
      </c>
      <c r="BY2715" s="215">
        <f t="shared" si="101"/>
        <v>0</v>
      </c>
    </row>
    <row r="2716" spans="76:77" x14ac:dyDescent="0.2">
      <c r="BX2716" s="214" t="e">
        <f t="shared" si="100"/>
        <v>#DIV/0!</v>
      </c>
      <c r="BY2716" s="215">
        <f t="shared" si="101"/>
        <v>0</v>
      </c>
    </row>
    <row r="2717" spans="76:77" x14ac:dyDescent="0.2">
      <c r="BX2717" s="214" t="e">
        <f t="shared" si="100"/>
        <v>#DIV/0!</v>
      </c>
      <c r="BY2717" s="215">
        <f t="shared" si="101"/>
        <v>0</v>
      </c>
    </row>
    <row r="2718" spans="76:77" x14ac:dyDescent="0.2">
      <c r="BX2718" s="214" t="e">
        <f t="shared" si="100"/>
        <v>#DIV/0!</v>
      </c>
      <c r="BY2718" s="215">
        <f t="shared" si="101"/>
        <v>0</v>
      </c>
    </row>
    <row r="2719" spans="76:77" x14ac:dyDescent="0.2">
      <c r="BX2719" s="214" t="e">
        <f t="shared" si="100"/>
        <v>#DIV/0!</v>
      </c>
      <c r="BY2719" s="215">
        <f t="shared" si="101"/>
        <v>0</v>
      </c>
    </row>
    <row r="2720" spans="76:77" x14ac:dyDescent="0.2">
      <c r="BX2720" s="214" t="e">
        <f t="shared" si="100"/>
        <v>#DIV/0!</v>
      </c>
      <c r="BY2720" s="215">
        <f t="shared" si="101"/>
        <v>0</v>
      </c>
    </row>
    <row r="2721" spans="76:77" x14ac:dyDescent="0.2">
      <c r="BX2721" s="214" t="e">
        <f t="shared" si="100"/>
        <v>#DIV/0!</v>
      </c>
      <c r="BY2721" s="215">
        <f t="shared" si="101"/>
        <v>0</v>
      </c>
    </row>
    <row r="2722" spans="76:77" x14ac:dyDescent="0.2">
      <c r="BX2722" s="214" t="e">
        <f t="shared" si="100"/>
        <v>#DIV/0!</v>
      </c>
      <c r="BY2722" s="215">
        <f t="shared" si="101"/>
        <v>0</v>
      </c>
    </row>
    <row r="2723" spans="76:77" x14ac:dyDescent="0.2">
      <c r="BX2723" s="214" t="e">
        <f t="shared" si="100"/>
        <v>#DIV/0!</v>
      </c>
      <c r="BY2723" s="215">
        <f t="shared" si="101"/>
        <v>0</v>
      </c>
    </row>
    <row r="2724" spans="76:77" x14ac:dyDescent="0.2">
      <c r="BX2724" s="214" t="e">
        <f t="shared" si="100"/>
        <v>#DIV/0!</v>
      </c>
      <c r="BY2724" s="215">
        <f t="shared" si="101"/>
        <v>0</v>
      </c>
    </row>
    <row r="2725" spans="76:77" x14ac:dyDescent="0.2">
      <c r="BX2725" s="214" t="e">
        <f t="shared" si="100"/>
        <v>#DIV/0!</v>
      </c>
      <c r="BY2725" s="215">
        <f t="shared" si="101"/>
        <v>0</v>
      </c>
    </row>
    <row r="2726" spans="76:77" x14ac:dyDescent="0.2">
      <c r="BX2726" s="214" t="e">
        <f t="shared" si="100"/>
        <v>#DIV/0!</v>
      </c>
      <c r="BY2726" s="215">
        <f t="shared" si="101"/>
        <v>0</v>
      </c>
    </row>
    <row r="2727" spans="76:77" x14ac:dyDescent="0.2">
      <c r="BX2727" s="214" t="e">
        <f t="shared" si="100"/>
        <v>#DIV/0!</v>
      </c>
      <c r="BY2727" s="215">
        <f t="shared" si="101"/>
        <v>0</v>
      </c>
    </row>
    <row r="2728" spans="76:77" x14ac:dyDescent="0.2">
      <c r="BX2728" s="214" t="e">
        <f t="shared" si="100"/>
        <v>#DIV/0!</v>
      </c>
      <c r="BY2728" s="215">
        <f t="shared" si="101"/>
        <v>0</v>
      </c>
    </row>
    <row r="2729" spans="76:77" x14ac:dyDescent="0.2">
      <c r="BX2729" s="214" t="e">
        <f t="shared" si="100"/>
        <v>#DIV/0!</v>
      </c>
      <c r="BY2729" s="215">
        <f t="shared" si="101"/>
        <v>0</v>
      </c>
    </row>
    <row r="2730" spans="76:77" x14ac:dyDescent="0.2">
      <c r="BX2730" s="214" t="e">
        <f t="shared" si="100"/>
        <v>#DIV/0!</v>
      </c>
      <c r="BY2730" s="215">
        <f t="shared" si="101"/>
        <v>0</v>
      </c>
    </row>
    <row r="2731" spans="76:77" x14ac:dyDescent="0.2">
      <c r="BX2731" s="214" t="e">
        <f t="shared" si="100"/>
        <v>#DIV/0!</v>
      </c>
      <c r="BY2731" s="215">
        <f t="shared" si="101"/>
        <v>0</v>
      </c>
    </row>
    <row r="2732" spans="76:77" x14ac:dyDescent="0.2">
      <c r="BX2732" s="214" t="e">
        <f t="shared" si="100"/>
        <v>#DIV/0!</v>
      </c>
      <c r="BY2732" s="215">
        <f t="shared" si="101"/>
        <v>0</v>
      </c>
    </row>
    <row r="2733" spans="76:77" x14ac:dyDescent="0.2">
      <c r="BX2733" s="214" t="e">
        <f t="shared" si="100"/>
        <v>#DIV/0!</v>
      </c>
      <c r="BY2733" s="215">
        <f t="shared" si="101"/>
        <v>0</v>
      </c>
    </row>
    <row r="2734" spans="76:77" x14ac:dyDescent="0.2">
      <c r="BX2734" s="214" t="e">
        <f t="shared" si="100"/>
        <v>#DIV/0!</v>
      </c>
      <c r="BY2734" s="215">
        <f t="shared" si="101"/>
        <v>0</v>
      </c>
    </row>
    <row r="2735" spans="76:77" x14ac:dyDescent="0.2">
      <c r="BX2735" s="214" t="e">
        <f t="shared" si="100"/>
        <v>#DIV/0!</v>
      </c>
      <c r="BY2735" s="215">
        <f t="shared" si="101"/>
        <v>0</v>
      </c>
    </row>
    <row r="2736" spans="76:77" x14ac:dyDescent="0.2">
      <c r="BX2736" s="214" t="e">
        <f t="shared" si="100"/>
        <v>#DIV/0!</v>
      </c>
      <c r="BY2736" s="215">
        <f t="shared" si="101"/>
        <v>0</v>
      </c>
    </row>
    <row r="2737" spans="76:77" x14ac:dyDescent="0.2">
      <c r="BX2737" s="214" t="e">
        <f t="shared" si="100"/>
        <v>#DIV/0!</v>
      </c>
      <c r="BY2737" s="215">
        <f t="shared" si="101"/>
        <v>0</v>
      </c>
    </row>
    <row r="2738" spans="76:77" x14ac:dyDescent="0.2">
      <c r="BX2738" s="214" t="e">
        <f t="shared" si="100"/>
        <v>#DIV/0!</v>
      </c>
      <c r="BY2738" s="215">
        <f t="shared" si="101"/>
        <v>0</v>
      </c>
    </row>
    <row r="2739" spans="76:77" x14ac:dyDescent="0.2">
      <c r="BX2739" s="214" t="e">
        <f t="shared" si="100"/>
        <v>#DIV/0!</v>
      </c>
      <c r="BY2739" s="215">
        <f t="shared" si="101"/>
        <v>0</v>
      </c>
    </row>
    <row r="2740" spans="76:77" x14ac:dyDescent="0.2">
      <c r="BX2740" s="214" t="e">
        <f t="shared" si="100"/>
        <v>#DIV/0!</v>
      </c>
      <c r="BY2740" s="215">
        <f t="shared" si="101"/>
        <v>0</v>
      </c>
    </row>
    <row r="2741" spans="76:77" x14ac:dyDescent="0.2">
      <c r="BX2741" s="214" t="e">
        <f t="shared" si="100"/>
        <v>#DIV/0!</v>
      </c>
      <c r="BY2741" s="215">
        <f t="shared" si="101"/>
        <v>0</v>
      </c>
    </row>
    <row r="2742" spans="76:77" x14ac:dyDescent="0.2">
      <c r="BX2742" s="214" t="e">
        <f t="shared" si="100"/>
        <v>#DIV/0!</v>
      </c>
      <c r="BY2742" s="215">
        <f t="shared" si="101"/>
        <v>0</v>
      </c>
    </row>
    <row r="2743" spans="76:77" x14ac:dyDescent="0.2">
      <c r="BX2743" s="214" t="e">
        <f t="shared" si="100"/>
        <v>#DIV/0!</v>
      </c>
      <c r="BY2743" s="215">
        <f t="shared" si="101"/>
        <v>0</v>
      </c>
    </row>
    <row r="2744" spans="76:77" x14ac:dyDescent="0.2">
      <c r="BX2744" s="214" t="e">
        <f t="shared" si="100"/>
        <v>#DIV/0!</v>
      </c>
      <c r="BY2744" s="215">
        <f t="shared" si="101"/>
        <v>0</v>
      </c>
    </row>
    <row r="2745" spans="76:77" x14ac:dyDescent="0.2">
      <c r="BX2745" s="214" t="e">
        <f t="shared" si="100"/>
        <v>#DIV/0!</v>
      </c>
      <c r="BY2745" s="215">
        <f t="shared" si="101"/>
        <v>0</v>
      </c>
    </row>
    <row r="2746" spans="76:77" x14ac:dyDescent="0.2">
      <c r="BX2746" s="214" t="e">
        <f t="shared" si="100"/>
        <v>#DIV/0!</v>
      </c>
      <c r="BY2746" s="215">
        <f t="shared" si="101"/>
        <v>0</v>
      </c>
    </row>
    <row r="2747" spans="76:77" x14ac:dyDescent="0.2">
      <c r="BX2747" s="214" t="e">
        <f t="shared" si="100"/>
        <v>#DIV/0!</v>
      </c>
      <c r="BY2747" s="215">
        <f t="shared" si="101"/>
        <v>0</v>
      </c>
    </row>
    <row r="2748" spans="76:77" x14ac:dyDescent="0.2">
      <c r="BX2748" s="214" t="e">
        <f t="shared" si="100"/>
        <v>#DIV/0!</v>
      </c>
      <c r="BY2748" s="215">
        <f t="shared" si="101"/>
        <v>0</v>
      </c>
    </row>
    <row r="2749" spans="76:77" x14ac:dyDescent="0.2">
      <c r="BX2749" s="214" t="e">
        <f t="shared" si="100"/>
        <v>#DIV/0!</v>
      </c>
      <c r="BY2749" s="215">
        <f t="shared" si="101"/>
        <v>0</v>
      </c>
    </row>
    <row r="2750" spans="76:77" x14ac:dyDescent="0.2">
      <c r="BX2750" s="214" t="e">
        <f t="shared" si="100"/>
        <v>#DIV/0!</v>
      </c>
      <c r="BY2750" s="215">
        <f t="shared" si="101"/>
        <v>0</v>
      </c>
    </row>
    <row r="2751" spans="76:77" x14ac:dyDescent="0.2">
      <c r="BX2751" s="214" t="e">
        <f t="shared" si="100"/>
        <v>#DIV/0!</v>
      </c>
      <c r="BY2751" s="215">
        <f t="shared" si="101"/>
        <v>0</v>
      </c>
    </row>
    <row r="2752" spans="76:77" x14ac:dyDescent="0.2">
      <c r="BX2752" s="214" t="e">
        <f t="shared" si="100"/>
        <v>#DIV/0!</v>
      </c>
      <c r="BY2752" s="215">
        <f t="shared" si="101"/>
        <v>0</v>
      </c>
    </row>
    <row r="2753" spans="76:77" x14ac:dyDescent="0.2">
      <c r="BX2753" s="214" t="e">
        <f t="shared" si="100"/>
        <v>#DIV/0!</v>
      </c>
      <c r="BY2753" s="215">
        <f t="shared" si="101"/>
        <v>0</v>
      </c>
    </row>
    <row r="2754" spans="76:77" x14ac:dyDescent="0.2">
      <c r="BX2754" s="214" t="e">
        <f t="shared" si="100"/>
        <v>#DIV/0!</v>
      </c>
      <c r="BY2754" s="215">
        <f t="shared" si="101"/>
        <v>0</v>
      </c>
    </row>
    <row r="2755" spans="76:77" x14ac:dyDescent="0.2">
      <c r="BX2755" s="214" t="e">
        <f t="shared" si="100"/>
        <v>#DIV/0!</v>
      </c>
      <c r="BY2755" s="215">
        <f t="shared" si="101"/>
        <v>0</v>
      </c>
    </row>
    <row r="2756" spans="76:77" x14ac:dyDescent="0.2">
      <c r="BX2756" s="214" t="e">
        <f t="shared" si="100"/>
        <v>#DIV/0!</v>
      </c>
      <c r="BY2756" s="215">
        <f t="shared" si="101"/>
        <v>0</v>
      </c>
    </row>
    <row r="2757" spans="76:77" x14ac:dyDescent="0.2">
      <c r="BX2757" s="214" t="e">
        <f t="shared" si="100"/>
        <v>#DIV/0!</v>
      </c>
      <c r="BY2757" s="215">
        <f t="shared" si="101"/>
        <v>0</v>
      </c>
    </row>
    <row r="2758" spans="76:77" x14ac:dyDescent="0.2">
      <c r="BX2758" s="214" t="e">
        <f t="shared" si="100"/>
        <v>#DIV/0!</v>
      </c>
      <c r="BY2758" s="215">
        <f t="shared" si="101"/>
        <v>0</v>
      </c>
    </row>
    <row r="2759" spans="76:77" x14ac:dyDescent="0.2">
      <c r="BX2759" s="214" t="e">
        <f t="shared" si="100"/>
        <v>#DIV/0!</v>
      </c>
      <c r="BY2759" s="215">
        <f t="shared" si="101"/>
        <v>0</v>
      </c>
    </row>
    <row r="2760" spans="76:77" x14ac:dyDescent="0.2">
      <c r="BX2760" s="214" t="e">
        <f t="shared" si="100"/>
        <v>#DIV/0!</v>
      </c>
      <c r="BY2760" s="215">
        <f t="shared" si="101"/>
        <v>0</v>
      </c>
    </row>
    <row r="2761" spans="76:77" x14ac:dyDescent="0.2">
      <c r="BX2761" s="214" t="e">
        <f t="shared" si="100"/>
        <v>#DIV/0!</v>
      </c>
      <c r="BY2761" s="215">
        <f t="shared" si="101"/>
        <v>0</v>
      </c>
    </row>
    <row r="2762" spans="76:77" x14ac:dyDescent="0.2">
      <c r="BX2762" s="214" t="e">
        <f t="shared" si="100"/>
        <v>#DIV/0!</v>
      </c>
      <c r="BY2762" s="215">
        <f t="shared" si="101"/>
        <v>0</v>
      </c>
    </row>
    <row r="2763" spans="76:77" x14ac:dyDescent="0.2">
      <c r="BX2763" s="214" t="e">
        <f t="shared" si="100"/>
        <v>#DIV/0!</v>
      </c>
      <c r="BY2763" s="215">
        <f t="shared" si="101"/>
        <v>0</v>
      </c>
    </row>
    <row r="2764" spans="76:77" x14ac:dyDescent="0.2">
      <c r="BX2764" s="214" t="e">
        <f t="shared" si="100"/>
        <v>#DIV/0!</v>
      </c>
      <c r="BY2764" s="215">
        <f t="shared" si="101"/>
        <v>0</v>
      </c>
    </row>
    <row r="2765" spans="76:77" x14ac:dyDescent="0.2">
      <c r="BX2765" s="214" t="e">
        <f t="shared" ref="BX2765:BX2828" si="102">BY2765/BV2765</f>
        <v>#DIV/0!</v>
      </c>
      <c r="BY2765" s="215">
        <f t="shared" si="101"/>
        <v>0</v>
      </c>
    </row>
    <row r="2766" spans="76:77" x14ac:dyDescent="0.2">
      <c r="BX2766" s="214" t="e">
        <f t="shared" si="102"/>
        <v>#DIV/0!</v>
      </c>
      <c r="BY2766" s="215">
        <f t="shared" ref="BY2766:BY2829" si="103">BY2765+BW2766*(BV2766-BV2765)</f>
        <v>0</v>
      </c>
    </row>
    <row r="2767" spans="76:77" x14ac:dyDescent="0.2">
      <c r="BX2767" s="214" t="e">
        <f t="shared" si="102"/>
        <v>#DIV/0!</v>
      </c>
      <c r="BY2767" s="215">
        <f t="shared" si="103"/>
        <v>0</v>
      </c>
    </row>
    <row r="2768" spans="76:77" x14ac:dyDescent="0.2">
      <c r="BX2768" s="214" t="e">
        <f t="shared" si="102"/>
        <v>#DIV/0!</v>
      </c>
      <c r="BY2768" s="215">
        <f t="shared" si="103"/>
        <v>0</v>
      </c>
    </row>
    <row r="2769" spans="76:77" x14ac:dyDescent="0.2">
      <c r="BX2769" s="214" t="e">
        <f t="shared" si="102"/>
        <v>#DIV/0!</v>
      </c>
      <c r="BY2769" s="215">
        <f t="shared" si="103"/>
        <v>0</v>
      </c>
    </row>
    <row r="2770" spans="76:77" x14ac:dyDescent="0.2">
      <c r="BX2770" s="214" t="e">
        <f t="shared" si="102"/>
        <v>#DIV/0!</v>
      </c>
      <c r="BY2770" s="215">
        <f t="shared" si="103"/>
        <v>0</v>
      </c>
    </row>
    <row r="2771" spans="76:77" x14ac:dyDescent="0.2">
      <c r="BX2771" s="214" t="e">
        <f t="shared" si="102"/>
        <v>#DIV/0!</v>
      </c>
      <c r="BY2771" s="215">
        <f t="shared" si="103"/>
        <v>0</v>
      </c>
    </row>
    <row r="2772" spans="76:77" x14ac:dyDescent="0.2">
      <c r="BX2772" s="214" t="e">
        <f t="shared" si="102"/>
        <v>#DIV/0!</v>
      </c>
      <c r="BY2772" s="215">
        <f t="shared" si="103"/>
        <v>0</v>
      </c>
    </row>
    <row r="2773" spans="76:77" x14ac:dyDescent="0.2">
      <c r="BX2773" s="214" t="e">
        <f t="shared" si="102"/>
        <v>#DIV/0!</v>
      </c>
      <c r="BY2773" s="215">
        <f t="shared" si="103"/>
        <v>0</v>
      </c>
    </row>
    <row r="2774" spans="76:77" x14ac:dyDescent="0.2">
      <c r="BX2774" s="214" t="e">
        <f t="shared" si="102"/>
        <v>#DIV/0!</v>
      </c>
      <c r="BY2774" s="215">
        <f t="shared" si="103"/>
        <v>0</v>
      </c>
    </row>
    <row r="2775" spans="76:77" x14ac:dyDescent="0.2">
      <c r="BX2775" s="214" t="e">
        <f t="shared" si="102"/>
        <v>#DIV/0!</v>
      </c>
      <c r="BY2775" s="215">
        <f t="shared" si="103"/>
        <v>0</v>
      </c>
    </row>
    <row r="2776" spans="76:77" x14ac:dyDescent="0.2">
      <c r="BX2776" s="214" t="e">
        <f t="shared" si="102"/>
        <v>#DIV/0!</v>
      </c>
      <c r="BY2776" s="215">
        <f t="shared" si="103"/>
        <v>0</v>
      </c>
    </row>
    <row r="2777" spans="76:77" x14ac:dyDescent="0.2">
      <c r="BX2777" s="214" t="e">
        <f t="shared" si="102"/>
        <v>#DIV/0!</v>
      </c>
      <c r="BY2777" s="215">
        <f t="shared" si="103"/>
        <v>0</v>
      </c>
    </row>
    <row r="2778" spans="76:77" x14ac:dyDescent="0.2">
      <c r="BX2778" s="214" t="e">
        <f t="shared" si="102"/>
        <v>#DIV/0!</v>
      </c>
      <c r="BY2778" s="215">
        <f t="shared" si="103"/>
        <v>0</v>
      </c>
    </row>
    <row r="2779" spans="76:77" x14ac:dyDescent="0.2">
      <c r="BX2779" s="214" t="e">
        <f t="shared" si="102"/>
        <v>#DIV/0!</v>
      </c>
      <c r="BY2779" s="215">
        <f t="shared" si="103"/>
        <v>0</v>
      </c>
    </row>
    <row r="2780" spans="76:77" x14ac:dyDescent="0.2">
      <c r="BX2780" s="214" t="e">
        <f t="shared" si="102"/>
        <v>#DIV/0!</v>
      </c>
      <c r="BY2780" s="215">
        <f t="shared" si="103"/>
        <v>0</v>
      </c>
    </row>
    <row r="2781" spans="76:77" x14ac:dyDescent="0.2">
      <c r="BX2781" s="214" t="e">
        <f t="shared" si="102"/>
        <v>#DIV/0!</v>
      </c>
      <c r="BY2781" s="215">
        <f t="shared" si="103"/>
        <v>0</v>
      </c>
    </row>
    <row r="2782" spans="76:77" x14ac:dyDescent="0.2">
      <c r="BX2782" s="214" t="e">
        <f t="shared" si="102"/>
        <v>#DIV/0!</v>
      </c>
      <c r="BY2782" s="215">
        <f t="shared" si="103"/>
        <v>0</v>
      </c>
    </row>
    <row r="2783" spans="76:77" x14ac:dyDescent="0.2">
      <c r="BX2783" s="214" t="e">
        <f t="shared" si="102"/>
        <v>#DIV/0!</v>
      </c>
      <c r="BY2783" s="215">
        <f t="shared" si="103"/>
        <v>0</v>
      </c>
    </row>
    <row r="2784" spans="76:77" x14ac:dyDescent="0.2">
      <c r="BX2784" s="214" t="e">
        <f t="shared" si="102"/>
        <v>#DIV/0!</v>
      </c>
      <c r="BY2784" s="215">
        <f t="shared" si="103"/>
        <v>0</v>
      </c>
    </row>
    <row r="2785" spans="76:77" x14ac:dyDescent="0.2">
      <c r="BX2785" s="214" t="e">
        <f t="shared" si="102"/>
        <v>#DIV/0!</v>
      </c>
      <c r="BY2785" s="215">
        <f t="shared" si="103"/>
        <v>0</v>
      </c>
    </row>
    <row r="2786" spans="76:77" x14ac:dyDescent="0.2">
      <c r="BX2786" s="214" t="e">
        <f t="shared" si="102"/>
        <v>#DIV/0!</v>
      </c>
      <c r="BY2786" s="215">
        <f t="shared" si="103"/>
        <v>0</v>
      </c>
    </row>
    <row r="2787" spans="76:77" x14ac:dyDescent="0.2">
      <c r="BX2787" s="214" t="e">
        <f t="shared" si="102"/>
        <v>#DIV/0!</v>
      </c>
      <c r="BY2787" s="215">
        <f t="shared" si="103"/>
        <v>0</v>
      </c>
    </row>
    <row r="2788" spans="76:77" x14ac:dyDescent="0.2">
      <c r="BX2788" s="214" t="e">
        <f t="shared" si="102"/>
        <v>#DIV/0!</v>
      </c>
      <c r="BY2788" s="215">
        <f t="shared" si="103"/>
        <v>0</v>
      </c>
    </row>
    <row r="2789" spans="76:77" x14ac:dyDescent="0.2">
      <c r="BX2789" s="214" t="e">
        <f t="shared" si="102"/>
        <v>#DIV/0!</v>
      </c>
      <c r="BY2789" s="215">
        <f t="shared" si="103"/>
        <v>0</v>
      </c>
    </row>
    <row r="2790" spans="76:77" x14ac:dyDescent="0.2">
      <c r="BX2790" s="214" t="e">
        <f t="shared" si="102"/>
        <v>#DIV/0!</v>
      </c>
      <c r="BY2790" s="215">
        <f t="shared" si="103"/>
        <v>0</v>
      </c>
    </row>
    <row r="2791" spans="76:77" x14ac:dyDescent="0.2">
      <c r="BX2791" s="214" t="e">
        <f t="shared" si="102"/>
        <v>#DIV/0!</v>
      </c>
      <c r="BY2791" s="215">
        <f t="shared" si="103"/>
        <v>0</v>
      </c>
    </row>
    <row r="2792" spans="76:77" x14ac:dyDescent="0.2">
      <c r="BX2792" s="214" t="e">
        <f t="shared" si="102"/>
        <v>#DIV/0!</v>
      </c>
      <c r="BY2792" s="215">
        <f t="shared" si="103"/>
        <v>0</v>
      </c>
    </row>
    <row r="2793" spans="76:77" x14ac:dyDescent="0.2">
      <c r="BX2793" s="214" t="e">
        <f t="shared" si="102"/>
        <v>#DIV/0!</v>
      </c>
      <c r="BY2793" s="215">
        <f t="shared" si="103"/>
        <v>0</v>
      </c>
    </row>
    <row r="2794" spans="76:77" x14ac:dyDescent="0.2">
      <c r="BX2794" s="214" t="e">
        <f t="shared" si="102"/>
        <v>#DIV/0!</v>
      </c>
      <c r="BY2794" s="215">
        <f t="shared" si="103"/>
        <v>0</v>
      </c>
    </row>
    <row r="2795" spans="76:77" x14ac:dyDescent="0.2">
      <c r="BX2795" s="214" t="e">
        <f t="shared" si="102"/>
        <v>#DIV/0!</v>
      </c>
      <c r="BY2795" s="215">
        <f t="shared" si="103"/>
        <v>0</v>
      </c>
    </row>
    <row r="2796" spans="76:77" x14ac:dyDescent="0.2">
      <c r="BX2796" s="214" t="e">
        <f t="shared" si="102"/>
        <v>#DIV/0!</v>
      </c>
      <c r="BY2796" s="215">
        <f t="shared" si="103"/>
        <v>0</v>
      </c>
    </row>
    <row r="2797" spans="76:77" x14ac:dyDescent="0.2">
      <c r="BX2797" s="214" t="e">
        <f t="shared" si="102"/>
        <v>#DIV/0!</v>
      </c>
      <c r="BY2797" s="215">
        <f t="shared" si="103"/>
        <v>0</v>
      </c>
    </row>
    <row r="2798" spans="76:77" x14ac:dyDescent="0.2">
      <c r="BX2798" s="214" t="e">
        <f t="shared" si="102"/>
        <v>#DIV/0!</v>
      </c>
      <c r="BY2798" s="215">
        <f t="shared" si="103"/>
        <v>0</v>
      </c>
    </row>
    <row r="2799" spans="76:77" x14ac:dyDescent="0.2">
      <c r="BX2799" s="214" t="e">
        <f t="shared" si="102"/>
        <v>#DIV/0!</v>
      </c>
      <c r="BY2799" s="215">
        <f t="shared" si="103"/>
        <v>0</v>
      </c>
    </row>
    <row r="2800" spans="76:77" x14ac:dyDescent="0.2">
      <c r="BX2800" s="214" t="e">
        <f t="shared" si="102"/>
        <v>#DIV/0!</v>
      </c>
      <c r="BY2800" s="215">
        <f t="shared" si="103"/>
        <v>0</v>
      </c>
    </row>
    <row r="2801" spans="76:77" x14ac:dyDescent="0.2">
      <c r="BX2801" s="214" t="e">
        <f t="shared" si="102"/>
        <v>#DIV/0!</v>
      </c>
      <c r="BY2801" s="215">
        <f t="shared" si="103"/>
        <v>0</v>
      </c>
    </row>
    <row r="2802" spans="76:77" x14ac:dyDescent="0.2">
      <c r="BX2802" s="214" t="e">
        <f t="shared" si="102"/>
        <v>#DIV/0!</v>
      </c>
      <c r="BY2802" s="215">
        <f t="shared" si="103"/>
        <v>0</v>
      </c>
    </row>
    <row r="2803" spans="76:77" x14ac:dyDescent="0.2">
      <c r="BX2803" s="214" t="e">
        <f t="shared" si="102"/>
        <v>#DIV/0!</v>
      </c>
      <c r="BY2803" s="215">
        <f t="shared" si="103"/>
        <v>0</v>
      </c>
    </row>
    <row r="2804" spans="76:77" x14ac:dyDescent="0.2">
      <c r="BX2804" s="214" t="e">
        <f t="shared" si="102"/>
        <v>#DIV/0!</v>
      </c>
      <c r="BY2804" s="215">
        <f t="shared" si="103"/>
        <v>0</v>
      </c>
    </row>
    <row r="2805" spans="76:77" x14ac:dyDescent="0.2">
      <c r="BX2805" s="214" t="e">
        <f t="shared" si="102"/>
        <v>#DIV/0!</v>
      </c>
      <c r="BY2805" s="215">
        <f t="shared" si="103"/>
        <v>0</v>
      </c>
    </row>
    <row r="2806" spans="76:77" x14ac:dyDescent="0.2">
      <c r="BX2806" s="214" t="e">
        <f t="shared" si="102"/>
        <v>#DIV/0!</v>
      </c>
      <c r="BY2806" s="215">
        <f t="shared" si="103"/>
        <v>0</v>
      </c>
    </row>
    <row r="2807" spans="76:77" x14ac:dyDescent="0.2">
      <c r="BX2807" s="214" t="e">
        <f t="shared" si="102"/>
        <v>#DIV/0!</v>
      </c>
      <c r="BY2807" s="215">
        <f t="shared" si="103"/>
        <v>0</v>
      </c>
    </row>
    <row r="2808" spans="76:77" x14ac:dyDescent="0.2">
      <c r="BX2808" s="214" t="e">
        <f t="shared" si="102"/>
        <v>#DIV/0!</v>
      </c>
      <c r="BY2808" s="215">
        <f t="shared" si="103"/>
        <v>0</v>
      </c>
    </row>
    <row r="2809" spans="76:77" x14ac:dyDescent="0.2">
      <c r="BX2809" s="214" t="e">
        <f t="shared" si="102"/>
        <v>#DIV/0!</v>
      </c>
      <c r="BY2809" s="215">
        <f t="shared" si="103"/>
        <v>0</v>
      </c>
    </row>
    <row r="2810" spans="76:77" x14ac:dyDescent="0.2">
      <c r="BX2810" s="214" t="e">
        <f t="shared" si="102"/>
        <v>#DIV/0!</v>
      </c>
      <c r="BY2810" s="215">
        <f t="shared" si="103"/>
        <v>0</v>
      </c>
    </row>
    <row r="2811" spans="76:77" x14ac:dyDescent="0.2">
      <c r="BX2811" s="214" t="e">
        <f t="shared" si="102"/>
        <v>#DIV/0!</v>
      </c>
      <c r="BY2811" s="215">
        <f t="shared" si="103"/>
        <v>0</v>
      </c>
    </row>
    <row r="2812" spans="76:77" x14ac:dyDescent="0.2">
      <c r="BX2812" s="214" t="e">
        <f t="shared" si="102"/>
        <v>#DIV/0!</v>
      </c>
      <c r="BY2812" s="215">
        <f t="shared" si="103"/>
        <v>0</v>
      </c>
    </row>
    <row r="2813" spans="76:77" x14ac:dyDescent="0.2">
      <c r="BX2813" s="214" t="e">
        <f t="shared" si="102"/>
        <v>#DIV/0!</v>
      </c>
      <c r="BY2813" s="215">
        <f t="shared" si="103"/>
        <v>0</v>
      </c>
    </row>
    <row r="2814" spans="76:77" x14ac:dyDescent="0.2">
      <c r="BX2814" s="214" t="e">
        <f t="shared" si="102"/>
        <v>#DIV/0!</v>
      </c>
      <c r="BY2814" s="215">
        <f t="shared" si="103"/>
        <v>0</v>
      </c>
    </row>
    <row r="2815" spans="76:77" x14ac:dyDescent="0.2">
      <c r="BX2815" s="214" t="e">
        <f t="shared" si="102"/>
        <v>#DIV/0!</v>
      </c>
      <c r="BY2815" s="215">
        <f t="shared" si="103"/>
        <v>0</v>
      </c>
    </row>
    <row r="2816" spans="76:77" x14ac:dyDescent="0.2">
      <c r="BX2816" s="214" t="e">
        <f t="shared" si="102"/>
        <v>#DIV/0!</v>
      </c>
      <c r="BY2816" s="215">
        <f t="shared" si="103"/>
        <v>0</v>
      </c>
    </row>
    <row r="2817" spans="76:77" x14ac:dyDescent="0.2">
      <c r="BX2817" s="214" t="e">
        <f t="shared" si="102"/>
        <v>#DIV/0!</v>
      </c>
      <c r="BY2817" s="215">
        <f t="shared" si="103"/>
        <v>0</v>
      </c>
    </row>
    <row r="2818" spans="76:77" x14ac:dyDescent="0.2">
      <c r="BX2818" s="214" t="e">
        <f t="shared" si="102"/>
        <v>#DIV/0!</v>
      </c>
      <c r="BY2818" s="215">
        <f t="shared" si="103"/>
        <v>0</v>
      </c>
    </row>
    <row r="2819" spans="76:77" x14ac:dyDescent="0.2">
      <c r="BX2819" s="214" t="e">
        <f t="shared" si="102"/>
        <v>#DIV/0!</v>
      </c>
      <c r="BY2819" s="215">
        <f t="shared" si="103"/>
        <v>0</v>
      </c>
    </row>
    <row r="2820" spans="76:77" x14ac:dyDescent="0.2">
      <c r="BX2820" s="214" t="e">
        <f t="shared" si="102"/>
        <v>#DIV/0!</v>
      </c>
      <c r="BY2820" s="215">
        <f t="shared" si="103"/>
        <v>0</v>
      </c>
    </row>
    <row r="2821" spans="76:77" x14ac:dyDescent="0.2">
      <c r="BX2821" s="214" t="e">
        <f t="shared" si="102"/>
        <v>#DIV/0!</v>
      </c>
      <c r="BY2821" s="215">
        <f t="shared" si="103"/>
        <v>0</v>
      </c>
    </row>
    <row r="2822" spans="76:77" x14ac:dyDescent="0.2">
      <c r="BX2822" s="214" t="e">
        <f t="shared" si="102"/>
        <v>#DIV/0!</v>
      </c>
      <c r="BY2822" s="215">
        <f t="shared" si="103"/>
        <v>0</v>
      </c>
    </row>
    <row r="2823" spans="76:77" x14ac:dyDescent="0.2">
      <c r="BX2823" s="214" t="e">
        <f t="shared" si="102"/>
        <v>#DIV/0!</v>
      </c>
      <c r="BY2823" s="215">
        <f t="shared" si="103"/>
        <v>0</v>
      </c>
    </row>
    <row r="2824" spans="76:77" x14ac:dyDescent="0.2">
      <c r="BX2824" s="214" t="e">
        <f t="shared" si="102"/>
        <v>#DIV/0!</v>
      </c>
      <c r="BY2824" s="215">
        <f t="shared" si="103"/>
        <v>0</v>
      </c>
    </row>
    <row r="2825" spans="76:77" x14ac:dyDescent="0.2">
      <c r="BX2825" s="214" t="e">
        <f t="shared" si="102"/>
        <v>#DIV/0!</v>
      </c>
      <c r="BY2825" s="215">
        <f t="shared" si="103"/>
        <v>0</v>
      </c>
    </row>
    <row r="2826" spans="76:77" x14ac:dyDescent="0.2">
      <c r="BX2826" s="214" t="e">
        <f t="shared" si="102"/>
        <v>#DIV/0!</v>
      </c>
      <c r="BY2826" s="215">
        <f t="shared" si="103"/>
        <v>0</v>
      </c>
    </row>
    <row r="2827" spans="76:77" x14ac:dyDescent="0.2">
      <c r="BX2827" s="214" t="e">
        <f t="shared" si="102"/>
        <v>#DIV/0!</v>
      </c>
      <c r="BY2827" s="215">
        <f t="shared" si="103"/>
        <v>0</v>
      </c>
    </row>
    <row r="2828" spans="76:77" x14ac:dyDescent="0.2">
      <c r="BX2828" s="214" t="e">
        <f t="shared" si="102"/>
        <v>#DIV/0!</v>
      </c>
      <c r="BY2828" s="215">
        <f t="shared" si="103"/>
        <v>0</v>
      </c>
    </row>
    <row r="2829" spans="76:77" x14ac:dyDescent="0.2">
      <c r="BX2829" s="214" t="e">
        <f t="shared" ref="BX2829:BX2892" si="104">BY2829/BV2829</f>
        <v>#DIV/0!</v>
      </c>
      <c r="BY2829" s="215">
        <f t="shared" si="103"/>
        <v>0</v>
      </c>
    </row>
    <row r="2830" spans="76:77" x14ac:dyDescent="0.2">
      <c r="BX2830" s="214" t="e">
        <f t="shared" si="104"/>
        <v>#DIV/0!</v>
      </c>
      <c r="BY2830" s="215">
        <f t="shared" ref="BY2830:BY2893" si="105">BY2829+BW2830*(BV2830-BV2829)</f>
        <v>0</v>
      </c>
    </row>
    <row r="2831" spans="76:77" x14ac:dyDescent="0.2">
      <c r="BX2831" s="214" t="e">
        <f t="shared" si="104"/>
        <v>#DIV/0!</v>
      </c>
      <c r="BY2831" s="215">
        <f t="shared" si="105"/>
        <v>0</v>
      </c>
    </row>
    <row r="2832" spans="76:77" x14ac:dyDescent="0.2">
      <c r="BX2832" s="214" t="e">
        <f t="shared" si="104"/>
        <v>#DIV/0!</v>
      </c>
      <c r="BY2832" s="215">
        <f t="shared" si="105"/>
        <v>0</v>
      </c>
    </row>
    <row r="2833" spans="76:77" x14ac:dyDescent="0.2">
      <c r="BX2833" s="214" t="e">
        <f t="shared" si="104"/>
        <v>#DIV/0!</v>
      </c>
      <c r="BY2833" s="215">
        <f t="shared" si="105"/>
        <v>0</v>
      </c>
    </row>
    <row r="2834" spans="76:77" x14ac:dyDescent="0.2">
      <c r="BX2834" s="214" t="e">
        <f t="shared" si="104"/>
        <v>#DIV/0!</v>
      </c>
      <c r="BY2834" s="215">
        <f t="shared" si="105"/>
        <v>0</v>
      </c>
    </row>
    <row r="2835" spans="76:77" x14ac:dyDescent="0.2">
      <c r="BX2835" s="214" t="e">
        <f t="shared" si="104"/>
        <v>#DIV/0!</v>
      </c>
      <c r="BY2835" s="215">
        <f t="shared" si="105"/>
        <v>0</v>
      </c>
    </row>
    <row r="2836" spans="76:77" x14ac:dyDescent="0.2">
      <c r="BX2836" s="214" t="e">
        <f t="shared" si="104"/>
        <v>#DIV/0!</v>
      </c>
      <c r="BY2836" s="215">
        <f t="shared" si="105"/>
        <v>0</v>
      </c>
    </row>
    <row r="2837" spans="76:77" x14ac:dyDescent="0.2">
      <c r="BX2837" s="214" t="e">
        <f t="shared" si="104"/>
        <v>#DIV/0!</v>
      </c>
      <c r="BY2837" s="215">
        <f t="shared" si="105"/>
        <v>0</v>
      </c>
    </row>
    <row r="2838" spans="76:77" x14ac:dyDescent="0.2">
      <c r="BX2838" s="214" t="e">
        <f t="shared" si="104"/>
        <v>#DIV/0!</v>
      </c>
      <c r="BY2838" s="215">
        <f t="shared" si="105"/>
        <v>0</v>
      </c>
    </row>
    <row r="2839" spans="76:77" x14ac:dyDescent="0.2">
      <c r="BX2839" s="214" t="e">
        <f t="shared" si="104"/>
        <v>#DIV/0!</v>
      </c>
      <c r="BY2839" s="215">
        <f t="shared" si="105"/>
        <v>0</v>
      </c>
    </row>
    <row r="2840" spans="76:77" x14ac:dyDescent="0.2">
      <c r="BX2840" s="214" t="e">
        <f t="shared" si="104"/>
        <v>#DIV/0!</v>
      </c>
      <c r="BY2840" s="215">
        <f t="shared" si="105"/>
        <v>0</v>
      </c>
    </row>
    <row r="2841" spans="76:77" x14ac:dyDescent="0.2">
      <c r="BX2841" s="214" t="e">
        <f t="shared" si="104"/>
        <v>#DIV/0!</v>
      </c>
      <c r="BY2841" s="215">
        <f t="shared" si="105"/>
        <v>0</v>
      </c>
    </row>
    <row r="2842" spans="76:77" x14ac:dyDescent="0.2">
      <c r="BX2842" s="214" t="e">
        <f t="shared" si="104"/>
        <v>#DIV/0!</v>
      </c>
      <c r="BY2842" s="215">
        <f t="shared" si="105"/>
        <v>0</v>
      </c>
    </row>
    <row r="2843" spans="76:77" x14ac:dyDescent="0.2">
      <c r="BX2843" s="214" t="e">
        <f t="shared" si="104"/>
        <v>#DIV/0!</v>
      </c>
      <c r="BY2843" s="215">
        <f t="shared" si="105"/>
        <v>0</v>
      </c>
    </row>
    <row r="2844" spans="76:77" x14ac:dyDescent="0.2">
      <c r="BX2844" s="214" t="e">
        <f t="shared" si="104"/>
        <v>#DIV/0!</v>
      </c>
      <c r="BY2844" s="215">
        <f t="shared" si="105"/>
        <v>0</v>
      </c>
    </row>
    <row r="2845" spans="76:77" x14ac:dyDescent="0.2">
      <c r="BX2845" s="214" t="e">
        <f t="shared" si="104"/>
        <v>#DIV/0!</v>
      </c>
      <c r="BY2845" s="215">
        <f t="shared" si="105"/>
        <v>0</v>
      </c>
    </row>
    <row r="2846" spans="76:77" x14ac:dyDescent="0.2">
      <c r="BX2846" s="214" t="e">
        <f t="shared" si="104"/>
        <v>#DIV/0!</v>
      </c>
      <c r="BY2846" s="215">
        <f t="shared" si="105"/>
        <v>0</v>
      </c>
    </row>
    <row r="2847" spans="76:77" x14ac:dyDescent="0.2">
      <c r="BX2847" s="214" t="e">
        <f t="shared" si="104"/>
        <v>#DIV/0!</v>
      </c>
      <c r="BY2847" s="215">
        <f t="shared" si="105"/>
        <v>0</v>
      </c>
    </row>
    <row r="2848" spans="76:77" x14ac:dyDescent="0.2">
      <c r="BX2848" s="214" t="e">
        <f t="shared" si="104"/>
        <v>#DIV/0!</v>
      </c>
      <c r="BY2848" s="215">
        <f t="shared" si="105"/>
        <v>0</v>
      </c>
    </row>
    <row r="2849" spans="76:77" x14ac:dyDescent="0.2">
      <c r="BX2849" s="214" t="e">
        <f t="shared" si="104"/>
        <v>#DIV/0!</v>
      </c>
      <c r="BY2849" s="215">
        <f t="shared" si="105"/>
        <v>0</v>
      </c>
    </row>
    <row r="2850" spans="76:77" x14ac:dyDescent="0.2">
      <c r="BX2850" s="214" t="e">
        <f t="shared" si="104"/>
        <v>#DIV/0!</v>
      </c>
      <c r="BY2850" s="215">
        <f t="shared" si="105"/>
        <v>0</v>
      </c>
    </row>
    <row r="2851" spans="76:77" x14ac:dyDescent="0.2">
      <c r="BX2851" s="214" t="e">
        <f t="shared" si="104"/>
        <v>#DIV/0!</v>
      </c>
      <c r="BY2851" s="215">
        <f t="shared" si="105"/>
        <v>0</v>
      </c>
    </row>
    <row r="2852" spans="76:77" x14ac:dyDescent="0.2">
      <c r="BX2852" s="214" t="e">
        <f t="shared" si="104"/>
        <v>#DIV/0!</v>
      </c>
      <c r="BY2852" s="215">
        <f t="shared" si="105"/>
        <v>0</v>
      </c>
    </row>
    <row r="2853" spans="76:77" x14ac:dyDescent="0.2">
      <c r="BX2853" s="214" t="e">
        <f t="shared" si="104"/>
        <v>#DIV/0!</v>
      </c>
      <c r="BY2853" s="215">
        <f t="shared" si="105"/>
        <v>0</v>
      </c>
    </row>
    <row r="2854" spans="76:77" x14ac:dyDescent="0.2">
      <c r="BX2854" s="214" t="e">
        <f t="shared" si="104"/>
        <v>#DIV/0!</v>
      </c>
      <c r="BY2854" s="215">
        <f t="shared" si="105"/>
        <v>0</v>
      </c>
    </row>
    <row r="2855" spans="76:77" x14ac:dyDescent="0.2">
      <c r="BX2855" s="214" t="e">
        <f t="shared" si="104"/>
        <v>#DIV/0!</v>
      </c>
      <c r="BY2855" s="215">
        <f t="shared" si="105"/>
        <v>0</v>
      </c>
    </row>
    <row r="2856" spans="76:77" x14ac:dyDescent="0.2">
      <c r="BX2856" s="214" t="e">
        <f t="shared" si="104"/>
        <v>#DIV/0!</v>
      </c>
      <c r="BY2856" s="215">
        <f t="shared" si="105"/>
        <v>0</v>
      </c>
    </row>
    <row r="2857" spans="76:77" x14ac:dyDescent="0.2">
      <c r="BX2857" s="214" t="e">
        <f t="shared" si="104"/>
        <v>#DIV/0!</v>
      </c>
      <c r="BY2857" s="215">
        <f t="shared" si="105"/>
        <v>0</v>
      </c>
    </row>
    <row r="2858" spans="76:77" x14ac:dyDescent="0.2">
      <c r="BX2858" s="214" t="e">
        <f t="shared" si="104"/>
        <v>#DIV/0!</v>
      </c>
      <c r="BY2858" s="215">
        <f t="shared" si="105"/>
        <v>0</v>
      </c>
    </row>
    <row r="2859" spans="76:77" x14ac:dyDescent="0.2">
      <c r="BX2859" s="214" t="e">
        <f t="shared" si="104"/>
        <v>#DIV/0!</v>
      </c>
      <c r="BY2859" s="215">
        <f t="shared" si="105"/>
        <v>0</v>
      </c>
    </row>
    <row r="2860" spans="76:77" x14ac:dyDescent="0.2">
      <c r="BX2860" s="214" t="e">
        <f t="shared" si="104"/>
        <v>#DIV/0!</v>
      </c>
      <c r="BY2860" s="215">
        <f t="shared" si="105"/>
        <v>0</v>
      </c>
    </row>
    <row r="2861" spans="76:77" x14ac:dyDescent="0.2">
      <c r="BX2861" s="214" t="e">
        <f t="shared" si="104"/>
        <v>#DIV/0!</v>
      </c>
      <c r="BY2861" s="215">
        <f t="shared" si="105"/>
        <v>0</v>
      </c>
    </row>
    <row r="2862" spans="76:77" x14ac:dyDescent="0.2">
      <c r="BX2862" s="214" t="e">
        <f t="shared" si="104"/>
        <v>#DIV/0!</v>
      </c>
      <c r="BY2862" s="215">
        <f t="shared" si="105"/>
        <v>0</v>
      </c>
    </row>
    <row r="2863" spans="76:77" x14ac:dyDescent="0.2">
      <c r="BX2863" s="214" t="e">
        <f t="shared" si="104"/>
        <v>#DIV/0!</v>
      </c>
      <c r="BY2863" s="215">
        <f t="shared" si="105"/>
        <v>0</v>
      </c>
    </row>
    <row r="2864" spans="76:77" x14ac:dyDescent="0.2">
      <c r="BX2864" s="214" t="e">
        <f t="shared" si="104"/>
        <v>#DIV/0!</v>
      </c>
      <c r="BY2864" s="215">
        <f t="shared" si="105"/>
        <v>0</v>
      </c>
    </row>
    <row r="2865" spans="76:77" x14ac:dyDescent="0.2">
      <c r="BX2865" s="214" t="e">
        <f t="shared" si="104"/>
        <v>#DIV/0!</v>
      </c>
      <c r="BY2865" s="215">
        <f t="shared" si="105"/>
        <v>0</v>
      </c>
    </row>
    <row r="2866" spans="76:77" x14ac:dyDescent="0.2">
      <c r="BX2866" s="214" t="e">
        <f t="shared" si="104"/>
        <v>#DIV/0!</v>
      </c>
      <c r="BY2866" s="215">
        <f t="shared" si="105"/>
        <v>0</v>
      </c>
    </row>
    <row r="2867" spans="76:77" x14ac:dyDescent="0.2">
      <c r="BX2867" s="214" t="e">
        <f t="shared" si="104"/>
        <v>#DIV/0!</v>
      </c>
      <c r="BY2867" s="215">
        <f t="shared" si="105"/>
        <v>0</v>
      </c>
    </row>
    <row r="2868" spans="76:77" x14ac:dyDescent="0.2">
      <c r="BX2868" s="214" t="e">
        <f t="shared" si="104"/>
        <v>#DIV/0!</v>
      </c>
      <c r="BY2868" s="215">
        <f t="shared" si="105"/>
        <v>0</v>
      </c>
    </row>
    <row r="2869" spans="76:77" x14ac:dyDescent="0.2">
      <c r="BX2869" s="214" t="e">
        <f t="shared" si="104"/>
        <v>#DIV/0!</v>
      </c>
      <c r="BY2869" s="215">
        <f t="shared" si="105"/>
        <v>0</v>
      </c>
    </row>
    <row r="2870" spans="76:77" x14ac:dyDescent="0.2">
      <c r="BX2870" s="214" t="e">
        <f t="shared" si="104"/>
        <v>#DIV/0!</v>
      </c>
      <c r="BY2870" s="215">
        <f t="shared" si="105"/>
        <v>0</v>
      </c>
    </row>
    <row r="2871" spans="76:77" x14ac:dyDescent="0.2">
      <c r="BX2871" s="214" t="e">
        <f t="shared" si="104"/>
        <v>#DIV/0!</v>
      </c>
      <c r="BY2871" s="215">
        <f t="shared" si="105"/>
        <v>0</v>
      </c>
    </row>
    <row r="2872" spans="76:77" x14ac:dyDescent="0.2">
      <c r="BX2872" s="214" t="e">
        <f t="shared" si="104"/>
        <v>#DIV/0!</v>
      </c>
      <c r="BY2872" s="215">
        <f t="shared" si="105"/>
        <v>0</v>
      </c>
    </row>
    <row r="2873" spans="76:77" x14ac:dyDescent="0.2">
      <c r="BX2873" s="214" t="e">
        <f t="shared" si="104"/>
        <v>#DIV/0!</v>
      </c>
      <c r="BY2873" s="215">
        <f t="shared" si="105"/>
        <v>0</v>
      </c>
    </row>
    <row r="2874" spans="76:77" x14ac:dyDescent="0.2">
      <c r="BX2874" s="214" t="e">
        <f t="shared" si="104"/>
        <v>#DIV/0!</v>
      </c>
      <c r="BY2874" s="215">
        <f t="shared" si="105"/>
        <v>0</v>
      </c>
    </row>
    <row r="2875" spans="76:77" x14ac:dyDescent="0.2">
      <c r="BX2875" s="214" t="e">
        <f t="shared" si="104"/>
        <v>#DIV/0!</v>
      </c>
      <c r="BY2875" s="215">
        <f t="shared" si="105"/>
        <v>0</v>
      </c>
    </row>
    <row r="2876" spans="76:77" x14ac:dyDescent="0.2">
      <c r="BX2876" s="214" t="e">
        <f t="shared" si="104"/>
        <v>#DIV/0!</v>
      </c>
      <c r="BY2876" s="215">
        <f t="shared" si="105"/>
        <v>0</v>
      </c>
    </row>
    <row r="2877" spans="76:77" x14ac:dyDescent="0.2">
      <c r="BX2877" s="214" t="e">
        <f t="shared" si="104"/>
        <v>#DIV/0!</v>
      </c>
      <c r="BY2877" s="215">
        <f t="shared" si="105"/>
        <v>0</v>
      </c>
    </row>
    <row r="2878" spans="76:77" x14ac:dyDescent="0.2">
      <c r="BX2878" s="214" t="e">
        <f t="shared" si="104"/>
        <v>#DIV/0!</v>
      </c>
      <c r="BY2878" s="215">
        <f t="shared" si="105"/>
        <v>0</v>
      </c>
    </row>
    <row r="2879" spans="76:77" x14ac:dyDescent="0.2">
      <c r="BX2879" s="214" t="e">
        <f t="shared" si="104"/>
        <v>#DIV/0!</v>
      </c>
      <c r="BY2879" s="215">
        <f t="shared" si="105"/>
        <v>0</v>
      </c>
    </row>
    <row r="2880" spans="76:77" x14ac:dyDescent="0.2">
      <c r="BX2880" s="214" t="e">
        <f t="shared" si="104"/>
        <v>#DIV/0!</v>
      </c>
      <c r="BY2880" s="215">
        <f t="shared" si="105"/>
        <v>0</v>
      </c>
    </row>
    <row r="2881" spans="76:77" x14ac:dyDescent="0.2">
      <c r="BX2881" s="214" t="e">
        <f t="shared" si="104"/>
        <v>#DIV/0!</v>
      </c>
      <c r="BY2881" s="215">
        <f t="shared" si="105"/>
        <v>0</v>
      </c>
    </row>
    <row r="2882" spans="76:77" x14ac:dyDescent="0.2">
      <c r="BX2882" s="214" t="e">
        <f t="shared" si="104"/>
        <v>#DIV/0!</v>
      </c>
      <c r="BY2882" s="215">
        <f t="shared" si="105"/>
        <v>0</v>
      </c>
    </row>
    <row r="2883" spans="76:77" x14ac:dyDescent="0.2">
      <c r="BX2883" s="214" t="e">
        <f t="shared" si="104"/>
        <v>#DIV/0!</v>
      </c>
      <c r="BY2883" s="215">
        <f t="shared" si="105"/>
        <v>0</v>
      </c>
    </row>
    <row r="2884" spans="76:77" x14ac:dyDescent="0.2">
      <c r="BX2884" s="214" t="e">
        <f t="shared" si="104"/>
        <v>#DIV/0!</v>
      </c>
      <c r="BY2884" s="215">
        <f t="shared" si="105"/>
        <v>0</v>
      </c>
    </row>
    <row r="2885" spans="76:77" x14ac:dyDescent="0.2">
      <c r="BX2885" s="214" t="e">
        <f t="shared" si="104"/>
        <v>#DIV/0!</v>
      </c>
      <c r="BY2885" s="215">
        <f t="shared" si="105"/>
        <v>0</v>
      </c>
    </row>
    <row r="2886" spans="76:77" x14ac:dyDescent="0.2">
      <c r="BX2886" s="214" t="e">
        <f t="shared" si="104"/>
        <v>#DIV/0!</v>
      </c>
      <c r="BY2886" s="215">
        <f t="shared" si="105"/>
        <v>0</v>
      </c>
    </row>
    <row r="2887" spans="76:77" x14ac:dyDescent="0.2">
      <c r="BX2887" s="214" t="e">
        <f t="shared" si="104"/>
        <v>#DIV/0!</v>
      </c>
      <c r="BY2887" s="215">
        <f t="shared" si="105"/>
        <v>0</v>
      </c>
    </row>
    <row r="2888" spans="76:77" x14ac:dyDescent="0.2">
      <c r="BX2888" s="214" t="e">
        <f t="shared" si="104"/>
        <v>#DIV/0!</v>
      </c>
      <c r="BY2888" s="215">
        <f t="shared" si="105"/>
        <v>0</v>
      </c>
    </row>
    <row r="2889" spans="76:77" x14ac:dyDescent="0.2">
      <c r="BX2889" s="214" t="e">
        <f t="shared" si="104"/>
        <v>#DIV/0!</v>
      </c>
      <c r="BY2889" s="215">
        <f t="shared" si="105"/>
        <v>0</v>
      </c>
    </row>
    <row r="2890" spans="76:77" x14ac:dyDescent="0.2">
      <c r="BX2890" s="214" t="e">
        <f t="shared" si="104"/>
        <v>#DIV/0!</v>
      </c>
      <c r="BY2890" s="215">
        <f t="shared" si="105"/>
        <v>0</v>
      </c>
    </row>
    <row r="2891" spans="76:77" x14ac:dyDescent="0.2">
      <c r="BX2891" s="214" t="e">
        <f t="shared" si="104"/>
        <v>#DIV/0!</v>
      </c>
      <c r="BY2891" s="215">
        <f t="shared" si="105"/>
        <v>0</v>
      </c>
    </row>
    <row r="2892" spans="76:77" x14ac:dyDescent="0.2">
      <c r="BX2892" s="214" t="e">
        <f t="shared" si="104"/>
        <v>#DIV/0!</v>
      </c>
      <c r="BY2892" s="215">
        <f t="shared" si="105"/>
        <v>0</v>
      </c>
    </row>
    <row r="2893" spans="76:77" x14ac:dyDescent="0.2">
      <c r="BX2893" s="214" t="e">
        <f t="shared" ref="BX2893:BX2956" si="106">BY2893/BV2893</f>
        <v>#DIV/0!</v>
      </c>
      <c r="BY2893" s="215">
        <f t="shared" si="105"/>
        <v>0</v>
      </c>
    </row>
    <row r="2894" spans="76:77" x14ac:dyDescent="0.2">
      <c r="BX2894" s="214" t="e">
        <f t="shared" si="106"/>
        <v>#DIV/0!</v>
      </c>
      <c r="BY2894" s="215">
        <f t="shared" ref="BY2894:BY2957" si="107">BY2893+BW2894*(BV2894-BV2893)</f>
        <v>0</v>
      </c>
    </row>
    <row r="2895" spans="76:77" x14ac:dyDescent="0.2">
      <c r="BX2895" s="214" t="e">
        <f t="shared" si="106"/>
        <v>#DIV/0!</v>
      </c>
      <c r="BY2895" s="215">
        <f t="shared" si="107"/>
        <v>0</v>
      </c>
    </row>
    <row r="2896" spans="76:77" x14ac:dyDescent="0.2">
      <c r="BX2896" s="214" t="e">
        <f t="shared" si="106"/>
        <v>#DIV/0!</v>
      </c>
      <c r="BY2896" s="215">
        <f t="shared" si="107"/>
        <v>0</v>
      </c>
    </row>
    <row r="2897" spans="76:77" x14ac:dyDescent="0.2">
      <c r="BX2897" s="214" t="e">
        <f t="shared" si="106"/>
        <v>#DIV/0!</v>
      </c>
      <c r="BY2897" s="215">
        <f t="shared" si="107"/>
        <v>0</v>
      </c>
    </row>
    <row r="2898" spans="76:77" x14ac:dyDescent="0.2">
      <c r="BX2898" s="214" t="e">
        <f t="shared" si="106"/>
        <v>#DIV/0!</v>
      </c>
      <c r="BY2898" s="215">
        <f t="shared" si="107"/>
        <v>0</v>
      </c>
    </row>
    <row r="2899" spans="76:77" x14ac:dyDescent="0.2">
      <c r="BX2899" s="214" t="e">
        <f t="shared" si="106"/>
        <v>#DIV/0!</v>
      </c>
      <c r="BY2899" s="215">
        <f t="shared" si="107"/>
        <v>0</v>
      </c>
    </row>
    <row r="2900" spans="76:77" x14ac:dyDescent="0.2">
      <c r="BX2900" s="214" t="e">
        <f t="shared" si="106"/>
        <v>#DIV/0!</v>
      </c>
      <c r="BY2900" s="215">
        <f t="shared" si="107"/>
        <v>0</v>
      </c>
    </row>
    <row r="2901" spans="76:77" x14ac:dyDescent="0.2">
      <c r="BX2901" s="214" t="e">
        <f t="shared" si="106"/>
        <v>#DIV/0!</v>
      </c>
      <c r="BY2901" s="215">
        <f t="shared" si="107"/>
        <v>0</v>
      </c>
    </row>
    <row r="2902" spans="76:77" x14ac:dyDescent="0.2">
      <c r="BX2902" s="214" t="e">
        <f t="shared" si="106"/>
        <v>#DIV/0!</v>
      </c>
      <c r="BY2902" s="215">
        <f t="shared" si="107"/>
        <v>0</v>
      </c>
    </row>
    <row r="2903" spans="76:77" x14ac:dyDescent="0.2">
      <c r="BX2903" s="214" t="e">
        <f t="shared" si="106"/>
        <v>#DIV/0!</v>
      </c>
      <c r="BY2903" s="215">
        <f t="shared" si="107"/>
        <v>0</v>
      </c>
    </row>
    <row r="2904" spans="76:77" x14ac:dyDescent="0.2">
      <c r="BX2904" s="214" t="e">
        <f t="shared" si="106"/>
        <v>#DIV/0!</v>
      </c>
      <c r="BY2904" s="215">
        <f t="shared" si="107"/>
        <v>0</v>
      </c>
    </row>
    <row r="2905" spans="76:77" x14ac:dyDescent="0.2">
      <c r="BX2905" s="214" t="e">
        <f t="shared" si="106"/>
        <v>#DIV/0!</v>
      </c>
      <c r="BY2905" s="215">
        <f t="shared" si="107"/>
        <v>0</v>
      </c>
    </row>
    <row r="2906" spans="76:77" x14ac:dyDescent="0.2">
      <c r="BX2906" s="214" t="e">
        <f t="shared" si="106"/>
        <v>#DIV/0!</v>
      </c>
      <c r="BY2906" s="215">
        <f t="shared" si="107"/>
        <v>0</v>
      </c>
    </row>
    <row r="2907" spans="76:77" x14ac:dyDescent="0.2">
      <c r="BX2907" s="214" t="e">
        <f t="shared" si="106"/>
        <v>#DIV/0!</v>
      </c>
      <c r="BY2907" s="215">
        <f t="shared" si="107"/>
        <v>0</v>
      </c>
    </row>
    <row r="2908" spans="76:77" x14ac:dyDescent="0.2">
      <c r="BX2908" s="214" t="e">
        <f t="shared" si="106"/>
        <v>#DIV/0!</v>
      </c>
      <c r="BY2908" s="215">
        <f t="shared" si="107"/>
        <v>0</v>
      </c>
    </row>
    <row r="2909" spans="76:77" x14ac:dyDescent="0.2">
      <c r="BX2909" s="214" t="e">
        <f t="shared" si="106"/>
        <v>#DIV/0!</v>
      </c>
      <c r="BY2909" s="215">
        <f t="shared" si="107"/>
        <v>0</v>
      </c>
    </row>
    <row r="2910" spans="76:77" x14ac:dyDescent="0.2">
      <c r="BX2910" s="214" t="e">
        <f t="shared" si="106"/>
        <v>#DIV/0!</v>
      </c>
      <c r="BY2910" s="215">
        <f t="shared" si="107"/>
        <v>0</v>
      </c>
    </row>
    <row r="2911" spans="76:77" x14ac:dyDescent="0.2">
      <c r="BX2911" s="214" t="e">
        <f t="shared" si="106"/>
        <v>#DIV/0!</v>
      </c>
      <c r="BY2911" s="215">
        <f t="shared" si="107"/>
        <v>0</v>
      </c>
    </row>
    <row r="2912" spans="76:77" x14ac:dyDescent="0.2">
      <c r="BX2912" s="214" t="e">
        <f t="shared" si="106"/>
        <v>#DIV/0!</v>
      </c>
      <c r="BY2912" s="215">
        <f t="shared" si="107"/>
        <v>0</v>
      </c>
    </row>
    <row r="2913" spans="76:77" x14ac:dyDescent="0.2">
      <c r="BX2913" s="214" t="e">
        <f t="shared" si="106"/>
        <v>#DIV/0!</v>
      </c>
      <c r="BY2913" s="215">
        <f t="shared" si="107"/>
        <v>0</v>
      </c>
    </row>
    <row r="2914" spans="76:77" x14ac:dyDescent="0.2">
      <c r="BX2914" s="214" t="e">
        <f t="shared" si="106"/>
        <v>#DIV/0!</v>
      </c>
      <c r="BY2914" s="215">
        <f t="shared" si="107"/>
        <v>0</v>
      </c>
    </row>
    <row r="2915" spans="76:77" x14ac:dyDescent="0.2">
      <c r="BX2915" s="214" t="e">
        <f t="shared" si="106"/>
        <v>#DIV/0!</v>
      </c>
      <c r="BY2915" s="215">
        <f t="shared" si="107"/>
        <v>0</v>
      </c>
    </row>
    <row r="2916" spans="76:77" x14ac:dyDescent="0.2">
      <c r="BX2916" s="214" t="e">
        <f t="shared" si="106"/>
        <v>#DIV/0!</v>
      </c>
      <c r="BY2916" s="215">
        <f t="shared" si="107"/>
        <v>0</v>
      </c>
    </row>
    <row r="2917" spans="76:77" x14ac:dyDescent="0.2">
      <c r="BX2917" s="214" t="e">
        <f t="shared" si="106"/>
        <v>#DIV/0!</v>
      </c>
      <c r="BY2917" s="215">
        <f t="shared" si="107"/>
        <v>0</v>
      </c>
    </row>
    <row r="2918" spans="76:77" x14ac:dyDescent="0.2">
      <c r="BX2918" s="214" t="e">
        <f t="shared" si="106"/>
        <v>#DIV/0!</v>
      </c>
      <c r="BY2918" s="215">
        <f t="shared" si="107"/>
        <v>0</v>
      </c>
    </row>
    <row r="2919" spans="76:77" x14ac:dyDescent="0.2">
      <c r="BX2919" s="214" t="e">
        <f t="shared" si="106"/>
        <v>#DIV/0!</v>
      </c>
      <c r="BY2919" s="215">
        <f t="shared" si="107"/>
        <v>0</v>
      </c>
    </row>
    <row r="2920" spans="76:77" x14ac:dyDescent="0.2">
      <c r="BX2920" s="214" t="e">
        <f t="shared" si="106"/>
        <v>#DIV/0!</v>
      </c>
      <c r="BY2920" s="215">
        <f t="shared" si="107"/>
        <v>0</v>
      </c>
    </row>
    <row r="2921" spans="76:77" x14ac:dyDescent="0.2">
      <c r="BX2921" s="214" t="e">
        <f t="shared" si="106"/>
        <v>#DIV/0!</v>
      </c>
      <c r="BY2921" s="215">
        <f t="shared" si="107"/>
        <v>0</v>
      </c>
    </row>
    <row r="2922" spans="76:77" x14ac:dyDescent="0.2">
      <c r="BX2922" s="214" t="e">
        <f t="shared" si="106"/>
        <v>#DIV/0!</v>
      </c>
      <c r="BY2922" s="215">
        <f t="shared" si="107"/>
        <v>0</v>
      </c>
    </row>
    <row r="2923" spans="76:77" x14ac:dyDescent="0.2">
      <c r="BX2923" s="214" t="e">
        <f t="shared" si="106"/>
        <v>#DIV/0!</v>
      </c>
      <c r="BY2923" s="215">
        <f t="shared" si="107"/>
        <v>0</v>
      </c>
    </row>
    <row r="2924" spans="76:77" x14ac:dyDescent="0.2">
      <c r="BX2924" s="214" t="e">
        <f t="shared" si="106"/>
        <v>#DIV/0!</v>
      </c>
      <c r="BY2924" s="215">
        <f t="shared" si="107"/>
        <v>0</v>
      </c>
    </row>
    <row r="2925" spans="76:77" x14ac:dyDescent="0.2">
      <c r="BX2925" s="214" t="e">
        <f t="shared" si="106"/>
        <v>#DIV/0!</v>
      </c>
      <c r="BY2925" s="215">
        <f t="shared" si="107"/>
        <v>0</v>
      </c>
    </row>
    <row r="2926" spans="76:77" x14ac:dyDescent="0.2">
      <c r="BX2926" s="214" t="e">
        <f t="shared" si="106"/>
        <v>#DIV/0!</v>
      </c>
      <c r="BY2926" s="215">
        <f t="shared" si="107"/>
        <v>0</v>
      </c>
    </row>
    <row r="2927" spans="76:77" x14ac:dyDescent="0.2">
      <c r="BX2927" s="214" t="e">
        <f t="shared" si="106"/>
        <v>#DIV/0!</v>
      </c>
      <c r="BY2927" s="215">
        <f t="shared" si="107"/>
        <v>0</v>
      </c>
    </row>
    <row r="2928" spans="76:77" x14ac:dyDescent="0.2">
      <c r="BX2928" s="214" t="e">
        <f t="shared" si="106"/>
        <v>#DIV/0!</v>
      </c>
      <c r="BY2928" s="215">
        <f t="shared" si="107"/>
        <v>0</v>
      </c>
    </row>
    <row r="2929" spans="76:77" x14ac:dyDescent="0.2">
      <c r="BX2929" s="214" t="e">
        <f t="shared" si="106"/>
        <v>#DIV/0!</v>
      </c>
      <c r="BY2929" s="215">
        <f t="shared" si="107"/>
        <v>0</v>
      </c>
    </row>
    <row r="2930" spans="76:77" x14ac:dyDescent="0.2">
      <c r="BX2930" s="214" t="e">
        <f t="shared" si="106"/>
        <v>#DIV/0!</v>
      </c>
      <c r="BY2930" s="215">
        <f t="shared" si="107"/>
        <v>0</v>
      </c>
    </row>
    <row r="2931" spans="76:77" x14ac:dyDescent="0.2">
      <c r="BX2931" s="214" t="e">
        <f t="shared" si="106"/>
        <v>#DIV/0!</v>
      </c>
      <c r="BY2931" s="215">
        <f t="shared" si="107"/>
        <v>0</v>
      </c>
    </row>
    <row r="2932" spans="76:77" x14ac:dyDescent="0.2">
      <c r="BX2932" s="214" t="e">
        <f t="shared" si="106"/>
        <v>#DIV/0!</v>
      </c>
      <c r="BY2932" s="215">
        <f t="shared" si="107"/>
        <v>0</v>
      </c>
    </row>
    <row r="2933" spans="76:77" x14ac:dyDescent="0.2">
      <c r="BX2933" s="214" t="e">
        <f t="shared" si="106"/>
        <v>#DIV/0!</v>
      </c>
      <c r="BY2933" s="215">
        <f t="shared" si="107"/>
        <v>0</v>
      </c>
    </row>
    <row r="2934" spans="76:77" x14ac:dyDescent="0.2">
      <c r="BX2934" s="214" t="e">
        <f t="shared" si="106"/>
        <v>#DIV/0!</v>
      </c>
      <c r="BY2934" s="215">
        <f t="shared" si="107"/>
        <v>0</v>
      </c>
    </row>
    <row r="2935" spans="76:77" x14ac:dyDescent="0.2">
      <c r="BX2935" s="214" t="e">
        <f t="shared" si="106"/>
        <v>#DIV/0!</v>
      </c>
      <c r="BY2935" s="215">
        <f t="shared" si="107"/>
        <v>0</v>
      </c>
    </row>
    <row r="2936" spans="76:77" x14ac:dyDescent="0.2">
      <c r="BX2936" s="214" t="e">
        <f t="shared" si="106"/>
        <v>#DIV/0!</v>
      </c>
      <c r="BY2936" s="215">
        <f t="shared" si="107"/>
        <v>0</v>
      </c>
    </row>
    <row r="2937" spans="76:77" x14ac:dyDescent="0.2">
      <c r="BX2937" s="214" t="e">
        <f t="shared" si="106"/>
        <v>#DIV/0!</v>
      </c>
      <c r="BY2937" s="215">
        <f t="shared" si="107"/>
        <v>0</v>
      </c>
    </row>
    <row r="2938" spans="76:77" x14ac:dyDescent="0.2">
      <c r="BX2938" s="214" t="e">
        <f t="shared" si="106"/>
        <v>#DIV/0!</v>
      </c>
      <c r="BY2938" s="215">
        <f t="shared" si="107"/>
        <v>0</v>
      </c>
    </row>
    <row r="2939" spans="76:77" x14ac:dyDescent="0.2">
      <c r="BX2939" s="214" t="e">
        <f t="shared" si="106"/>
        <v>#DIV/0!</v>
      </c>
      <c r="BY2939" s="215">
        <f t="shared" si="107"/>
        <v>0</v>
      </c>
    </row>
    <row r="2940" spans="76:77" x14ac:dyDescent="0.2">
      <c r="BX2940" s="214" t="e">
        <f t="shared" si="106"/>
        <v>#DIV/0!</v>
      </c>
      <c r="BY2940" s="215">
        <f t="shared" si="107"/>
        <v>0</v>
      </c>
    </row>
    <row r="2941" spans="76:77" x14ac:dyDescent="0.2">
      <c r="BX2941" s="214" t="e">
        <f t="shared" si="106"/>
        <v>#DIV/0!</v>
      </c>
      <c r="BY2941" s="215">
        <f t="shared" si="107"/>
        <v>0</v>
      </c>
    </row>
    <row r="2942" spans="76:77" x14ac:dyDescent="0.2">
      <c r="BX2942" s="214" t="e">
        <f t="shared" si="106"/>
        <v>#DIV/0!</v>
      </c>
      <c r="BY2942" s="215">
        <f t="shared" si="107"/>
        <v>0</v>
      </c>
    </row>
    <row r="2943" spans="76:77" x14ac:dyDescent="0.2">
      <c r="BX2943" s="214" t="e">
        <f t="shared" si="106"/>
        <v>#DIV/0!</v>
      </c>
      <c r="BY2943" s="215">
        <f t="shared" si="107"/>
        <v>0</v>
      </c>
    </row>
    <row r="2944" spans="76:77" x14ac:dyDescent="0.2">
      <c r="BX2944" s="214" t="e">
        <f t="shared" si="106"/>
        <v>#DIV/0!</v>
      </c>
      <c r="BY2944" s="215">
        <f t="shared" si="107"/>
        <v>0</v>
      </c>
    </row>
    <row r="2945" spans="76:77" x14ac:dyDescent="0.2">
      <c r="BX2945" s="214" t="e">
        <f t="shared" si="106"/>
        <v>#DIV/0!</v>
      </c>
      <c r="BY2945" s="215">
        <f t="shared" si="107"/>
        <v>0</v>
      </c>
    </row>
    <row r="2946" spans="76:77" x14ac:dyDescent="0.2">
      <c r="BX2946" s="214" t="e">
        <f t="shared" si="106"/>
        <v>#DIV/0!</v>
      </c>
      <c r="BY2946" s="215">
        <f t="shared" si="107"/>
        <v>0</v>
      </c>
    </row>
    <row r="2947" spans="76:77" x14ac:dyDescent="0.2">
      <c r="BX2947" s="214" t="e">
        <f t="shared" si="106"/>
        <v>#DIV/0!</v>
      </c>
      <c r="BY2947" s="215">
        <f t="shared" si="107"/>
        <v>0</v>
      </c>
    </row>
    <row r="2948" spans="76:77" x14ac:dyDescent="0.2">
      <c r="BX2948" s="214" t="e">
        <f t="shared" si="106"/>
        <v>#DIV/0!</v>
      </c>
      <c r="BY2948" s="215">
        <f t="shared" si="107"/>
        <v>0</v>
      </c>
    </row>
    <row r="2949" spans="76:77" x14ac:dyDescent="0.2">
      <c r="BX2949" s="214" t="e">
        <f t="shared" si="106"/>
        <v>#DIV/0!</v>
      </c>
      <c r="BY2949" s="215">
        <f t="shared" si="107"/>
        <v>0</v>
      </c>
    </row>
    <row r="2950" spans="76:77" x14ac:dyDescent="0.2">
      <c r="BX2950" s="214" t="e">
        <f t="shared" si="106"/>
        <v>#DIV/0!</v>
      </c>
      <c r="BY2950" s="215">
        <f t="shared" si="107"/>
        <v>0</v>
      </c>
    </row>
    <row r="2951" spans="76:77" x14ac:dyDescent="0.2">
      <c r="BX2951" s="214" t="e">
        <f t="shared" si="106"/>
        <v>#DIV/0!</v>
      </c>
      <c r="BY2951" s="215">
        <f t="shared" si="107"/>
        <v>0</v>
      </c>
    </row>
    <row r="2952" spans="76:77" x14ac:dyDescent="0.2">
      <c r="BX2952" s="214" t="e">
        <f t="shared" si="106"/>
        <v>#DIV/0!</v>
      </c>
      <c r="BY2952" s="215">
        <f t="shared" si="107"/>
        <v>0</v>
      </c>
    </row>
    <row r="2953" spans="76:77" x14ac:dyDescent="0.2">
      <c r="BX2953" s="214" t="e">
        <f t="shared" si="106"/>
        <v>#DIV/0!</v>
      </c>
      <c r="BY2953" s="215">
        <f t="shared" si="107"/>
        <v>0</v>
      </c>
    </row>
    <row r="2954" spans="76:77" x14ac:dyDescent="0.2">
      <c r="BX2954" s="214" t="e">
        <f t="shared" si="106"/>
        <v>#DIV/0!</v>
      </c>
      <c r="BY2954" s="215">
        <f t="shared" si="107"/>
        <v>0</v>
      </c>
    </row>
    <row r="2955" spans="76:77" x14ac:dyDescent="0.2">
      <c r="BX2955" s="214" t="e">
        <f t="shared" si="106"/>
        <v>#DIV/0!</v>
      </c>
      <c r="BY2955" s="215">
        <f t="shared" si="107"/>
        <v>0</v>
      </c>
    </row>
    <row r="2956" spans="76:77" x14ac:dyDescent="0.2">
      <c r="BX2956" s="214" t="e">
        <f t="shared" si="106"/>
        <v>#DIV/0!</v>
      </c>
      <c r="BY2956" s="215">
        <f t="shared" si="107"/>
        <v>0</v>
      </c>
    </row>
    <row r="2957" spans="76:77" x14ac:dyDescent="0.2">
      <c r="BX2957" s="214" t="e">
        <f t="shared" ref="BX2957:BX3020" si="108">BY2957/BV2957</f>
        <v>#DIV/0!</v>
      </c>
      <c r="BY2957" s="215">
        <f t="shared" si="107"/>
        <v>0</v>
      </c>
    </row>
    <row r="2958" spans="76:77" x14ac:dyDescent="0.2">
      <c r="BX2958" s="214" t="e">
        <f t="shared" si="108"/>
        <v>#DIV/0!</v>
      </c>
      <c r="BY2958" s="215">
        <f t="shared" ref="BY2958:BY3021" si="109">BY2957+BW2958*(BV2958-BV2957)</f>
        <v>0</v>
      </c>
    </row>
    <row r="2959" spans="76:77" x14ac:dyDescent="0.2">
      <c r="BX2959" s="214" t="e">
        <f t="shared" si="108"/>
        <v>#DIV/0!</v>
      </c>
      <c r="BY2959" s="215">
        <f t="shared" si="109"/>
        <v>0</v>
      </c>
    </row>
    <row r="2960" spans="76:77" x14ac:dyDescent="0.2">
      <c r="BX2960" s="214" t="e">
        <f t="shared" si="108"/>
        <v>#DIV/0!</v>
      </c>
      <c r="BY2960" s="215">
        <f t="shared" si="109"/>
        <v>0</v>
      </c>
    </row>
    <row r="2961" spans="76:77" x14ac:dyDescent="0.2">
      <c r="BX2961" s="214" t="e">
        <f t="shared" si="108"/>
        <v>#DIV/0!</v>
      </c>
      <c r="BY2961" s="215">
        <f t="shared" si="109"/>
        <v>0</v>
      </c>
    </row>
    <row r="2962" spans="76:77" x14ac:dyDescent="0.2">
      <c r="BX2962" s="214" t="e">
        <f t="shared" si="108"/>
        <v>#DIV/0!</v>
      </c>
      <c r="BY2962" s="215">
        <f t="shared" si="109"/>
        <v>0</v>
      </c>
    </row>
    <row r="2963" spans="76:77" x14ac:dyDescent="0.2">
      <c r="BX2963" s="214" t="e">
        <f t="shared" si="108"/>
        <v>#DIV/0!</v>
      </c>
      <c r="BY2963" s="215">
        <f t="shared" si="109"/>
        <v>0</v>
      </c>
    </row>
    <row r="2964" spans="76:77" x14ac:dyDescent="0.2">
      <c r="BX2964" s="214" t="e">
        <f t="shared" si="108"/>
        <v>#DIV/0!</v>
      </c>
      <c r="BY2964" s="215">
        <f t="shared" si="109"/>
        <v>0</v>
      </c>
    </row>
    <row r="2965" spans="76:77" x14ac:dyDescent="0.2">
      <c r="BX2965" s="214" t="e">
        <f t="shared" si="108"/>
        <v>#DIV/0!</v>
      </c>
      <c r="BY2965" s="215">
        <f t="shared" si="109"/>
        <v>0</v>
      </c>
    </row>
    <row r="2966" spans="76:77" x14ac:dyDescent="0.2">
      <c r="BX2966" s="214" t="e">
        <f t="shared" si="108"/>
        <v>#DIV/0!</v>
      </c>
      <c r="BY2966" s="215">
        <f t="shared" si="109"/>
        <v>0</v>
      </c>
    </row>
    <row r="2967" spans="76:77" x14ac:dyDescent="0.2">
      <c r="BX2967" s="214" t="e">
        <f t="shared" si="108"/>
        <v>#DIV/0!</v>
      </c>
      <c r="BY2967" s="215">
        <f t="shared" si="109"/>
        <v>0</v>
      </c>
    </row>
    <row r="2968" spans="76:77" x14ac:dyDescent="0.2">
      <c r="BX2968" s="214" t="e">
        <f t="shared" si="108"/>
        <v>#DIV/0!</v>
      </c>
      <c r="BY2968" s="215">
        <f t="shared" si="109"/>
        <v>0</v>
      </c>
    </row>
    <row r="2969" spans="76:77" x14ac:dyDescent="0.2">
      <c r="BX2969" s="214" t="e">
        <f t="shared" si="108"/>
        <v>#DIV/0!</v>
      </c>
      <c r="BY2969" s="215">
        <f t="shared" si="109"/>
        <v>0</v>
      </c>
    </row>
    <row r="2970" spans="76:77" x14ac:dyDescent="0.2">
      <c r="BX2970" s="214" t="e">
        <f t="shared" si="108"/>
        <v>#DIV/0!</v>
      </c>
      <c r="BY2970" s="215">
        <f t="shared" si="109"/>
        <v>0</v>
      </c>
    </row>
    <row r="2971" spans="76:77" x14ac:dyDescent="0.2">
      <c r="BX2971" s="214" t="e">
        <f t="shared" si="108"/>
        <v>#DIV/0!</v>
      </c>
      <c r="BY2971" s="215">
        <f t="shared" si="109"/>
        <v>0</v>
      </c>
    </row>
    <row r="2972" spans="76:77" x14ac:dyDescent="0.2">
      <c r="BX2972" s="214" t="e">
        <f t="shared" si="108"/>
        <v>#DIV/0!</v>
      </c>
      <c r="BY2972" s="215">
        <f t="shared" si="109"/>
        <v>0</v>
      </c>
    </row>
    <row r="2973" spans="76:77" x14ac:dyDescent="0.2">
      <c r="BX2973" s="214" t="e">
        <f t="shared" si="108"/>
        <v>#DIV/0!</v>
      </c>
      <c r="BY2973" s="215">
        <f t="shared" si="109"/>
        <v>0</v>
      </c>
    </row>
    <row r="2974" spans="76:77" x14ac:dyDescent="0.2">
      <c r="BX2974" s="214" t="e">
        <f t="shared" si="108"/>
        <v>#DIV/0!</v>
      </c>
      <c r="BY2974" s="215">
        <f t="shared" si="109"/>
        <v>0</v>
      </c>
    </row>
    <row r="2975" spans="76:77" x14ac:dyDescent="0.2">
      <c r="BX2975" s="214" t="e">
        <f t="shared" si="108"/>
        <v>#DIV/0!</v>
      </c>
      <c r="BY2975" s="215">
        <f t="shared" si="109"/>
        <v>0</v>
      </c>
    </row>
    <row r="2976" spans="76:77" x14ac:dyDescent="0.2">
      <c r="BX2976" s="214" t="e">
        <f t="shared" si="108"/>
        <v>#DIV/0!</v>
      </c>
      <c r="BY2976" s="215">
        <f t="shared" si="109"/>
        <v>0</v>
      </c>
    </row>
    <row r="2977" spans="76:77" x14ac:dyDescent="0.2">
      <c r="BX2977" s="214" t="e">
        <f t="shared" si="108"/>
        <v>#DIV/0!</v>
      </c>
      <c r="BY2977" s="215">
        <f t="shared" si="109"/>
        <v>0</v>
      </c>
    </row>
    <row r="2978" spans="76:77" x14ac:dyDescent="0.2">
      <c r="BX2978" s="214" t="e">
        <f t="shared" si="108"/>
        <v>#DIV/0!</v>
      </c>
      <c r="BY2978" s="215">
        <f t="shared" si="109"/>
        <v>0</v>
      </c>
    </row>
    <row r="2979" spans="76:77" x14ac:dyDescent="0.2">
      <c r="BX2979" s="214" t="e">
        <f t="shared" si="108"/>
        <v>#DIV/0!</v>
      </c>
      <c r="BY2979" s="215">
        <f t="shared" si="109"/>
        <v>0</v>
      </c>
    </row>
    <row r="2980" spans="76:77" x14ac:dyDescent="0.2">
      <c r="BX2980" s="214" t="e">
        <f t="shared" si="108"/>
        <v>#DIV/0!</v>
      </c>
      <c r="BY2980" s="215">
        <f t="shared" si="109"/>
        <v>0</v>
      </c>
    </row>
    <row r="2981" spans="76:77" x14ac:dyDescent="0.2">
      <c r="BX2981" s="214" t="e">
        <f t="shared" si="108"/>
        <v>#DIV/0!</v>
      </c>
      <c r="BY2981" s="215">
        <f t="shared" si="109"/>
        <v>0</v>
      </c>
    </row>
    <row r="2982" spans="76:77" x14ac:dyDescent="0.2">
      <c r="BX2982" s="214" t="e">
        <f t="shared" si="108"/>
        <v>#DIV/0!</v>
      </c>
      <c r="BY2982" s="215">
        <f t="shared" si="109"/>
        <v>0</v>
      </c>
    </row>
    <row r="2983" spans="76:77" x14ac:dyDescent="0.2">
      <c r="BX2983" s="214" t="e">
        <f t="shared" si="108"/>
        <v>#DIV/0!</v>
      </c>
      <c r="BY2983" s="215">
        <f t="shared" si="109"/>
        <v>0</v>
      </c>
    </row>
    <row r="2984" spans="76:77" x14ac:dyDescent="0.2">
      <c r="BX2984" s="214" t="e">
        <f t="shared" si="108"/>
        <v>#DIV/0!</v>
      </c>
      <c r="BY2984" s="215">
        <f t="shared" si="109"/>
        <v>0</v>
      </c>
    </row>
    <row r="2985" spans="76:77" x14ac:dyDescent="0.2">
      <c r="BX2985" s="214" t="e">
        <f t="shared" si="108"/>
        <v>#DIV/0!</v>
      </c>
      <c r="BY2985" s="215">
        <f t="shared" si="109"/>
        <v>0</v>
      </c>
    </row>
    <row r="2986" spans="76:77" x14ac:dyDescent="0.2">
      <c r="BX2986" s="214" t="e">
        <f t="shared" si="108"/>
        <v>#DIV/0!</v>
      </c>
      <c r="BY2986" s="215">
        <f t="shared" si="109"/>
        <v>0</v>
      </c>
    </row>
    <row r="2987" spans="76:77" x14ac:dyDescent="0.2">
      <c r="BX2987" s="214" t="e">
        <f t="shared" si="108"/>
        <v>#DIV/0!</v>
      </c>
      <c r="BY2987" s="215">
        <f t="shared" si="109"/>
        <v>0</v>
      </c>
    </row>
    <row r="2988" spans="76:77" x14ac:dyDescent="0.2">
      <c r="BX2988" s="214" t="e">
        <f t="shared" si="108"/>
        <v>#DIV/0!</v>
      </c>
      <c r="BY2988" s="215">
        <f t="shared" si="109"/>
        <v>0</v>
      </c>
    </row>
    <row r="2989" spans="76:77" x14ac:dyDescent="0.2">
      <c r="BX2989" s="214" t="e">
        <f t="shared" si="108"/>
        <v>#DIV/0!</v>
      </c>
      <c r="BY2989" s="215">
        <f t="shared" si="109"/>
        <v>0</v>
      </c>
    </row>
    <row r="2990" spans="76:77" x14ac:dyDescent="0.2">
      <c r="BX2990" s="214" t="e">
        <f t="shared" si="108"/>
        <v>#DIV/0!</v>
      </c>
      <c r="BY2990" s="215">
        <f t="shared" si="109"/>
        <v>0</v>
      </c>
    </row>
    <row r="2991" spans="76:77" x14ac:dyDescent="0.2">
      <c r="BX2991" s="214" t="e">
        <f t="shared" si="108"/>
        <v>#DIV/0!</v>
      </c>
      <c r="BY2991" s="215">
        <f t="shared" si="109"/>
        <v>0</v>
      </c>
    </row>
    <row r="2992" spans="76:77" x14ac:dyDescent="0.2">
      <c r="BX2992" s="214" t="e">
        <f t="shared" si="108"/>
        <v>#DIV/0!</v>
      </c>
      <c r="BY2992" s="215">
        <f t="shared" si="109"/>
        <v>0</v>
      </c>
    </row>
    <row r="2993" spans="76:77" x14ac:dyDescent="0.2">
      <c r="BX2993" s="214" t="e">
        <f t="shared" si="108"/>
        <v>#DIV/0!</v>
      </c>
      <c r="BY2993" s="215">
        <f t="shared" si="109"/>
        <v>0</v>
      </c>
    </row>
    <row r="2994" spans="76:77" x14ac:dyDescent="0.2">
      <c r="BX2994" s="214" t="e">
        <f t="shared" si="108"/>
        <v>#DIV/0!</v>
      </c>
      <c r="BY2994" s="215">
        <f t="shared" si="109"/>
        <v>0</v>
      </c>
    </row>
    <row r="2995" spans="76:77" x14ac:dyDescent="0.2">
      <c r="BX2995" s="214" t="e">
        <f t="shared" si="108"/>
        <v>#DIV/0!</v>
      </c>
      <c r="BY2995" s="215">
        <f t="shared" si="109"/>
        <v>0</v>
      </c>
    </row>
    <row r="2996" spans="76:77" x14ac:dyDescent="0.2">
      <c r="BX2996" s="214" t="e">
        <f t="shared" si="108"/>
        <v>#DIV/0!</v>
      </c>
      <c r="BY2996" s="215">
        <f t="shared" si="109"/>
        <v>0</v>
      </c>
    </row>
    <row r="2997" spans="76:77" x14ac:dyDescent="0.2">
      <c r="BX2997" s="214" t="e">
        <f t="shared" si="108"/>
        <v>#DIV/0!</v>
      </c>
      <c r="BY2997" s="215">
        <f t="shared" si="109"/>
        <v>0</v>
      </c>
    </row>
    <row r="2998" spans="76:77" x14ac:dyDescent="0.2">
      <c r="BX2998" s="214" t="e">
        <f t="shared" si="108"/>
        <v>#DIV/0!</v>
      </c>
      <c r="BY2998" s="215">
        <f t="shared" si="109"/>
        <v>0</v>
      </c>
    </row>
    <row r="2999" spans="76:77" x14ac:dyDescent="0.2">
      <c r="BX2999" s="214" t="e">
        <f t="shared" si="108"/>
        <v>#DIV/0!</v>
      </c>
      <c r="BY2999" s="215">
        <f t="shared" si="109"/>
        <v>0</v>
      </c>
    </row>
    <row r="3000" spans="76:77" x14ac:dyDescent="0.2">
      <c r="BX3000" s="214" t="e">
        <f t="shared" si="108"/>
        <v>#DIV/0!</v>
      </c>
      <c r="BY3000" s="215">
        <f t="shared" si="109"/>
        <v>0</v>
      </c>
    </row>
    <row r="3001" spans="76:77" x14ac:dyDescent="0.2">
      <c r="BX3001" s="214" t="e">
        <f t="shared" si="108"/>
        <v>#DIV/0!</v>
      </c>
      <c r="BY3001" s="215">
        <f t="shared" si="109"/>
        <v>0</v>
      </c>
    </row>
    <row r="3002" spans="76:77" x14ac:dyDescent="0.2">
      <c r="BX3002" s="214" t="e">
        <f t="shared" si="108"/>
        <v>#DIV/0!</v>
      </c>
      <c r="BY3002" s="215">
        <f t="shared" si="109"/>
        <v>0</v>
      </c>
    </row>
    <row r="3003" spans="76:77" x14ac:dyDescent="0.2">
      <c r="BX3003" s="214" t="e">
        <f t="shared" si="108"/>
        <v>#DIV/0!</v>
      </c>
      <c r="BY3003" s="215">
        <f t="shared" si="109"/>
        <v>0</v>
      </c>
    </row>
    <row r="3004" spans="76:77" x14ac:dyDescent="0.2">
      <c r="BX3004" s="214" t="e">
        <f t="shared" si="108"/>
        <v>#DIV/0!</v>
      </c>
      <c r="BY3004" s="215">
        <f t="shared" si="109"/>
        <v>0</v>
      </c>
    </row>
    <row r="3005" spans="76:77" x14ac:dyDescent="0.2">
      <c r="BX3005" s="214" t="e">
        <f t="shared" si="108"/>
        <v>#DIV/0!</v>
      </c>
      <c r="BY3005" s="215">
        <f t="shared" si="109"/>
        <v>0</v>
      </c>
    </row>
    <row r="3006" spans="76:77" x14ac:dyDescent="0.2">
      <c r="BX3006" s="214" t="e">
        <f t="shared" si="108"/>
        <v>#DIV/0!</v>
      </c>
      <c r="BY3006" s="215">
        <f t="shared" si="109"/>
        <v>0</v>
      </c>
    </row>
    <row r="3007" spans="76:77" x14ac:dyDescent="0.2">
      <c r="BX3007" s="214" t="e">
        <f t="shared" si="108"/>
        <v>#DIV/0!</v>
      </c>
      <c r="BY3007" s="215">
        <f t="shared" si="109"/>
        <v>0</v>
      </c>
    </row>
    <row r="3008" spans="76:77" x14ac:dyDescent="0.2">
      <c r="BX3008" s="214" t="e">
        <f t="shared" si="108"/>
        <v>#DIV/0!</v>
      </c>
      <c r="BY3008" s="215">
        <f t="shared" si="109"/>
        <v>0</v>
      </c>
    </row>
    <row r="3009" spans="76:77" x14ac:dyDescent="0.2">
      <c r="BX3009" s="214" t="e">
        <f t="shared" si="108"/>
        <v>#DIV/0!</v>
      </c>
      <c r="BY3009" s="215">
        <f t="shared" si="109"/>
        <v>0</v>
      </c>
    </row>
    <row r="3010" spans="76:77" x14ac:dyDescent="0.2">
      <c r="BX3010" s="214" t="e">
        <f t="shared" si="108"/>
        <v>#DIV/0!</v>
      </c>
      <c r="BY3010" s="215">
        <f t="shared" si="109"/>
        <v>0</v>
      </c>
    </row>
    <row r="3011" spans="76:77" x14ac:dyDescent="0.2">
      <c r="BX3011" s="214" t="e">
        <f t="shared" si="108"/>
        <v>#DIV/0!</v>
      </c>
      <c r="BY3011" s="215">
        <f t="shared" si="109"/>
        <v>0</v>
      </c>
    </row>
    <row r="3012" spans="76:77" x14ac:dyDescent="0.2">
      <c r="BX3012" s="214" t="e">
        <f t="shared" si="108"/>
        <v>#DIV/0!</v>
      </c>
      <c r="BY3012" s="215">
        <f t="shared" si="109"/>
        <v>0</v>
      </c>
    </row>
    <row r="3013" spans="76:77" x14ac:dyDescent="0.2">
      <c r="BX3013" s="214" t="e">
        <f t="shared" si="108"/>
        <v>#DIV/0!</v>
      </c>
      <c r="BY3013" s="215">
        <f t="shared" si="109"/>
        <v>0</v>
      </c>
    </row>
    <row r="3014" spans="76:77" x14ac:dyDescent="0.2">
      <c r="BX3014" s="214" t="e">
        <f t="shared" si="108"/>
        <v>#DIV/0!</v>
      </c>
      <c r="BY3014" s="215">
        <f t="shared" si="109"/>
        <v>0</v>
      </c>
    </row>
    <row r="3015" spans="76:77" x14ac:dyDescent="0.2">
      <c r="BX3015" s="214" t="e">
        <f t="shared" si="108"/>
        <v>#DIV/0!</v>
      </c>
      <c r="BY3015" s="215">
        <f t="shared" si="109"/>
        <v>0</v>
      </c>
    </row>
    <row r="3016" spans="76:77" x14ac:dyDescent="0.2">
      <c r="BX3016" s="214" t="e">
        <f t="shared" si="108"/>
        <v>#DIV/0!</v>
      </c>
      <c r="BY3016" s="215">
        <f t="shared" si="109"/>
        <v>0</v>
      </c>
    </row>
    <row r="3017" spans="76:77" x14ac:dyDescent="0.2">
      <c r="BX3017" s="214" t="e">
        <f t="shared" si="108"/>
        <v>#DIV/0!</v>
      </c>
      <c r="BY3017" s="215">
        <f t="shared" si="109"/>
        <v>0</v>
      </c>
    </row>
    <row r="3018" spans="76:77" x14ac:dyDescent="0.2">
      <c r="BX3018" s="214" t="e">
        <f t="shared" si="108"/>
        <v>#DIV/0!</v>
      </c>
      <c r="BY3018" s="215">
        <f t="shared" si="109"/>
        <v>0</v>
      </c>
    </row>
    <row r="3019" spans="76:77" x14ac:dyDescent="0.2">
      <c r="BX3019" s="214" t="e">
        <f t="shared" si="108"/>
        <v>#DIV/0!</v>
      </c>
      <c r="BY3019" s="215">
        <f t="shared" si="109"/>
        <v>0</v>
      </c>
    </row>
    <row r="3020" spans="76:77" x14ac:dyDescent="0.2">
      <c r="BX3020" s="214" t="e">
        <f t="shared" si="108"/>
        <v>#DIV/0!</v>
      </c>
      <c r="BY3020" s="215">
        <f t="shared" si="109"/>
        <v>0</v>
      </c>
    </row>
    <row r="3021" spans="76:77" x14ac:dyDescent="0.2">
      <c r="BX3021" s="214" t="e">
        <f t="shared" ref="BX3021:BX3084" si="110">BY3021/BV3021</f>
        <v>#DIV/0!</v>
      </c>
      <c r="BY3021" s="215">
        <f t="shared" si="109"/>
        <v>0</v>
      </c>
    </row>
    <row r="3022" spans="76:77" x14ac:dyDescent="0.2">
      <c r="BX3022" s="214" t="e">
        <f t="shared" si="110"/>
        <v>#DIV/0!</v>
      </c>
      <c r="BY3022" s="215">
        <f t="shared" ref="BY3022:BY3085" si="111">BY3021+BW3022*(BV3022-BV3021)</f>
        <v>0</v>
      </c>
    </row>
    <row r="3023" spans="76:77" x14ac:dyDescent="0.2">
      <c r="BX3023" s="214" t="e">
        <f t="shared" si="110"/>
        <v>#DIV/0!</v>
      </c>
      <c r="BY3023" s="215">
        <f t="shared" si="111"/>
        <v>0</v>
      </c>
    </row>
    <row r="3024" spans="76:77" x14ac:dyDescent="0.2">
      <c r="BX3024" s="214" t="e">
        <f t="shared" si="110"/>
        <v>#DIV/0!</v>
      </c>
      <c r="BY3024" s="215">
        <f t="shared" si="111"/>
        <v>0</v>
      </c>
    </row>
    <row r="3025" spans="76:77" x14ac:dyDescent="0.2">
      <c r="BX3025" s="214" t="e">
        <f t="shared" si="110"/>
        <v>#DIV/0!</v>
      </c>
      <c r="BY3025" s="215">
        <f t="shared" si="111"/>
        <v>0</v>
      </c>
    </row>
    <row r="3026" spans="76:77" x14ac:dyDescent="0.2">
      <c r="BX3026" s="214" t="e">
        <f t="shared" si="110"/>
        <v>#DIV/0!</v>
      </c>
      <c r="BY3026" s="215">
        <f t="shared" si="111"/>
        <v>0</v>
      </c>
    </row>
    <row r="3027" spans="76:77" x14ac:dyDescent="0.2">
      <c r="BX3027" s="214" t="e">
        <f t="shared" si="110"/>
        <v>#DIV/0!</v>
      </c>
      <c r="BY3027" s="215">
        <f t="shared" si="111"/>
        <v>0</v>
      </c>
    </row>
    <row r="3028" spans="76:77" x14ac:dyDescent="0.2">
      <c r="BX3028" s="214" t="e">
        <f t="shared" si="110"/>
        <v>#DIV/0!</v>
      </c>
      <c r="BY3028" s="215">
        <f t="shared" si="111"/>
        <v>0</v>
      </c>
    </row>
    <row r="3029" spans="76:77" x14ac:dyDescent="0.2">
      <c r="BX3029" s="214" t="e">
        <f t="shared" si="110"/>
        <v>#DIV/0!</v>
      </c>
      <c r="BY3029" s="215">
        <f t="shared" si="111"/>
        <v>0</v>
      </c>
    </row>
    <row r="3030" spans="76:77" x14ac:dyDescent="0.2">
      <c r="BX3030" s="214" t="e">
        <f t="shared" si="110"/>
        <v>#DIV/0!</v>
      </c>
      <c r="BY3030" s="215">
        <f t="shared" si="111"/>
        <v>0</v>
      </c>
    </row>
    <row r="3031" spans="76:77" x14ac:dyDescent="0.2">
      <c r="BX3031" s="214" t="e">
        <f t="shared" si="110"/>
        <v>#DIV/0!</v>
      </c>
      <c r="BY3031" s="215">
        <f t="shared" si="111"/>
        <v>0</v>
      </c>
    </row>
    <row r="3032" spans="76:77" x14ac:dyDescent="0.2">
      <c r="BX3032" s="214" t="e">
        <f t="shared" si="110"/>
        <v>#DIV/0!</v>
      </c>
      <c r="BY3032" s="215">
        <f t="shared" si="111"/>
        <v>0</v>
      </c>
    </row>
    <row r="3033" spans="76:77" x14ac:dyDescent="0.2">
      <c r="BX3033" s="214" t="e">
        <f t="shared" si="110"/>
        <v>#DIV/0!</v>
      </c>
      <c r="BY3033" s="215">
        <f t="shared" si="111"/>
        <v>0</v>
      </c>
    </row>
    <row r="3034" spans="76:77" x14ac:dyDescent="0.2">
      <c r="BX3034" s="214" t="e">
        <f t="shared" si="110"/>
        <v>#DIV/0!</v>
      </c>
      <c r="BY3034" s="215">
        <f t="shared" si="111"/>
        <v>0</v>
      </c>
    </row>
    <row r="3035" spans="76:77" x14ac:dyDescent="0.2">
      <c r="BX3035" s="214" t="e">
        <f t="shared" si="110"/>
        <v>#DIV/0!</v>
      </c>
      <c r="BY3035" s="215">
        <f t="shared" si="111"/>
        <v>0</v>
      </c>
    </row>
    <row r="3036" spans="76:77" x14ac:dyDescent="0.2">
      <c r="BX3036" s="214" t="e">
        <f t="shared" si="110"/>
        <v>#DIV/0!</v>
      </c>
      <c r="BY3036" s="215">
        <f t="shared" si="111"/>
        <v>0</v>
      </c>
    </row>
    <row r="3037" spans="76:77" x14ac:dyDescent="0.2">
      <c r="BX3037" s="214" t="e">
        <f t="shared" si="110"/>
        <v>#DIV/0!</v>
      </c>
      <c r="BY3037" s="215">
        <f t="shared" si="111"/>
        <v>0</v>
      </c>
    </row>
    <row r="3038" spans="76:77" x14ac:dyDescent="0.2">
      <c r="BX3038" s="214" t="e">
        <f t="shared" si="110"/>
        <v>#DIV/0!</v>
      </c>
      <c r="BY3038" s="215">
        <f t="shared" si="111"/>
        <v>0</v>
      </c>
    </row>
    <row r="3039" spans="76:77" x14ac:dyDescent="0.2">
      <c r="BX3039" s="214" t="e">
        <f t="shared" si="110"/>
        <v>#DIV/0!</v>
      </c>
      <c r="BY3039" s="215">
        <f t="shared" si="111"/>
        <v>0</v>
      </c>
    </row>
    <row r="3040" spans="76:77" x14ac:dyDescent="0.2">
      <c r="BX3040" s="214" t="e">
        <f t="shared" si="110"/>
        <v>#DIV/0!</v>
      </c>
      <c r="BY3040" s="215">
        <f t="shared" si="111"/>
        <v>0</v>
      </c>
    </row>
    <row r="3041" spans="76:77" x14ac:dyDescent="0.2">
      <c r="BX3041" s="214" t="e">
        <f t="shared" si="110"/>
        <v>#DIV/0!</v>
      </c>
      <c r="BY3041" s="215">
        <f t="shared" si="111"/>
        <v>0</v>
      </c>
    </row>
    <row r="3042" spans="76:77" x14ac:dyDescent="0.2">
      <c r="BX3042" s="214" t="e">
        <f t="shared" si="110"/>
        <v>#DIV/0!</v>
      </c>
      <c r="BY3042" s="215">
        <f t="shared" si="111"/>
        <v>0</v>
      </c>
    </row>
    <row r="3043" spans="76:77" x14ac:dyDescent="0.2">
      <c r="BX3043" s="214" t="e">
        <f t="shared" si="110"/>
        <v>#DIV/0!</v>
      </c>
      <c r="BY3043" s="215">
        <f t="shared" si="111"/>
        <v>0</v>
      </c>
    </row>
    <row r="3044" spans="76:77" x14ac:dyDescent="0.2">
      <c r="BX3044" s="214" t="e">
        <f t="shared" si="110"/>
        <v>#DIV/0!</v>
      </c>
      <c r="BY3044" s="215">
        <f t="shared" si="111"/>
        <v>0</v>
      </c>
    </row>
    <row r="3045" spans="76:77" x14ac:dyDescent="0.2">
      <c r="BX3045" s="214" t="e">
        <f t="shared" si="110"/>
        <v>#DIV/0!</v>
      </c>
      <c r="BY3045" s="215">
        <f t="shared" si="111"/>
        <v>0</v>
      </c>
    </row>
    <row r="3046" spans="76:77" x14ac:dyDescent="0.2">
      <c r="BX3046" s="214" t="e">
        <f t="shared" si="110"/>
        <v>#DIV/0!</v>
      </c>
      <c r="BY3046" s="215">
        <f t="shared" si="111"/>
        <v>0</v>
      </c>
    </row>
    <row r="3047" spans="76:77" x14ac:dyDescent="0.2">
      <c r="BX3047" s="214" t="e">
        <f t="shared" si="110"/>
        <v>#DIV/0!</v>
      </c>
      <c r="BY3047" s="215">
        <f t="shared" si="111"/>
        <v>0</v>
      </c>
    </row>
    <row r="3048" spans="76:77" x14ac:dyDescent="0.2">
      <c r="BX3048" s="214" t="e">
        <f t="shared" si="110"/>
        <v>#DIV/0!</v>
      </c>
      <c r="BY3048" s="215">
        <f t="shared" si="111"/>
        <v>0</v>
      </c>
    </row>
    <row r="3049" spans="76:77" x14ac:dyDescent="0.2">
      <c r="BX3049" s="214" t="e">
        <f t="shared" si="110"/>
        <v>#DIV/0!</v>
      </c>
      <c r="BY3049" s="215">
        <f t="shared" si="111"/>
        <v>0</v>
      </c>
    </row>
    <row r="3050" spans="76:77" x14ac:dyDescent="0.2">
      <c r="BX3050" s="214" t="e">
        <f t="shared" si="110"/>
        <v>#DIV/0!</v>
      </c>
      <c r="BY3050" s="215">
        <f t="shared" si="111"/>
        <v>0</v>
      </c>
    </row>
    <row r="3051" spans="76:77" x14ac:dyDescent="0.2">
      <c r="BX3051" s="214" t="e">
        <f t="shared" si="110"/>
        <v>#DIV/0!</v>
      </c>
      <c r="BY3051" s="215">
        <f t="shared" si="111"/>
        <v>0</v>
      </c>
    </row>
    <row r="3052" spans="76:77" x14ac:dyDescent="0.2">
      <c r="BX3052" s="214" t="e">
        <f t="shared" si="110"/>
        <v>#DIV/0!</v>
      </c>
      <c r="BY3052" s="215">
        <f t="shared" si="111"/>
        <v>0</v>
      </c>
    </row>
    <row r="3053" spans="76:77" x14ac:dyDescent="0.2">
      <c r="BX3053" s="214" t="e">
        <f t="shared" si="110"/>
        <v>#DIV/0!</v>
      </c>
      <c r="BY3053" s="215">
        <f t="shared" si="111"/>
        <v>0</v>
      </c>
    </row>
    <row r="3054" spans="76:77" x14ac:dyDescent="0.2">
      <c r="BX3054" s="214" t="e">
        <f t="shared" si="110"/>
        <v>#DIV/0!</v>
      </c>
      <c r="BY3054" s="215">
        <f t="shared" si="111"/>
        <v>0</v>
      </c>
    </row>
    <row r="3055" spans="76:77" x14ac:dyDescent="0.2">
      <c r="BX3055" s="214" t="e">
        <f t="shared" si="110"/>
        <v>#DIV/0!</v>
      </c>
      <c r="BY3055" s="215">
        <f t="shared" si="111"/>
        <v>0</v>
      </c>
    </row>
    <row r="3056" spans="76:77" x14ac:dyDescent="0.2">
      <c r="BX3056" s="214" t="e">
        <f t="shared" si="110"/>
        <v>#DIV/0!</v>
      </c>
      <c r="BY3056" s="215">
        <f t="shared" si="111"/>
        <v>0</v>
      </c>
    </row>
    <row r="3057" spans="76:77" x14ac:dyDescent="0.2">
      <c r="BX3057" s="214" t="e">
        <f t="shared" si="110"/>
        <v>#DIV/0!</v>
      </c>
      <c r="BY3057" s="215">
        <f t="shared" si="111"/>
        <v>0</v>
      </c>
    </row>
    <row r="3058" spans="76:77" x14ac:dyDescent="0.2">
      <c r="BX3058" s="214" t="e">
        <f t="shared" si="110"/>
        <v>#DIV/0!</v>
      </c>
      <c r="BY3058" s="215">
        <f t="shared" si="111"/>
        <v>0</v>
      </c>
    </row>
    <row r="3059" spans="76:77" x14ac:dyDescent="0.2">
      <c r="BX3059" s="214" t="e">
        <f t="shared" si="110"/>
        <v>#DIV/0!</v>
      </c>
      <c r="BY3059" s="215">
        <f t="shared" si="111"/>
        <v>0</v>
      </c>
    </row>
    <row r="3060" spans="76:77" x14ac:dyDescent="0.2">
      <c r="BX3060" s="214" t="e">
        <f t="shared" si="110"/>
        <v>#DIV/0!</v>
      </c>
      <c r="BY3060" s="215">
        <f t="shared" si="111"/>
        <v>0</v>
      </c>
    </row>
    <row r="3061" spans="76:77" x14ac:dyDescent="0.2">
      <c r="BX3061" s="214" t="e">
        <f t="shared" si="110"/>
        <v>#DIV/0!</v>
      </c>
      <c r="BY3061" s="215">
        <f t="shared" si="111"/>
        <v>0</v>
      </c>
    </row>
    <row r="3062" spans="76:77" x14ac:dyDescent="0.2">
      <c r="BX3062" s="214" t="e">
        <f t="shared" si="110"/>
        <v>#DIV/0!</v>
      </c>
      <c r="BY3062" s="215">
        <f t="shared" si="111"/>
        <v>0</v>
      </c>
    </row>
    <row r="3063" spans="76:77" x14ac:dyDescent="0.2">
      <c r="BX3063" s="214" t="e">
        <f t="shared" si="110"/>
        <v>#DIV/0!</v>
      </c>
      <c r="BY3063" s="215">
        <f t="shared" si="111"/>
        <v>0</v>
      </c>
    </row>
    <row r="3064" spans="76:77" x14ac:dyDescent="0.2">
      <c r="BX3064" s="214" t="e">
        <f t="shared" si="110"/>
        <v>#DIV/0!</v>
      </c>
      <c r="BY3064" s="215">
        <f t="shared" si="111"/>
        <v>0</v>
      </c>
    </row>
    <row r="3065" spans="76:77" x14ac:dyDescent="0.2">
      <c r="BX3065" s="214" t="e">
        <f t="shared" si="110"/>
        <v>#DIV/0!</v>
      </c>
      <c r="BY3065" s="215">
        <f t="shared" si="111"/>
        <v>0</v>
      </c>
    </row>
    <row r="3066" spans="76:77" x14ac:dyDescent="0.2">
      <c r="BX3066" s="214" t="e">
        <f t="shared" si="110"/>
        <v>#DIV/0!</v>
      </c>
      <c r="BY3066" s="215">
        <f t="shared" si="111"/>
        <v>0</v>
      </c>
    </row>
    <row r="3067" spans="76:77" x14ac:dyDescent="0.2">
      <c r="BX3067" s="214" t="e">
        <f t="shared" si="110"/>
        <v>#DIV/0!</v>
      </c>
      <c r="BY3067" s="215">
        <f t="shared" si="111"/>
        <v>0</v>
      </c>
    </row>
    <row r="3068" spans="76:77" x14ac:dyDescent="0.2">
      <c r="BX3068" s="214" t="e">
        <f t="shared" si="110"/>
        <v>#DIV/0!</v>
      </c>
      <c r="BY3068" s="215">
        <f t="shared" si="111"/>
        <v>0</v>
      </c>
    </row>
    <row r="3069" spans="76:77" x14ac:dyDescent="0.2">
      <c r="BX3069" s="214" t="e">
        <f t="shared" si="110"/>
        <v>#DIV/0!</v>
      </c>
      <c r="BY3069" s="215">
        <f t="shared" si="111"/>
        <v>0</v>
      </c>
    </row>
    <row r="3070" spans="76:77" x14ac:dyDescent="0.2">
      <c r="BX3070" s="214" t="e">
        <f t="shared" si="110"/>
        <v>#DIV/0!</v>
      </c>
      <c r="BY3070" s="215">
        <f t="shared" si="111"/>
        <v>0</v>
      </c>
    </row>
    <row r="3071" spans="76:77" x14ac:dyDescent="0.2">
      <c r="BX3071" s="214" t="e">
        <f t="shared" si="110"/>
        <v>#DIV/0!</v>
      </c>
      <c r="BY3071" s="215">
        <f t="shared" si="111"/>
        <v>0</v>
      </c>
    </row>
    <row r="3072" spans="76:77" x14ac:dyDescent="0.2">
      <c r="BX3072" s="214" t="e">
        <f t="shared" si="110"/>
        <v>#DIV/0!</v>
      </c>
      <c r="BY3072" s="215">
        <f t="shared" si="111"/>
        <v>0</v>
      </c>
    </row>
    <row r="3073" spans="76:77" x14ac:dyDescent="0.2">
      <c r="BX3073" s="214" t="e">
        <f t="shared" si="110"/>
        <v>#DIV/0!</v>
      </c>
      <c r="BY3073" s="215">
        <f t="shared" si="111"/>
        <v>0</v>
      </c>
    </row>
    <row r="3074" spans="76:77" x14ac:dyDescent="0.2">
      <c r="BX3074" s="214" t="e">
        <f t="shared" si="110"/>
        <v>#DIV/0!</v>
      </c>
      <c r="BY3074" s="215">
        <f t="shared" si="111"/>
        <v>0</v>
      </c>
    </row>
    <row r="3075" spans="76:77" x14ac:dyDescent="0.2">
      <c r="BX3075" s="214" t="e">
        <f t="shared" si="110"/>
        <v>#DIV/0!</v>
      </c>
      <c r="BY3075" s="215">
        <f t="shared" si="111"/>
        <v>0</v>
      </c>
    </row>
    <row r="3076" spans="76:77" x14ac:dyDescent="0.2">
      <c r="BX3076" s="214" t="e">
        <f t="shared" si="110"/>
        <v>#DIV/0!</v>
      </c>
      <c r="BY3076" s="215">
        <f t="shared" si="111"/>
        <v>0</v>
      </c>
    </row>
    <row r="3077" spans="76:77" x14ac:dyDescent="0.2">
      <c r="BX3077" s="214" t="e">
        <f t="shared" si="110"/>
        <v>#DIV/0!</v>
      </c>
      <c r="BY3077" s="215">
        <f t="shared" si="111"/>
        <v>0</v>
      </c>
    </row>
    <row r="3078" spans="76:77" x14ac:dyDescent="0.2">
      <c r="BX3078" s="214" t="e">
        <f t="shared" si="110"/>
        <v>#DIV/0!</v>
      </c>
      <c r="BY3078" s="215">
        <f t="shared" si="111"/>
        <v>0</v>
      </c>
    </row>
    <row r="3079" spans="76:77" x14ac:dyDescent="0.2">
      <c r="BX3079" s="214" t="e">
        <f t="shared" si="110"/>
        <v>#DIV/0!</v>
      </c>
      <c r="BY3079" s="215">
        <f t="shared" si="111"/>
        <v>0</v>
      </c>
    </row>
    <row r="3080" spans="76:77" x14ac:dyDescent="0.2">
      <c r="BX3080" s="214" t="e">
        <f t="shared" si="110"/>
        <v>#DIV/0!</v>
      </c>
      <c r="BY3080" s="215">
        <f t="shared" si="111"/>
        <v>0</v>
      </c>
    </row>
    <row r="3081" spans="76:77" x14ac:dyDescent="0.2">
      <c r="BX3081" s="214" t="e">
        <f t="shared" si="110"/>
        <v>#DIV/0!</v>
      </c>
      <c r="BY3081" s="215">
        <f t="shared" si="111"/>
        <v>0</v>
      </c>
    </row>
    <row r="3082" spans="76:77" x14ac:dyDescent="0.2">
      <c r="BX3082" s="214" t="e">
        <f t="shared" si="110"/>
        <v>#DIV/0!</v>
      </c>
      <c r="BY3082" s="215">
        <f t="shared" si="111"/>
        <v>0</v>
      </c>
    </row>
    <row r="3083" spans="76:77" x14ac:dyDescent="0.2">
      <c r="BX3083" s="214" t="e">
        <f t="shared" si="110"/>
        <v>#DIV/0!</v>
      </c>
      <c r="BY3083" s="215">
        <f t="shared" si="111"/>
        <v>0</v>
      </c>
    </row>
    <row r="3084" spans="76:77" x14ac:dyDescent="0.2">
      <c r="BX3084" s="214" t="e">
        <f t="shared" si="110"/>
        <v>#DIV/0!</v>
      </c>
      <c r="BY3084" s="215">
        <f t="shared" si="111"/>
        <v>0</v>
      </c>
    </row>
    <row r="3085" spans="76:77" x14ac:dyDescent="0.2">
      <c r="BX3085" s="214" t="e">
        <f t="shared" ref="BX3085:BX3148" si="112">BY3085/BV3085</f>
        <v>#DIV/0!</v>
      </c>
      <c r="BY3085" s="215">
        <f t="shared" si="111"/>
        <v>0</v>
      </c>
    </row>
    <row r="3086" spans="76:77" x14ac:dyDescent="0.2">
      <c r="BX3086" s="214" t="e">
        <f t="shared" si="112"/>
        <v>#DIV/0!</v>
      </c>
      <c r="BY3086" s="215">
        <f t="shared" ref="BY3086:BY3149" si="113">BY3085+BW3086*(BV3086-BV3085)</f>
        <v>0</v>
      </c>
    </row>
    <row r="3087" spans="76:77" x14ac:dyDescent="0.2">
      <c r="BX3087" s="214" t="e">
        <f t="shared" si="112"/>
        <v>#DIV/0!</v>
      </c>
      <c r="BY3087" s="215">
        <f t="shared" si="113"/>
        <v>0</v>
      </c>
    </row>
    <row r="3088" spans="76:77" x14ac:dyDescent="0.2">
      <c r="BX3088" s="214" t="e">
        <f t="shared" si="112"/>
        <v>#DIV/0!</v>
      </c>
      <c r="BY3088" s="215">
        <f t="shared" si="113"/>
        <v>0</v>
      </c>
    </row>
    <row r="3089" spans="76:77" x14ac:dyDescent="0.2">
      <c r="BX3089" s="214" t="e">
        <f t="shared" si="112"/>
        <v>#DIV/0!</v>
      </c>
      <c r="BY3089" s="215">
        <f t="shared" si="113"/>
        <v>0</v>
      </c>
    </row>
    <row r="3090" spans="76:77" x14ac:dyDescent="0.2">
      <c r="BX3090" s="214" t="e">
        <f t="shared" si="112"/>
        <v>#DIV/0!</v>
      </c>
      <c r="BY3090" s="215">
        <f t="shared" si="113"/>
        <v>0</v>
      </c>
    </row>
    <row r="3091" spans="76:77" x14ac:dyDescent="0.2">
      <c r="BX3091" s="214" t="e">
        <f t="shared" si="112"/>
        <v>#DIV/0!</v>
      </c>
      <c r="BY3091" s="215">
        <f t="shared" si="113"/>
        <v>0</v>
      </c>
    </row>
    <row r="3092" spans="76:77" x14ac:dyDescent="0.2">
      <c r="BX3092" s="214" t="e">
        <f t="shared" si="112"/>
        <v>#DIV/0!</v>
      </c>
      <c r="BY3092" s="215">
        <f t="shared" si="113"/>
        <v>0</v>
      </c>
    </row>
    <row r="3093" spans="76:77" x14ac:dyDescent="0.2">
      <c r="BX3093" s="214" t="e">
        <f t="shared" si="112"/>
        <v>#DIV/0!</v>
      </c>
      <c r="BY3093" s="215">
        <f t="shared" si="113"/>
        <v>0</v>
      </c>
    </row>
    <row r="3094" spans="76:77" x14ac:dyDescent="0.2">
      <c r="BX3094" s="214" t="e">
        <f t="shared" si="112"/>
        <v>#DIV/0!</v>
      </c>
      <c r="BY3094" s="215">
        <f t="shared" si="113"/>
        <v>0</v>
      </c>
    </row>
    <row r="3095" spans="76:77" x14ac:dyDescent="0.2">
      <c r="BX3095" s="214" t="e">
        <f t="shared" si="112"/>
        <v>#DIV/0!</v>
      </c>
      <c r="BY3095" s="215">
        <f t="shared" si="113"/>
        <v>0</v>
      </c>
    </row>
    <row r="3096" spans="76:77" x14ac:dyDescent="0.2">
      <c r="BX3096" s="214" t="e">
        <f t="shared" si="112"/>
        <v>#DIV/0!</v>
      </c>
      <c r="BY3096" s="215">
        <f t="shared" si="113"/>
        <v>0</v>
      </c>
    </row>
    <row r="3097" spans="76:77" x14ac:dyDescent="0.2">
      <c r="BX3097" s="214" t="e">
        <f t="shared" si="112"/>
        <v>#DIV/0!</v>
      </c>
      <c r="BY3097" s="215">
        <f t="shared" si="113"/>
        <v>0</v>
      </c>
    </row>
    <row r="3098" spans="76:77" x14ac:dyDescent="0.2">
      <c r="BX3098" s="214" t="e">
        <f t="shared" si="112"/>
        <v>#DIV/0!</v>
      </c>
      <c r="BY3098" s="215">
        <f t="shared" si="113"/>
        <v>0</v>
      </c>
    </row>
    <row r="3099" spans="76:77" x14ac:dyDescent="0.2">
      <c r="BX3099" s="214" t="e">
        <f t="shared" si="112"/>
        <v>#DIV/0!</v>
      </c>
      <c r="BY3099" s="215">
        <f t="shared" si="113"/>
        <v>0</v>
      </c>
    </row>
    <row r="3100" spans="76:77" x14ac:dyDescent="0.2">
      <c r="BX3100" s="214" t="e">
        <f t="shared" si="112"/>
        <v>#DIV/0!</v>
      </c>
      <c r="BY3100" s="215">
        <f t="shared" si="113"/>
        <v>0</v>
      </c>
    </row>
    <row r="3101" spans="76:77" x14ac:dyDescent="0.2">
      <c r="BX3101" s="214" t="e">
        <f t="shared" si="112"/>
        <v>#DIV/0!</v>
      </c>
      <c r="BY3101" s="215">
        <f t="shared" si="113"/>
        <v>0</v>
      </c>
    </row>
    <row r="3102" spans="76:77" x14ac:dyDescent="0.2">
      <c r="BX3102" s="214" t="e">
        <f t="shared" si="112"/>
        <v>#DIV/0!</v>
      </c>
      <c r="BY3102" s="215">
        <f t="shared" si="113"/>
        <v>0</v>
      </c>
    </row>
    <row r="3103" spans="76:77" x14ac:dyDescent="0.2">
      <c r="BX3103" s="214" t="e">
        <f t="shared" si="112"/>
        <v>#DIV/0!</v>
      </c>
      <c r="BY3103" s="215">
        <f t="shared" si="113"/>
        <v>0</v>
      </c>
    </row>
    <row r="3104" spans="76:77" x14ac:dyDescent="0.2">
      <c r="BX3104" s="214" t="e">
        <f t="shared" si="112"/>
        <v>#DIV/0!</v>
      </c>
      <c r="BY3104" s="215">
        <f t="shared" si="113"/>
        <v>0</v>
      </c>
    </row>
    <row r="3105" spans="76:77" x14ac:dyDescent="0.2">
      <c r="BX3105" s="214" t="e">
        <f t="shared" si="112"/>
        <v>#DIV/0!</v>
      </c>
      <c r="BY3105" s="215">
        <f t="shared" si="113"/>
        <v>0</v>
      </c>
    </row>
    <row r="3106" spans="76:77" x14ac:dyDescent="0.2">
      <c r="BX3106" s="214" t="e">
        <f t="shared" si="112"/>
        <v>#DIV/0!</v>
      </c>
      <c r="BY3106" s="215">
        <f t="shared" si="113"/>
        <v>0</v>
      </c>
    </row>
    <row r="3107" spans="76:77" x14ac:dyDescent="0.2">
      <c r="BX3107" s="214" t="e">
        <f t="shared" si="112"/>
        <v>#DIV/0!</v>
      </c>
      <c r="BY3107" s="215">
        <f t="shared" si="113"/>
        <v>0</v>
      </c>
    </row>
    <row r="3108" spans="76:77" x14ac:dyDescent="0.2">
      <c r="BX3108" s="214" t="e">
        <f t="shared" si="112"/>
        <v>#DIV/0!</v>
      </c>
      <c r="BY3108" s="215">
        <f t="shared" si="113"/>
        <v>0</v>
      </c>
    </row>
    <row r="3109" spans="76:77" x14ac:dyDescent="0.2">
      <c r="BX3109" s="214" t="e">
        <f t="shared" si="112"/>
        <v>#DIV/0!</v>
      </c>
      <c r="BY3109" s="215">
        <f t="shared" si="113"/>
        <v>0</v>
      </c>
    </row>
    <row r="3110" spans="76:77" x14ac:dyDescent="0.2">
      <c r="BX3110" s="214" t="e">
        <f t="shared" si="112"/>
        <v>#DIV/0!</v>
      </c>
      <c r="BY3110" s="215">
        <f t="shared" si="113"/>
        <v>0</v>
      </c>
    </row>
    <row r="3111" spans="76:77" x14ac:dyDescent="0.2">
      <c r="BX3111" s="214" t="e">
        <f t="shared" si="112"/>
        <v>#DIV/0!</v>
      </c>
      <c r="BY3111" s="215">
        <f t="shared" si="113"/>
        <v>0</v>
      </c>
    </row>
    <row r="3112" spans="76:77" x14ac:dyDescent="0.2">
      <c r="BX3112" s="214" t="e">
        <f t="shared" si="112"/>
        <v>#DIV/0!</v>
      </c>
      <c r="BY3112" s="215">
        <f t="shared" si="113"/>
        <v>0</v>
      </c>
    </row>
    <row r="3113" spans="76:77" x14ac:dyDescent="0.2">
      <c r="BX3113" s="214" t="e">
        <f t="shared" si="112"/>
        <v>#DIV/0!</v>
      </c>
      <c r="BY3113" s="215">
        <f t="shared" si="113"/>
        <v>0</v>
      </c>
    </row>
    <row r="3114" spans="76:77" x14ac:dyDescent="0.2">
      <c r="BX3114" s="214" t="e">
        <f t="shared" si="112"/>
        <v>#DIV/0!</v>
      </c>
      <c r="BY3114" s="215">
        <f t="shared" si="113"/>
        <v>0</v>
      </c>
    </row>
    <row r="3115" spans="76:77" x14ac:dyDescent="0.2">
      <c r="BX3115" s="214" t="e">
        <f t="shared" si="112"/>
        <v>#DIV/0!</v>
      </c>
      <c r="BY3115" s="215">
        <f t="shared" si="113"/>
        <v>0</v>
      </c>
    </row>
    <row r="3116" spans="76:77" x14ac:dyDescent="0.2">
      <c r="BX3116" s="214" t="e">
        <f t="shared" si="112"/>
        <v>#DIV/0!</v>
      </c>
      <c r="BY3116" s="215">
        <f t="shared" si="113"/>
        <v>0</v>
      </c>
    </row>
    <row r="3117" spans="76:77" x14ac:dyDescent="0.2">
      <c r="BX3117" s="214" t="e">
        <f t="shared" si="112"/>
        <v>#DIV/0!</v>
      </c>
      <c r="BY3117" s="215">
        <f t="shared" si="113"/>
        <v>0</v>
      </c>
    </row>
    <row r="3118" spans="76:77" x14ac:dyDescent="0.2">
      <c r="BX3118" s="214" t="e">
        <f t="shared" si="112"/>
        <v>#DIV/0!</v>
      </c>
      <c r="BY3118" s="215">
        <f t="shared" si="113"/>
        <v>0</v>
      </c>
    </row>
    <row r="3119" spans="76:77" x14ac:dyDescent="0.2">
      <c r="BX3119" s="214" t="e">
        <f t="shared" si="112"/>
        <v>#DIV/0!</v>
      </c>
      <c r="BY3119" s="215">
        <f t="shared" si="113"/>
        <v>0</v>
      </c>
    </row>
    <row r="3120" spans="76:77" x14ac:dyDescent="0.2">
      <c r="BX3120" s="214" t="e">
        <f t="shared" si="112"/>
        <v>#DIV/0!</v>
      </c>
      <c r="BY3120" s="215">
        <f t="shared" si="113"/>
        <v>0</v>
      </c>
    </row>
    <row r="3121" spans="76:77" x14ac:dyDescent="0.2">
      <c r="BX3121" s="214" t="e">
        <f t="shared" si="112"/>
        <v>#DIV/0!</v>
      </c>
      <c r="BY3121" s="215">
        <f t="shared" si="113"/>
        <v>0</v>
      </c>
    </row>
    <row r="3122" spans="76:77" x14ac:dyDescent="0.2">
      <c r="BX3122" s="214" t="e">
        <f t="shared" si="112"/>
        <v>#DIV/0!</v>
      </c>
      <c r="BY3122" s="215">
        <f t="shared" si="113"/>
        <v>0</v>
      </c>
    </row>
    <row r="3123" spans="76:77" x14ac:dyDescent="0.2">
      <c r="BX3123" s="214" t="e">
        <f t="shared" si="112"/>
        <v>#DIV/0!</v>
      </c>
      <c r="BY3123" s="215">
        <f t="shared" si="113"/>
        <v>0</v>
      </c>
    </row>
    <row r="3124" spans="76:77" x14ac:dyDescent="0.2">
      <c r="BX3124" s="214" t="e">
        <f t="shared" si="112"/>
        <v>#DIV/0!</v>
      </c>
      <c r="BY3124" s="215">
        <f t="shared" si="113"/>
        <v>0</v>
      </c>
    </row>
    <row r="3125" spans="76:77" x14ac:dyDescent="0.2">
      <c r="BX3125" s="214" t="e">
        <f t="shared" si="112"/>
        <v>#DIV/0!</v>
      </c>
      <c r="BY3125" s="215">
        <f t="shared" si="113"/>
        <v>0</v>
      </c>
    </row>
    <row r="3126" spans="76:77" x14ac:dyDescent="0.2">
      <c r="BX3126" s="214" t="e">
        <f t="shared" si="112"/>
        <v>#DIV/0!</v>
      </c>
      <c r="BY3126" s="215">
        <f t="shared" si="113"/>
        <v>0</v>
      </c>
    </row>
    <row r="3127" spans="76:77" x14ac:dyDescent="0.2">
      <c r="BX3127" s="214" t="e">
        <f t="shared" si="112"/>
        <v>#DIV/0!</v>
      </c>
      <c r="BY3127" s="215">
        <f t="shared" si="113"/>
        <v>0</v>
      </c>
    </row>
    <row r="3128" spans="76:77" x14ac:dyDescent="0.2">
      <c r="BX3128" s="214" t="e">
        <f t="shared" si="112"/>
        <v>#DIV/0!</v>
      </c>
      <c r="BY3128" s="215">
        <f t="shared" si="113"/>
        <v>0</v>
      </c>
    </row>
    <row r="3129" spans="76:77" x14ac:dyDescent="0.2">
      <c r="BX3129" s="214" t="e">
        <f t="shared" si="112"/>
        <v>#DIV/0!</v>
      </c>
      <c r="BY3129" s="215">
        <f t="shared" si="113"/>
        <v>0</v>
      </c>
    </row>
    <row r="3130" spans="76:77" x14ac:dyDescent="0.2">
      <c r="BX3130" s="214" t="e">
        <f t="shared" si="112"/>
        <v>#DIV/0!</v>
      </c>
      <c r="BY3130" s="215">
        <f t="shared" si="113"/>
        <v>0</v>
      </c>
    </row>
    <row r="3131" spans="76:77" x14ac:dyDescent="0.2">
      <c r="BX3131" s="214" t="e">
        <f t="shared" si="112"/>
        <v>#DIV/0!</v>
      </c>
      <c r="BY3131" s="215">
        <f t="shared" si="113"/>
        <v>0</v>
      </c>
    </row>
    <row r="3132" spans="76:77" x14ac:dyDescent="0.2">
      <c r="BX3132" s="214" t="e">
        <f t="shared" si="112"/>
        <v>#DIV/0!</v>
      </c>
      <c r="BY3132" s="215">
        <f t="shared" si="113"/>
        <v>0</v>
      </c>
    </row>
    <row r="3133" spans="76:77" x14ac:dyDescent="0.2">
      <c r="BX3133" s="214" t="e">
        <f t="shared" si="112"/>
        <v>#DIV/0!</v>
      </c>
      <c r="BY3133" s="215">
        <f t="shared" si="113"/>
        <v>0</v>
      </c>
    </row>
    <row r="3134" spans="76:77" x14ac:dyDescent="0.2">
      <c r="BX3134" s="214" t="e">
        <f t="shared" si="112"/>
        <v>#DIV/0!</v>
      </c>
      <c r="BY3134" s="215">
        <f t="shared" si="113"/>
        <v>0</v>
      </c>
    </row>
    <row r="3135" spans="76:77" x14ac:dyDescent="0.2">
      <c r="BX3135" s="214" t="e">
        <f t="shared" si="112"/>
        <v>#DIV/0!</v>
      </c>
      <c r="BY3135" s="215">
        <f t="shared" si="113"/>
        <v>0</v>
      </c>
    </row>
    <row r="3136" spans="76:77" x14ac:dyDescent="0.2">
      <c r="BX3136" s="214" t="e">
        <f t="shared" si="112"/>
        <v>#DIV/0!</v>
      </c>
      <c r="BY3136" s="215">
        <f t="shared" si="113"/>
        <v>0</v>
      </c>
    </row>
    <row r="3137" spans="76:77" x14ac:dyDescent="0.2">
      <c r="BX3137" s="214" t="e">
        <f t="shared" si="112"/>
        <v>#DIV/0!</v>
      </c>
      <c r="BY3137" s="215">
        <f t="shared" si="113"/>
        <v>0</v>
      </c>
    </row>
    <row r="3138" spans="76:77" x14ac:dyDescent="0.2">
      <c r="BX3138" s="214" t="e">
        <f t="shared" si="112"/>
        <v>#DIV/0!</v>
      </c>
      <c r="BY3138" s="215">
        <f t="shared" si="113"/>
        <v>0</v>
      </c>
    </row>
    <row r="3139" spans="76:77" x14ac:dyDescent="0.2">
      <c r="BX3139" s="214" t="e">
        <f t="shared" si="112"/>
        <v>#DIV/0!</v>
      </c>
      <c r="BY3139" s="215">
        <f t="shared" si="113"/>
        <v>0</v>
      </c>
    </row>
    <row r="3140" spans="76:77" x14ac:dyDescent="0.2">
      <c r="BX3140" s="214" t="e">
        <f t="shared" si="112"/>
        <v>#DIV/0!</v>
      </c>
      <c r="BY3140" s="215">
        <f t="shared" si="113"/>
        <v>0</v>
      </c>
    </row>
    <row r="3141" spans="76:77" x14ac:dyDescent="0.2">
      <c r="BX3141" s="214" t="e">
        <f t="shared" si="112"/>
        <v>#DIV/0!</v>
      </c>
      <c r="BY3141" s="215">
        <f t="shared" si="113"/>
        <v>0</v>
      </c>
    </row>
    <row r="3142" spans="76:77" x14ac:dyDescent="0.2">
      <c r="BX3142" s="214" t="e">
        <f t="shared" si="112"/>
        <v>#DIV/0!</v>
      </c>
      <c r="BY3142" s="215">
        <f t="shared" si="113"/>
        <v>0</v>
      </c>
    </row>
    <row r="3143" spans="76:77" x14ac:dyDescent="0.2">
      <c r="BX3143" s="214" t="e">
        <f t="shared" si="112"/>
        <v>#DIV/0!</v>
      </c>
      <c r="BY3143" s="215">
        <f t="shared" si="113"/>
        <v>0</v>
      </c>
    </row>
    <row r="3144" spans="76:77" x14ac:dyDescent="0.2">
      <c r="BX3144" s="214" t="e">
        <f t="shared" si="112"/>
        <v>#DIV/0!</v>
      </c>
      <c r="BY3144" s="215">
        <f t="shared" si="113"/>
        <v>0</v>
      </c>
    </row>
    <row r="3145" spans="76:77" x14ac:dyDescent="0.2">
      <c r="BX3145" s="214" t="e">
        <f t="shared" si="112"/>
        <v>#DIV/0!</v>
      </c>
      <c r="BY3145" s="215">
        <f t="shared" si="113"/>
        <v>0</v>
      </c>
    </row>
    <row r="3146" spans="76:77" x14ac:dyDescent="0.2">
      <c r="BX3146" s="214" t="e">
        <f t="shared" si="112"/>
        <v>#DIV/0!</v>
      </c>
      <c r="BY3146" s="215">
        <f t="shared" si="113"/>
        <v>0</v>
      </c>
    </row>
    <row r="3147" spans="76:77" x14ac:dyDescent="0.2">
      <c r="BX3147" s="214" t="e">
        <f t="shared" si="112"/>
        <v>#DIV/0!</v>
      </c>
      <c r="BY3147" s="215">
        <f t="shared" si="113"/>
        <v>0</v>
      </c>
    </row>
    <row r="3148" spans="76:77" x14ac:dyDescent="0.2">
      <c r="BX3148" s="214" t="e">
        <f t="shared" si="112"/>
        <v>#DIV/0!</v>
      </c>
      <c r="BY3148" s="215">
        <f t="shared" si="113"/>
        <v>0</v>
      </c>
    </row>
    <row r="3149" spans="76:77" x14ac:dyDescent="0.2">
      <c r="BX3149" s="214" t="e">
        <f t="shared" ref="BX3149:BX3212" si="114">BY3149/BV3149</f>
        <v>#DIV/0!</v>
      </c>
      <c r="BY3149" s="215">
        <f t="shared" si="113"/>
        <v>0</v>
      </c>
    </row>
    <row r="3150" spans="76:77" x14ac:dyDescent="0.2">
      <c r="BX3150" s="214" t="e">
        <f t="shared" si="114"/>
        <v>#DIV/0!</v>
      </c>
      <c r="BY3150" s="215">
        <f t="shared" ref="BY3150:BY3213" si="115">BY3149+BW3150*(BV3150-BV3149)</f>
        <v>0</v>
      </c>
    </row>
    <row r="3151" spans="76:77" x14ac:dyDescent="0.2">
      <c r="BX3151" s="214" t="e">
        <f t="shared" si="114"/>
        <v>#DIV/0!</v>
      </c>
      <c r="BY3151" s="215">
        <f t="shared" si="115"/>
        <v>0</v>
      </c>
    </row>
    <row r="3152" spans="76:77" x14ac:dyDescent="0.2">
      <c r="BX3152" s="214" t="e">
        <f t="shared" si="114"/>
        <v>#DIV/0!</v>
      </c>
      <c r="BY3152" s="215">
        <f t="shared" si="115"/>
        <v>0</v>
      </c>
    </row>
    <row r="3153" spans="76:77" x14ac:dyDescent="0.2">
      <c r="BX3153" s="214" t="e">
        <f t="shared" si="114"/>
        <v>#DIV/0!</v>
      </c>
      <c r="BY3153" s="215">
        <f t="shared" si="115"/>
        <v>0</v>
      </c>
    </row>
    <row r="3154" spans="76:77" x14ac:dyDescent="0.2">
      <c r="BX3154" s="214" t="e">
        <f t="shared" si="114"/>
        <v>#DIV/0!</v>
      </c>
      <c r="BY3154" s="215">
        <f t="shared" si="115"/>
        <v>0</v>
      </c>
    </row>
    <row r="3155" spans="76:77" x14ac:dyDescent="0.2">
      <c r="BX3155" s="214" t="e">
        <f t="shared" si="114"/>
        <v>#DIV/0!</v>
      </c>
      <c r="BY3155" s="215">
        <f t="shared" si="115"/>
        <v>0</v>
      </c>
    </row>
    <row r="3156" spans="76:77" x14ac:dyDescent="0.2">
      <c r="BX3156" s="214" t="e">
        <f t="shared" si="114"/>
        <v>#DIV/0!</v>
      </c>
      <c r="BY3156" s="215">
        <f t="shared" si="115"/>
        <v>0</v>
      </c>
    </row>
    <row r="3157" spans="76:77" x14ac:dyDescent="0.2">
      <c r="BX3157" s="214" t="e">
        <f t="shared" si="114"/>
        <v>#DIV/0!</v>
      </c>
      <c r="BY3157" s="215">
        <f t="shared" si="115"/>
        <v>0</v>
      </c>
    </row>
    <row r="3158" spans="76:77" x14ac:dyDescent="0.2">
      <c r="BX3158" s="214" t="e">
        <f t="shared" si="114"/>
        <v>#DIV/0!</v>
      </c>
      <c r="BY3158" s="215">
        <f t="shared" si="115"/>
        <v>0</v>
      </c>
    </row>
    <row r="3159" spans="76:77" x14ac:dyDescent="0.2">
      <c r="BX3159" s="214" t="e">
        <f t="shared" si="114"/>
        <v>#DIV/0!</v>
      </c>
      <c r="BY3159" s="215">
        <f t="shared" si="115"/>
        <v>0</v>
      </c>
    </row>
    <row r="3160" spans="76:77" x14ac:dyDescent="0.2">
      <c r="BX3160" s="214" t="e">
        <f t="shared" si="114"/>
        <v>#DIV/0!</v>
      </c>
      <c r="BY3160" s="215">
        <f t="shared" si="115"/>
        <v>0</v>
      </c>
    </row>
    <row r="3161" spans="76:77" x14ac:dyDescent="0.2">
      <c r="BX3161" s="214" t="e">
        <f t="shared" si="114"/>
        <v>#DIV/0!</v>
      </c>
      <c r="BY3161" s="215">
        <f t="shared" si="115"/>
        <v>0</v>
      </c>
    </row>
    <row r="3162" spans="76:77" x14ac:dyDescent="0.2">
      <c r="BX3162" s="214" t="e">
        <f t="shared" si="114"/>
        <v>#DIV/0!</v>
      </c>
      <c r="BY3162" s="215">
        <f t="shared" si="115"/>
        <v>0</v>
      </c>
    </row>
    <row r="3163" spans="76:77" x14ac:dyDescent="0.2">
      <c r="BX3163" s="214" t="e">
        <f t="shared" si="114"/>
        <v>#DIV/0!</v>
      </c>
      <c r="BY3163" s="215">
        <f t="shared" si="115"/>
        <v>0</v>
      </c>
    </row>
    <row r="3164" spans="76:77" x14ac:dyDescent="0.2">
      <c r="BX3164" s="214" t="e">
        <f t="shared" si="114"/>
        <v>#DIV/0!</v>
      </c>
      <c r="BY3164" s="215">
        <f t="shared" si="115"/>
        <v>0</v>
      </c>
    </row>
    <row r="3165" spans="76:77" x14ac:dyDescent="0.2">
      <c r="BX3165" s="214" t="e">
        <f t="shared" si="114"/>
        <v>#DIV/0!</v>
      </c>
      <c r="BY3165" s="215">
        <f t="shared" si="115"/>
        <v>0</v>
      </c>
    </row>
    <row r="3166" spans="76:77" x14ac:dyDescent="0.2">
      <c r="BX3166" s="214" t="e">
        <f t="shared" si="114"/>
        <v>#DIV/0!</v>
      </c>
      <c r="BY3166" s="215">
        <f t="shared" si="115"/>
        <v>0</v>
      </c>
    </row>
    <row r="3167" spans="76:77" x14ac:dyDescent="0.2">
      <c r="BX3167" s="214" t="e">
        <f t="shared" si="114"/>
        <v>#DIV/0!</v>
      </c>
      <c r="BY3167" s="215">
        <f t="shared" si="115"/>
        <v>0</v>
      </c>
    </row>
    <row r="3168" spans="76:77" x14ac:dyDescent="0.2">
      <c r="BX3168" s="214" t="e">
        <f t="shared" si="114"/>
        <v>#DIV/0!</v>
      </c>
      <c r="BY3168" s="215">
        <f t="shared" si="115"/>
        <v>0</v>
      </c>
    </row>
    <row r="3169" spans="76:77" x14ac:dyDescent="0.2">
      <c r="BX3169" s="214" t="e">
        <f t="shared" si="114"/>
        <v>#DIV/0!</v>
      </c>
      <c r="BY3169" s="215">
        <f t="shared" si="115"/>
        <v>0</v>
      </c>
    </row>
    <row r="3170" spans="76:77" x14ac:dyDescent="0.2">
      <c r="BX3170" s="214" t="e">
        <f t="shared" si="114"/>
        <v>#DIV/0!</v>
      </c>
      <c r="BY3170" s="215">
        <f t="shared" si="115"/>
        <v>0</v>
      </c>
    </row>
    <row r="3171" spans="76:77" x14ac:dyDescent="0.2">
      <c r="BX3171" s="214" t="e">
        <f t="shared" si="114"/>
        <v>#DIV/0!</v>
      </c>
      <c r="BY3171" s="215">
        <f t="shared" si="115"/>
        <v>0</v>
      </c>
    </row>
    <row r="3172" spans="76:77" x14ac:dyDescent="0.2">
      <c r="BX3172" s="214" t="e">
        <f t="shared" si="114"/>
        <v>#DIV/0!</v>
      </c>
      <c r="BY3172" s="215">
        <f t="shared" si="115"/>
        <v>0</v>
      </c>
    </row>
    <row r="3173" spans="76:77" x14ac:dyDescent="0.2">
      <c r="BX3173" s="214" t="e">
        <f t="shared" si="114"/>
        <v>#DIV/0!</v>
      </c>
      <c r="BY3173" s="215">
        <f t="shared" si="115"/>
        <v>0</v>
      </c>
    </row>
    <row r="3174" spans="76:77" x14ac:dyDescent="0.2">
      <c r="BX3174" s="214" t="e">
        <f t="shared" si="114"/>
        <v>#DIV/0!</v>
      </c>
      <c r="BY3174" s="215">
        <f t="shared" si="115"/>
        <v>0</v>
      </c>
    </row>
    <row r="3175" spans="76:77" x14ac:dyDescent="0.2">
      <c r="BX3175" s="214" t="e">
        <f t="shared" si="114"/>
        <v>#DIV/0!</v>
      </c>
      <c r="BY3175" s="215">
        <f t="shared" si="115"/>
        <v>0</v>
      </c>
    </row>
    <row r="3176" spans="76:77" x14ac:dyDescent="0.2">
      <c r="BX3176" s="214" t="e">
        <f t="shared" si="114"/>
        <v>#DIV/0!</v>
      </c>
      <c r="BY3176" s="215">
        <f t="shared" si="115"/>
        <v>0</v>
      </c>
    </row>
    <row r="3177" spans="76:77" x14ac:dyDescent="0.2">
      <c r="BX3177" s="214" t="e">
        <f t="shared" si="114"/>
        <v>#DIV/0!</v>
      </c>
      <c r="BY3177" s="215">
        <f t="shared" si="115"/>
        <v>0</v>
      </c>
    </row>
    <row r="3178" spans="76:77" x14ac:dyDescent="0.2">
      <c r="BX3178" s="214" t="e">
        <f t="shared" si="114"/>
        <v>#DIV/0!</v>
      </c>
      <c r="BY3178" s="215">
        <f t="shared" si="115"/>
        <v>0</v>
      </c>
    </row>
    <row r="3179" spans="76:77" x14ac:dyDescent="0.2">
      <c r="BX3179" s="214" t="e">
        <f t="shared" si="114"/>
        <v>#DIV/0!</v>
      </c>
      <c r="BY3179" s="215">
        <f t="shared" si="115"/>
        <v>0</v>
      </c>
    </row>
    <row r="3180" spans="76:77" x14ac:dyDescent="0.2">
      <c r="BX3180" s="214" t="e">
        <f t="shared" si="114"/>
        <v>#DIV/0!</v>
      </c>
      <c r="BY3180" s="215">
        <f t="shared" si="115"/>
        <v>0</v>
      </c>
    </row>
    <row r="3181" spans="76:77" x14ac:dyDescent="0.2">
      <c r="BX3181" s="214" t="e">
        <f t="shared" si="114"/>
        <v>#DIV/0!</v>
      </c>
      <c r="BY3181" s="215">
        <f t="shared" si="115"/>
        <v>0</v>
      </c>
    </row>
    <row r="3182" spans="76:77" x14ac:dyDescent="0.2">
      <c r="BX3182" s="214" t="e">
        <f t="shared" si="114"/>
        <v>#DIV/0!</v>
      </c>
      <c r="BY3182" s="215">
        <f t="shared" si="115"/>
        <v>0</v>
      </c>
    </row>
    <row r="3183" spans="76:77" x14ac:dyDescent="0.2">
      <c r="BX3183" s="214" t="e">
        <f t="shared" si="114"/>
        <v>#DIV/0!</v>
      </c>
      <c r="BY3183" s="215">
        <f t="shared" si="115"/>
        <v>0</v>
      </c>
    </row>
    <row r="3184" spans="76:77" x14ac:dyDescent="0.2">
      <c r="BX3184" s="214" t="e">
        <f t="shared" si="114"/>
        <v>#DIV/0!</v>
      </c>
      <c r="BY3184" s="215">
        <f t="shared" si="115"/>
        <v>0</v>
      </c>
    </row>
    <row r="3185" spans="76:77" x14ac:dyDescent="0.2">
      <c r="BX3185" s="214" t="e">
        <f t="shared" si="114"/>
        <v>#DIV/0!</v>
      </c>
      <c r="BY3185" s="215">
        <f t="shared" si="115"/>
        <v>0</v>
      </c>
    </row>
    <row r="3186" spans="76:77" x14ac:dyDescent="0.2">
      <c r="BX3186" s="214" t="e">
        <f t="shared" si="114"/>
        <v>#DIV/0!</v>
      </c>
      <c r="BY3186" s="215">
        <f t="shared" si="115"/>
        <v>0</v>
      </c>
    </row>
    <row r="3187" spans="76:77" x14ac:dyDescent="0.2">
      <c r="BX3187" s="214" t="e">
        <f t="shared" si="114"/>
        <v>#DIV/0!</v>
      </c>
      <c r="BY3187" s="215">
        <f t="shared" si="115"/>
        <v>0</v>
      </c>
    </row>
    <row r="3188" spans="76:77" x14ac:dyDescent="0.2">
      <c r="BX3188" s="214" t="e">
        <f t="shared" si="114"/>
        <v>#DIV/0!</v>
      </c>
      <c r="BY3188" s="215">
        <f t="shared" si="115"/>
        <v>0</v>
      </c>
    </row>
    <row r="3189" spans="76:77" x14ac:dyDescent="0.2">
      <c r="BX3189" s="214" t="e">
        <f t="shared" si="114"/>
        <v>#DIV/0!</v>
      </c>
      <c r="BY3189" s="215">
        <f t="shared" si="115"/>
        <v>0</v>
      </c>
    </row>
    <row r="3190" spans="76:77" x14ac:dyDescent="0.2">
      <c r="BX3190" s="214" t="e">
        <f t="shared" si="114"/>
        <v>#DIV/0!</v>
      </c>
      <c r="BY3190" s="215">
        <f t="shared" si="115"/>
        <v>0</v>
      </c>
    </row>
    <row r="3191" spans="76:77" x14ac:dyDescent="0.2">
      <c r="BX3191" s="214" t="e">
        <f t="shared" si="114"/>
        <v>#DIV/0!</v>
      </c>
      <c r="BY3191" s="215">
        <f t="shared" si="115"/>
        <v>0</v>
      </c>
    </row>
    <row r="3192" spans="76:77" x14ac:dyDescent="0.2">
      <c r="BX3192" s="214" t="e">
        <f t="shared" si="114"/>
        <v>#DIV/0!</v>
      </c>
      <c r="BY3192" s="215">
        <f t="shared" si="115"/>
        <v>0</v>
      </c>
    </row>
    <row r="3193" spans="76:77" x14ac:dyDescent="0.2">
      <c r="BX3193" s="214" t="e">
        <f t="shared" si="114"/>
        <v>#DIV/0!</v>
      </c>
      <c r="BY3193" s="215">
        <f t="shared" si="115"/>
        <v>0</v>
      </c>
    </row>
    <row r="3194" spans="76:77" x14ac:dyDescent="0.2">
      <c r="BX3194" s="214" t="e">
        <f t="shared" si="114"/>
        <v>#DIV/0!</v>
      </c>
      <c r="BY3194" s="215">
        <f t="shared" si="115"/>
        <v>0</v>
      </c>
    </row>
    <row r="3195" spans="76:77" x14ac:dyDescent="0.2">
      <c r="BX3195" s="214" t="e">
        <f t="shared" si="114"/>
        <v>#DIV/0!</v>
      </c>
      <c r="BY3195" s="215">
        <f t="shared" si="115"/>
        <v>0</v>
      </c>
    </row>
    <row r="3196" spans="76:77" x14ac:dyDescent="0.2">
      <c r="BX3196" s="214" t="e">
        <f t="shared" si="114"/>
        <v>#DIV/0!</v>
      </c>
      <c r="BY3196" s="215">
        <f t="shared" si="115"/>
        <v>0</v>
      </c>
    </row>
    <row r="3197" spans="76:77" x14ac:dyDescent="0.2">
      <c r="BX3197" s="214" t="e">
        <f t="shared" si="114"/>
        <v>#DIV/0!</v>
      </c>
      <c r="BY3197" s="215">
        <f t="shared" si="115"/>
        <v>0</v>
      </c>
    </row>
    <row r="3198" spans="76:77" x14ac:dyDescent="0.2">
      <c r="BX3198" s="214" t="e">
        <f t="shared" si="114"/>
        <v>#DIV/0!</v>
      </c>
      <c r="BY3198" s="215">
        <f t="shared" si="115"/>
        <v>0</v>
      </c>
    </row>
    <row r="3199" spans="76:77" x14ac:dyDescent="0.2">
      <c r="BX3199" s="214" t="e">
        <f t="shared" si="114"/>
        <v>#DIV/0!</v>
      </c>
      <c r="BY3199" s="215">
        <f t="shared" si="115"/>
        <v>0</v>
      </c>
    </row>
    <row r="3200" spans="76:77" x14ac:dyDescent="0.2">
      <c r="BX3200" s="214" t="e">
        <f t="shared" si="114"/>
        <v>#DIV/0!</v>
      </c>
      <c r="BY3200" s="215">
        <f t="shared" si="115"/>
        <v>0</v>
      </c>
    </row>
    <row r="3201" spans="76:77" x14ac:dyDescent="0.2">
      <c r="BX3201" s="214" t="e">
        <f t="shared" si="114"/>
        <v>#DIV/0!</v>
      </c>
      <c r="BY3201" s="215">
        <f t="shared" si="115"/>
        <v>0</v>
      </c>
    </row>
    <row r="3202" spans="76:77" x14ac:dyDescent="0.2">
      <c r="BX3202" s="214" t="e">
        <f t="shared" si="114"/>
        <v>#DIV/0!</v>
      </c>
      <c r="BY3202" s="215">
        <f t="shared" si="115"/>
        <v>0</v>
      </c>
    </row>
    <row r="3203" spans="76:77" x14ac:dyDescent="0.2">
      <c r="BX3203" s="214" t="e">
        <f t="shared" si="114"/>
        <v>#DIV/0!</v>
      </c>
      <c r="BY3203" s="215">
        <f t="shared" si="115"/>
        <v>0</v>
      </c>
    </row>
    <row r="3204" spans="76:77" x14ac:dyDescent="0.2">
      <c r="BX3204" s="214" t="e">
        <f t="shared" si="114"/>
        <v>#DIV/0!</v>
      </c>
      <c r="BY3204" s="215">
        <f t="shared" si="115"/>
        <v>0</v>
      </c>
    </row>
    <row r="3205" spans="76:77" x14ac:dyDescent="0.2">
      <c r="BX3205" s="214" t="e">
        <f t="shared" si="114"/>
        <v>#DIV/0!</v>
      </c>
      <c r="BY3205" s="215">
        <f t="shared" si="115"/>
        <v>0</v>
      </c>
    </row>
    <row r="3206" spans="76:77" x14ac:dyDescent="0.2">
      <c r="BX3206" s="214" t="e">
        <f t="shared" si="114"/>
        <v>#DIV/0!</v>
      </c>
      <c r="BY3206" s="215">
        <f t="shared" si="115"/>
        <v>0</v>
      </c>
    </row>
    <row r="3207" spans="76:77" x14ac:dyDescent="0.2">
      <c r="BX3207" s="214" t="e">
        <f t="shared" si="114"/>
        <v>#DIV/0!</v>
      </c>
      <c r="BY3207" s="215">
        <f t="shared" si="115"/>
        <v>0</v>
      </c>
    </row>
    <row r="3208" spans="76:77" x14ac:dyDescent="0.2">
      <c r="BX3208" s="214" t="e">
        <f t="shared" si="114"/>
        <v>#DIV/0!</v>
      </c>
      <c r="BY3208" s="215">
        <f t="shared" si="115"/>
        <v>0</v>
      </c>
    </row>
    <row r="3209" spans="76:77" x14ac:dyDescent="0.2">
      <c r="BX3209" s="214" t="e">
        <f t="shared" si="114"/>
        <v>#DIV/0!</v>
      </c>
      <c r="BY3209" s="215">
        <f t="shared" si="115"/>
        <v>0</v>
      </c>
    </row>
    <row r="3210" spans="76:77" x14ac:dyDescent="0.2">
      <c r="BX3210" s="214" t="e">
        <f t="shared" si="114"/>
        <v>#DIV/0!</v>
      </c>
      <c r="BY3210" s="215">
        <f t="shared" si="115"/>
        <v>0</v>
      </c>
    </row>
    <row r="3211" spans="76:77" x14ac:dyDescent="0.2">
      <c r="BX3211" s="214" t="e">
        <f t="shared" si="114"/>
        <v>#DIV/0!</v>
      </c>
      <c r="BY3211" s="215">
        <f t="shared" si="115"/>
        <v>0</v>
      </c>
    </row>
    <row r="3212" spans="76:77" x14ac:dyDescent="0.2">
      <c r="BX3212" s="214" t="e">
        <f t="shared" si="114"/>
        <v>#DIV/0!</v>
      </c>
      <c r="BY3212" s="215">
        <f t="shared" si="115"/>
        <v>0</v>
      </c>
    </row>
    <row r="3213" spans="76:77" x14ac:dyDescent="0.2">
      <c r="BX3213" s="214" t="e">
        <f t="shared" ref="BX3213:BX3276" si="116">BY3213/BV3213</f>
        <v>#DIV/0!</v>
      </c>
      <c r="BY3213" s="215">
        <f t="shared" si="115"/>
        <v>0</v>
      </c>
    </row>
    <row r="3214" spans="76:77" x14ac:dyDescent="0.2">
      <c r="BX3214" s="214" t="e">
        <f t="shared" si="116"/>
        <v>#DIV/0!</v>
      </c>
      <c r="BY3214" s="215">
        <f t="shared" ref="BY3214:BY3277" si="117">BY3213+BW3214*(BV3214-BV3213)</f>
        <v>0</v>
      </c>
    </row>
    <row r="3215" spans="76:77" x14ac:dyDescent="0.2">
      <c r="BX3215" s="214" t="e">
        <f t="shared" si="116"/>
        <v>#DIV/0!</v>
      </c>
      <c r="BY3215" s="215">
        <f t="shared" si="117"/>
        <v>0</v>
      </c>
    </row>
    <row r="3216" spans="76:77" x14ac:dyDescent="0.2">
      <c r="BX3216" s="214" t="e">
        <f t="shared" si="116"/>
        <v>#DIV/0!</v>
      </c>
      <c r="BY3216" s="215">
        <f t="shared" si="117"/>
        <v>0</v>
      </c>
    </row>
    <row r="3217" spans="76:77" x14ac:dyDescent="0.2">
      <c r="BX3217" s="214" t="e">
        <f t="shared" si="116"/>
        <v>#DIV/0!</v>
      </c>
      <c r="BY3217" s="215">
        <f t="shared" si="117"/>
        <v>0</v>
      </c>
    </row>
    <row r="3218" spans="76:77" x14ac:dyDescent="0.2">
      <c r="BX3218" s="214" t="e">
        <f t="shared" si="116"/>
        <v>#DIV/0!</v>
      </c>
      <c r="BY3218" s="215">
        <f t="shared" si="117"/>
        <v>0</v>
      </c>
    </row>
    <row r="3219" spans="76:77" x14ac:dyDescent="0.2">
      <c r="BX3219" s="214" t="e">
        <f t="shared" si="116"/>
        <v>#DIV/0!</v>
      </c>
      <c r="BY3219" s="215">
        <f t="shared" si="117"/>
        <v>0</v>
      </c>
    </row>
    <row r="3220" spans="76:77" x14ac:dyDescent="0.2">
      <c r="BX3220" s="214" t="e">
        <f t="shared" si="116"/>
        <v>#DIV/0!</v>
      </c>
      <c r="BY3220" s="215">
        <f t="shared" si="117"/>
        <v>0</v>
      </c>
    </row>
    <row r="3221" spans="76:77" x14ac:dyDescent="0.2">
      <c r="BX3221" s="214" t="e">
        <f t="shared" si="116"/>
        <v>#DIV/0!</v>
      </c>
      <c r="BY3221" s="215">
        <f t="shared" si="117"/>
        <v>0</v>
      </c>
    </row>
    <row r="3222" spans="76:77" x14ac:dyDescent="0.2">
      <c r="BX3222" s="214" t="e">
        <f t="shared" si="116"/>
        <v>#DIV/0!</v>
      </c>
      <c r="BY3222" s="215">
        <f t="shared" si="117"/>
        <v>0</v>
      </c>
    </row>
    <row r="3223" spans="76:77" x14ac:dyDescent="0.2">
      <c r="BX3223" s="214" t="e">
        <f t="shared" si="116"/>
        <v>#DIV/0!</v>
      </c>
      <c r="BY3223" s="215">
        <f t="shared" si="117"/>
        <v>0</v>
      </c>
    </row>
    <row r="3224" spans="76:77" x14ac:dyDescent="0.2">
      <c r="BX3224" s="214" t="e">
        <f t="shared" si="116"/>
        <v>#DIV/0!</v>
      </c>
      <c r="BY3224" s="215">
        <f t="shared" si="117"/>
        <v>0</v>
      </c>
    </row>
    <row r="3225" spans="76:77" x14ac:dyDescent="0.2">
      <c r="BX3225" s="214" t="e">
        <f t="shared" si="116"/>
        <v>#DIV/0!</v>
      </c>
      <c r="BY3225" s="215">
        <f t="shared" si="117"/>
        <v>0</v>
      </c>
    </row>
    <row r="3226" spans="76:77" x14ac:dyDescent="0.2">
      <c r="BX3226" s="214" t="e">
        <f t="shared" si="116"/>
        <v>#DIV/0!</v>
      </c>
      <c r="BY3226" s="215">
        <f t="shared" si="117"/>
        <v>0</v>
      </c>
    </row>
    <row r="3227" spans="76:77" x14ac:dyDescent="0.2">
      <c r="BX3227" s="214" t="e">
        <f t="shared" si="116"/>
        <v>#DIV/0!</v>
      </c>
      <c r="BY3227" s="215">
        <f t="shared" si="117"/>
        <v>0</v>
      </c>
    </row>
    <row r="3228" spans="76:77" x14ac:dyDescent="0.2">
      <c r="BX3228" s="214" t="e">
        <f t="shared" si="116"/>
        <v>#DIV/0!</v>
      </c>
      <c r="BY3228" s="215">
        <f t="shared" si="117"/>
        <v>0</v>
      </c>
    </row>
    <row r="3229" spans="76:77" x14ac:dyDescent="0.2">
      <c r="BX3229" s="214" t="e">
        <f t="shared" si="116"/>
        <v>#DIV/0!</v>
      </c>
      <c r="BY3229" s="215">
        <f t="shared" si="117"/>
        <v>0</v>
      </c>
    </row>
    <row r="3230" spans="76:77" x14ac:dyDescent="0.2">
      <c r="BX3230" s="214" t="e">
        <f t="shared" si="116"/>
        <v>#DIV/0!</v>
      </c>
      <c r="BY3230" s="215">
        <f t="shared" si="117"/>
        <v>0</v>
      </c>
    </row>
    <row r="3231" spans="76:77" x14ac:dyDescent="0.2">
      <c r="BX3231" s="214" t="e">
        <f t="shared" si="116"/>
        <v>#DIV/0!</v>
      </c>
      <c r="BY3231" s="215">
        <f t="shared" si="117"/>
        <v>0</v>
      </c>
    </row>
    <row r="3232" spans="76:77" x14ac:dyDescent="0.2">
      <c r="BX3232" s="214" t="e">
        <f t="shared" si="116"/>
        <v>#DIV/0!</v>
      </c>
      <c r="BY3232" s="215">
        <f t="shared" si="117"/>
        <v>0</v>
      </c>
    </row>
    <row r="3233" spans="76:77" x14ac:dyDescent="0.2">
      <c r="BX3233" s="214" t="e">
        <f t="shared" si="116"/>
        <v>#DIV/0!</v>
      </c>
      <c r="BY3233" s="215">
        <f t="shared" si="117"/>
        <v>0</v>
      </c>
    </row>
    <row r="3234" spans="76:77" x14ac:dyDescent="0.2">
      <c r="BX3234" s="214" t="e">
        <f t="shared" si="116"/>
        <v>#DIV/0!</v>
      </c>
      <c r="BY3234" s="215">
        <f t="shared" si="117"/>
        <v>0</v>
      </c>
    </row>
    <row r="3235" spans="76:77" x14ac:dyDescent="0.2">
      <c r="BX3235" s="214" t="e">
        <f t="shared" si="116"/>
        <v>#DIV/0!</v>
      </c>
      <c r="BY3235" s="215">
        <f t="shared" si="117"/>
        <v>0</v>
      </c>
    </row>
    <row r="3236" spans="76:77" x14ac:dyDescent="0.2">
      <c r="BX3236" s="214" t="e">
        <f t="shared" si="116"/>
        <v>#DIV/0!</v>
      </c>
      <c r="BY3236" s="215">
        <f t="shared" si="117"/>
        <v>0</v>
      </c>
    </row>
    <row r="3237" spans="76:77" x14ac:dyDescent="0.2">
      <c r="BX3237" s="214" t="e">
        <f t="shared" si="116"/>
        <v>#DIV/0!</v>
      </c>
      <c r="BY3237" s="215">
        <f t="shared" si="117"/>
        <v>0</v>
      </c>
    </row>
    <row r="3238" spans="76:77" x14ac:dyDescent="0.2">
      <c r="BX3238" s="214" t="e">
        <f t="shared" si="116"/>
        <v>#DIV/0!</v>
      </c>
      <c r="BY3238" s="215">
        <f t="shared" si="117"/>
        <v>0</v>
      </c>
    </row>
    <row r="3239" spans="76:77" x14ac:dyDescent="0.2">
      <c r="BX3239" s="214" t="e">
        <f t="shared" si="116"/>
        <v>#DIV/0!</v>
      </c>
      <c r="BY3239" s="215">
        <f t="shared" si="117"/>
        <v>0</v>
      </c>
    </row>
    <row r="3240" spans="76:77" x14ac:dyDescent="0.2">
      <c r="BX3240" s="214" t="e">
        <f t="shared" si="116"/>
        <v>#DIV/0!</v>
      </c>
      <c r="BY3240" s="215">
        <f t="shared" si="117"/>
        <v>0</v>
      </c>
    </row>
    <row r="3241" spans="76:77" x14ac:dyDescent="0.2">
      <c r="BX3241" s="214" t="e">
        <f t="shared" si="116"/>
        <v>#DIV/0!</v>
      </c>
      <c r="BY3241" s="215">
        <f t="shared" si="117"/>
        <v>0</v>
      </c>
    </row>
    <row r="3242" spans="76:77" x14ac:dyDescent="0.2">
      <c r="BX3242" s="214" t="e">
        <f t="shared" si="116"/>
        <v>#DIV/0!</v>
      </c>
      <c r="BY3242" s="215">
        <f t="shared" si="117"/>
        <v>0</v>
      </c>
    </row>
    <row r="3243" spans="76:77" x14ac:dyDescent="0.2">
      <c r="BX3243" s="214" t="e">
        <f t="shared" si="116"/>
        <v>#DIV/0!</v>
      </c>
      <c r="BY3243" s="215">
        <f t="shared" si="117"/>
        <v>0</v>
      </c>
    </row>
    <row r="3244" spans="76:77" x14ac:dyDescent="0.2">
      <c r="BX3244" s="214" t="e">
        <f t="shared" si="116"/>
        <v>#DIV/0!</v>
      </c>
      <c r="BY3244" s="215">
        <f t="shared" si="117"/>
        <v>0</v>
      </c>
    </row>
    <row r="3245" spans="76:77" x14ac:dyDescent="0.2">
      <c r="BX3245" s="214" t="e">
        <f t="shared" si="116"/>
        <v>#DIV/0!</v>
      </c>
      <c r="BY3245" s="215">
        <f t="shared" si="117"/>
        <v>0</v>
      </c>
    </row>
    <row r="3246" spans="76:77" x14ac:dyDescent="0.2">
      <c r="BX3246" s="214" t="e">
        <f t="shared" si="116"/>
        <v>#DIV/0!</v>
      </c>
      <c r="BY3246" s="215">
        <f t="shared" si="117"/>
        <v>0</v>
      </c>
    </row>
    <row r="3247" spans="76:77" x14ac:dyDescent="0.2">
      <c r="BX3247" s="214" t="e">
        <f t="shared" si="116"/>
        <v>#DIV/0!</v>
      </c>
      <c r="BY3247" s="215">
        <f t="shared" si="117"/>
        <v>0</v>
      </c>
    </row>
    <row r="3248" spans="76:77" x14ac:dyDescent="0.2">
      <c r="BX3248" s="214" t="e">
        <f t="shared" si="116"/>
        <v>#DIV/0!</v>
      </c>
      <c r="BY3248" s="215">
        <f t="shared" si="117"/>
        <v>0</v>
      </c>
    </row>
    <row r="3249" spans="76:77" x14ac:dyDescent="0.2">
      <c r="BX3249" s="214" t="e">
        <f t="shared" si="116"/>
        <v>#DIV/0!</v>
      </c>
      <c r="BY3249" s="215">
        <f t="shared" si="117"/>
        <v>0</v>
      </c>
    </row>
    <row r="3250" spans="76:77" x14ac:dyDescent="0.2">
      <c r="BX3250" s="214" t="e">
        <f t="shared" si="116"/>
        <v>#DIV/0!</v>
      </c>
      <c r="BY3250" s="215">
        <f t="shared" si="117"/>
        <v>0</v>
      </c>
    </row>
    <row r="3251" spans="76:77" x14ac:dyDescent="0.2">
      <c r="BX3251" s="214" t="e">
        <f t="shared" si="116"/>
        <v>#DIV/0!</v>
      </c>
      <c r="BY3251" s="215">
        <f t="shared" si="117"/>
        <v>0</v>
      </c>
    </row>
    <row r="3252" spans="76:77" x14ac:dyDescent="0.2">
      <c r="BX3252" s="214" t="e">
        <f t="shared" si="116"/>
        <v>#DIV/0!</v>
      </c>
      <c r="BY3252" s="215">
        <f t="shared" si="117"/>
        <v>0</v>
      </c>
    </row>
    <row r="3253" spans="76:77" x14ac:dyDescent="0.2">
      <c r="BX3253" s="214" t="e">
        <f t="shared" si="116"/>
        <v>#DIV/0!</v>
      </c>
      <c r="BY3253" s="215">
        <f t="shared" si="117"/>
        <v>0</v>
      </c>
    </row>
    <row r="3254" spans="76:77" x14ac:dyDescent="0.2">
      <c r="BX3254" s="214" t="e">
        <f t="shared" si="116"/>
        <v>#DIV/0!</v>
      </c>
      <c r="BY3254" s="215">
        <f t="shared" si="117"/>
        <v>0</v>
      </c>
    </row>
    <row r="3255" spans="76:77" x14ac:dyDescent="0.2">
      <c r="BX3255" s="214" t="e">
        <f t="shared" si="116"/>
        <v>#DIV/0!</v>
      </c>
      <c r="BY3255" s="215">
        <f t="shared" si="117"/>
        <v>0</v>
      </c>
    </row>
    <row r="3256" spans="76:77" x14ac:dyDescent="0.2">
      <c r="BX3256" s="214" t="e">
        <f t="shared" si="116"/>
        <v>#DIV/0!</v>
      </c>
      <c r="BY3256" s="215">
        <f t="shared" si="117"/>
        <v>0</v>
      </c>
    </row>
    <row r="3257" spans="76:77" x14ac:dyDescent="0.2">
      <c r="BX3257" s="214" t="e">
        <f t="shared" si="116"/>
        <v>#DIV/0!</v>
      </c>
      <c r="BY3257" s="215">
        <f t="shared" si="117"/>
        <v>0</v>
      </c>
    </row>
    <row r="3258" spans="76:77" x14ac:dyDescent="0.2">
      <c r="BX3258" s="214" t="e">
        <f t="shared" si="116"/>
        <v>#DIV/0!</v>
      </c>
      <c r="BY3258" s="215">
        <f t="shared" si="117"/>
        <v>0</v>
      </c>
    </row>
    <row r="3259" spans="76:77" x14ac:dyDescent="0.2">
      <c r="BX3259" s="214" t="e">
        <f t="shared" si="116"/>
        <v>#DIV/0!</v>
      </c>
      <c r="BY3259" s="215">
        <f t="shared" si="117"/>
        <v>0</v>
      </c>
    </row>
    <row r="3260" spans="76:77" x14ac:dyDescent="0.2">
      <c r="BX3260" s="214" t="e">
        <f t="shared" si="116"/>
        <v>#DIV/0!</v>
      </c>
      <c r="BY3260" s="215">
        <f t="shared" si="117"/>
        <v>0</v>
      </c>
    </row>
    <row r="3261" spans="76:77" x14ac:dyDescent="0.2">
      <c r="BX3261" s="214" t="e">
        <f t="shared" si="116"/>
        <v>#DIV/0!</v>
      </c>
      <c r="BY3261" s="215">
        <f t="shared" si="117"/>
        <v>0</v>
      </c>
    </row>
    <row r="3262" spans="76:77" x14ac:dyDescent="0.2">
      <c r="BX3262" s="214" t="e">
        <f t="shared" si="116"/>
        <v>#DIV/0!</v>
      </c>
      <c r="BY3262" s="215">
        <f t="shared" si="117"/>
        <v>0</v>
      </c>
    </row>
    <row r="3263" spans="76:77" x14ac:dyDescent="0.2">
      <c r="BX3263" s="214" t="e">
        <f t="shared" si="116"/>
        <v>#DIV/0!</v>
      </c>
      <c r="BY3263" s="215">
        <f t="shared" si="117"/>
        <v>0</v>
      </c>
    </row>
    <row r="3264" spans="76:77" x14ac:dyDescent="0.2">
      <c r="BX3264" s="214" t="e">
        <f t="shared" si="116"/>
        <v>#DIV/0!</v>
      </c>
      <c r="BY3264" s="215">
        <f t="shared" si="117"/>
        <v>0</v>
      </c>
    </row>
    <row r="3265" spans="76:77" x14ac:dyDescent="0.2">
      <c r="BX3265" s="214" t="e">
        <f t="shared" si="116"/>
        <v>#DIV/0!</v>
      </c>
      <c r="BY3265" s="215">
        <f t="shared" si="117"/>
        <v>0</v>
      </c>
    </row>
    <row r="3266" spans="76:77" x14ac:dyDescent="0.2">
      <c r="BX3266" s="214" t="e">
        <f t="shared" si="116"/>
        <v>#DIV/0!</v>
      </c>
      <c r="BY3266" s="215">
        <f t="shared" si="117"/>
        <v>0</v>
      </c>
    </row>
    <row r="3267" spans="76:77" x14ac:dyDescent="0.2">
      <c r="BX3267" s="214" t="e">
        <f t="shared" si="116"/>
        <v>#DIV/0!</v>
      </c>
      <c r="BY3267" s="215">
        <f t="shared" si="117"/>
        <v>0</v>
      </c>
    </row>
    <row r="3268" spans="76:77" x14ac:dyDescent="0.2">
      <c r="BX3268" s="214" t="e">
        <f t="shared" si="116"/>
        <v>#DIV/0!</v>
      </c>
      <c r="BY3268" s="215">
        <f t="shared" si="117"/>
        <v>0</v>
      </c>
    </row>
    <row r="3269" spans="76:77" x14ac:dyDescent="0.2">
      <c r="BX3269" s="214" t="e">
        <f t="shared" si="116"/>
        <v>#DIV/0!</v>
      </c>
      <c r="BY3269" s="215">
        <f t="shared" si="117"/>
        <v>0</v>
      </c>
    </row>
    <row r="3270" spans="76:77" x14ac:dyDescent="0.2">
      <c r="BX3270" s="214" t="e">
        <f t="shared" si="116"/>
        <v>#DIV/0!</v>
      </c>
      <c r="BY3270" s="215">
        <f t="shared" si="117"/>
        <v>0</v>
      </c>
    </row>
    <row r="3271" spans="76:77" x14ac:dyDescent="0.2">
      <c r="BX3271" s="214" t="e">
        <f t="shared" si="116"/>
        <v>#DIV/0!</v>
      </c>
      <c r="BY3271" s="215">
        <f t="shared" si="117"/>
        <v>0</v>
      </c>
    </row>
    <row r="3272" spans="76:77" x14ac:dyDescent="0.2">
      <c r="BX3272" s="214" t="e">
        <f t="shared" si="116"/>
        <v>#DIV/0!</v>
      </c>
      <c r="BY3272" s="215">
        <f t="shared" si="117"/>
        <v>0</v>
      </c>
    </row>
    <row r="3273" spans="76:77" x14ac:dyDescent="0.2">
      <c r="BX3273" s="214" t="e">
        <f t="shared" si="116"/>
        <v>#DIV/0!</v>
      </c>
      <c r="BY3273" s="215">
        <f t="shared" si="117"/>
        <v>0</v>
      </c>
    </row>
    <row r="3274" spans="76:77" x14ac:dyDescent="0.2">
      <c r="BX3274" s="214" t="e">
        <f t="shared" si="116"/>
        <v>#DIV/0!</v>
      </c>
      <c r="BY3274" s="215">
        <f t="shared" si="117"/>
        <v>0</v>
      </c>
    </row>
    <row r="3275" spans="76:77" x14ac:dyDescent="0.2">
      <c r="BX3275" s="214" t="e">
        <f t="shared" si="116"/>
        <v>#DIV/0!</v>
      </c>
      <c r="BY3275" s="215">
        <f t="shared" si="117"/>
        <v>0</v>
      </c>
    </row>
    <row r="3276" spans="76:77" x14ac:dyDescent="0.2">
      <c r="BX3276" s="214" t="e">
        <f t="shared" si="116"/>
        <v>#DIV/0!</v>
      </c>
      <c r="BY3276" s="215">
        <f t="shared" si="117"/>
        <v>0</v>
      </c>
    </row>
    <row r="3277" spans="76:77" x14ac:dyDescent="0.2">
      <c r="BX3277" s="214" t="e">
        <f t="shared" ref="BX3277:BX3340" si="118">BY3277/BV3277</f>
        <v>#DIV/0!</v>
      </c>
      <c r="BY3277" s="215">
        <f t="shared" si="117"/>
        <v>0</v>
      </c>
    </row>
    <row r="3278" spans="76:77" x14ac:dyDescent="0.2">
      <c r="BX3278" s="214" t="e">
        <f t="shared" si="118"/>
        <v>#DIV/0!</v>
      </c>
      <c r="BY3278" s="215">
        <f t="shared" ref="BY3278:BY3341" si="119">BY3277+BW3278*(BV3278-BV3277)</f>
        <v>0</v>
      </c>
    </row>
    <row r="3279" spans="76:77" x14ac:dyDescent="0.2">
      <c r="BX3279" s="214" t="e">
        <f t="shared" si="118"/>
        <v>#DIV/0!</v>
      </c>
      <c r="BY3279" s="215">
        <f t="shared" si="119"/>
        <v>0</v>
      </c>
    </row>
    <row r="3280" spans="76:77" x14ac:dyDescent="0.2">
      <c r="BX3280" s="214" t="e">
        <f t="shared" si="118"/>
        <v>#DIV/0!</v>
      </c>
      <c r="BY3280" s="215">
        <f t="shared" si="119"/>
        <v>0</v>
      </c>
    </row>
    <row r="3281" spans="76:77" x14ac:dyDescent="0.2">
      <c r="BX3281" s="214" t="e">
        <f t="shared" si="118"/>
        <v>#DIV/0!</v>
      </c>
      <c r="BY3281" s="215">
        <f t="shared" si="119"/>
        <v>0</v>
      </c>
    </row>
    <row r="3282" spans="76:77" x14ac:dyDescent="0.2">
      <c r="BX3282" s="214" t="e">
        <f t="shared" si="118"/>
        <v>#DIV/0!</v>
      </c>
      <c r="BY3282" s="215">
        <f t="shared" si="119"/>
        <v>0</v>
      </c>
    </row>
    <row r="3283" spans="76:77" x14ac:dyDescent="0.2">
      <c r="BX3283" s="214" t="e">
        <f t="shared" si="118"/>
        <v>#DIV/0!</v>
      </c>
      <c r="BY3283" s="215">
        <f t="shared" si="119"/>
        <v>0</v>
      </c>
    </row>
    <row r="3284" spans="76:77" x14ac:dyDescent="0.2">
      <c r="BX3284" s="214" t="e">
        <f t="shared" si="118"/>
        <v>#DIV/0!</v>
      </c>
      <c r="BY3284" s="215">
        <f t="shared" si="119"/>
        <v>0</v>
      </c>
    </row>
    <row r="3285" spans="76:77" x14ac:dyDescent="0.2">
      <c r="BX3285" s="214" t="e">
        <f t="shared" si="118"/>
        <v>#DIV/0!</v>
      </c>
      <c r="BY3285" s="215">
        <f t="shared" si="119"/>
        <v>0</v>
      </c>
    </row>
    <row r="3286" spans="76:77" x14ac:dyDescent="0.2">
      <c r="BX3286" s="214" t="e">
        <f t="shared" si="118"/>
        <v>#DIV/0!</v>
      </c>
      <c r="BY3286" s="215">
        <f t="shared" si="119"/>
        <v>0</v>
      </c>
    </row>
    <row r="3287" spans="76:77" x14ac:dyDescent="0.2">
      <c r="BX3287" s="214" t="e">
        <f t="shared" si="118"/>
        <v>#DIV/0!</v>
      </c>
      <c r="BY3287" s="215">
        <f t="shared" si="119"/>
        <v>0</v>
      </c>
    </row>
    <row r="3288" spans="76:77" x14ac:dyDescent="0.2">
      <c r="BX3288" s="214" t="e">
        <f t="shared" si="118"/>
        <v>#DIV/0!</v>
      </c>
      <c r="BY3288" s="215">
        <f t="shared" si="119"/>
        <v>0</v>
      </c>
    </row>
    <row r="3289" spans="76:77" x14ac:dyDescent="0.2">
      <c r="BX3289" s="214" t="e">
        <f t="shared" si="118"/>
        <v>#DIV/0!</v>
      </c>
      <c r="BY3289" s="215">
        <f t="shared" si="119"/>
        <v>0</v>
      </c>
    </row>
    <row r="3290" spans="76:77" x14ac:dyDescent="0.2">
      <c r="BX3290" s="214" t="e">
        <f t="shared" si="118"/>
        <v>#DIV/0!</v>
      </c>
      <c r="BY3290" s="215">
        <f t="shared" si="119"/>
        <v>0</v>
      </c>
    </row>
    <row r="3291" spans="76:77" x14ac:dyDescent="0.2">
      <c r="BX3291" s="214" t="e">
        <f t="shared" si="118"/>
        <v>#DIV/0!</v>
      </c>
      <c r="BY3291" s="215">
        <f t="shared" si="119"/>
        <v>0</v>
      </c>
    </row>
    <row r="3292" spans="76:77" x14ac:dyDescent="0.2">
      <c r="BX3292" s="214" t="e">
        <f t="shared" si="118"/>
        <v>#DIV/0!</v>
      </c>
      <c r="BY3292" s="215">
        <f t="shared" si="119"/>
        <v>0</v>
      </c>
    </row>
    <row r="3293" spans="76:77" x14ac:dyDescent="0.2">
      <c r="BX3293" s="214" t="e">
        <f t="shared" si="118"/>
        <v>#DIV/0!</v>
      </c>
      <c r="BY3293" s="215">
        <f t="shared" si="119"/>
        <v>0</v>
      </c>
    </row>
    <row r="3294" spans="76:77" x14ac:dyDescent="0.2">
      <c r="BX3294" s="214" t="e">
        <f t="shared" si="118"/>
        <v>#DIV/0!</v>
      </c>
      <c r="BY3294" s="215">
        <f t="shared" si="119"/>
        <v>0</v>
      </c>
    </row>
    <row r="3295" spans="76:77" x14ac:dyDescent="0.2">
      <c r="BX3295" s="214" t="e">
        <f t="shared" si="118"/>
        <v>#DIV/0!</v>
      </c>
      <c r="BY3295" s="215">
        <f t="shared" si="119"/>
        <v>0</v>
      </c>
    </row>
    <row r="3296" spans="76:77" x14ac:dyDescent="0.2">
      <c r="BX3296" s="214" t="e">
        <f t="shared" si="118"/>
        <v>#DIV/0!</v>
      </c>
      <c r="BY3296" s="215">
        <f t="shared" si="119"/>
        <v>0</v>
      </c>
    </row>
    <row r="3297" spans="76:77" x14ac:dyDescent="0.2">
      <c r="BX3297" s="214" t="e">
        <f t="shared" si="118"/>
        <v>#DIV/0!</v>
      </c>
      <c r="BY3297" s="215">
        <f t="shared" si="119"/>
        <v>0</v>
      </c>
    </row>
    <row r="3298" spans="76:77" x14ac:dyDescent="0.2">
      <c r="BX3298" s="214" t="e">
        <f t="shared" si="118"/>
        <v>#DIV/0!</v>
      </c>
      <c r="BY3298" s="215">
        <f t="shared" si="119"/>
        <v>0</v>
      </c>
    </row>
    <row r="3299" spans="76:77" x14ac:dyDescent="0.2">
      <c r="BX3299" s="214" t="e">
        <f t="shared" si="118"/>
        <v>#DIV/0!</v>
      </c>
      <c r="BY3299" s="215">
        <f t="shared" si="119"/>
        <v>0</v>
      </c>
    </row>
    <row r="3300" spans="76:77" x14ac:dyDescent="0.2">
      <c r="BX3300" s="214" t="e">
        <f t="shared" si="118"/>
        <v>#DIV/0!</v>
      </c>
      <c r="BY3300" s="215">
        <f t="shared" si="119"/>
        <v>0</v>
      </c>
    </row>
    <row r="3301" spans="76:77" x14ac:dyDescent="0.2">
      <c r="BX3301" s="214" t="e">
        <f t="shared" si="118"/>
        <v>#DIV/0!</v>
      </c>
      <c r="BY3301" s="215">
        <f t="shared" si="119"/>
        <v>0</v>
      </c>
    </row>
    <row r="3302" spans="76:77" x14ac:dyDescent="0.2">
      <c r="BX3302" s="214" t="e">
        <f t="shared" si="118"/>
        <v>#DIV/0!</v>
      </c>
      <c r="BY3302" s="215">
        <f t="shared" si="119"/>
        <v>0</v>
      </c>
    </row>
    <row r="3303" spans="76:77" x14ac:dyDescent="0.2">
      <c r="BX3303" s="214" t="e">
        <f t="shared" si="118"/>
        <v>#DIV/0!</v>
      </c>
      <c r="BY3303" s="215">
        <f t="shared" si="119"/>
        <v>0</v>
      </c>
    </row>
    <row r="3304" spans="76:77" x14ac:dyDescent="0.2">
      <c r="BX3304" s="214" t="e">
        <f t="shared" si="118"/>
        <v>#DIV/0!</v>
      </c>
      <c r="BY3304" s="215">
        <f t="shared" si="119"/>
        <v>0</v>
      </c>
    </row>
    <row r="3305" spans="76:77" x14ac:dyDescent="0.2">
      <c r="BX3305" s="214" t="e">
        <f t="shared" si="118"/>
        <v>#DIV/0!</v>
      </c>
      <c r="BY3305" s="215">
        <f t="shared" si="119"/>
        <v>0</v>
      </c>
    </row>
    <row r="3306" spans="76:77" x14ac:dyDescent="0.2">
      <c r="BX3306" s="214" t="e">
        <f t="shared" si="118"/>
        <v>#DIV/0!</v>
      </c>
      <c r="BY3306" s="215">
        <f t="shared" si="119"/>
        <v>0</v>
      </c>
    </row>
    <row r="3307" spans="76:77" x14ac:dyDescent="0.2">
      <c r="BX3307" s="214" t="e">
        <f t="shared" si="118"/>
        <v>#DIV/0!</v>
      </c>
      <c r="BY3307" s="215">
        <f t="shared" si="119"/>
        <v>0</v>
      </c>
    </row>
    <row r="3308" spans="76:77" x14ac:dyDescent="0.2">
      <c r="BX3308" s="214" t="e">
        <f t="shared" si="118"/>
        <v>#DIV/0!</v>
      </c>
      <c r="BY3308" s="215">
        <f t="shared" si="119"/>
        <v>0</v>
      </c>
    </row>
    <row r="3309" spans="76:77" x14ac:dyDescent="0.2">
      <c r="BX3309" s="214" t="e">
        <f t="shared" si="118"/>
        <v>#DIV/0!</v>
      </c>
      <c r="BY3309" s="215">
        <f t="shared" si="119"/>
        <v>0</v>
      </c>
    </row>
    <row r="3310" spans="76:77" x14ac:dyDescent="0.2">
      <c r="BX3310" s="214" t="e">
        <f t="shared" si="118"/>
        <v>#DIV/0!</v>
      </c>
      <c r="BY3310" s="215">
        <f t="shared" si="119"/>
        <v>0</v>
      </c>
    </row>
    <row r="3311" spans="76:77" x14ac:dyDescent="0.2">
      <c r="BX3311" s="214" t="e">
        <f t="shared" si="118"/>
        <v>#DIV/0!</v>
      </c>
      <c r="BY3311" s="215">
        <f t="shared" si="119"/>
        <v>0</v>
      </c>
    </row>
    <row r="3312" spans="76:77" x14ac:dyDescent="0.2">
      <c r="BX3312" s="214" t="e">
        <f t="shared" si="118"/>
        <v>#DIV/0!</v>
      </c>
      <c r="BY3312" s="215">
        <f t="shared" si="119"/>
        <v>0</v>
      </c>
    </row>
    <row r="3313" spans="76:77" x14ac:dyDescent="0.2">
      <c r="BX3313" s="214" t="e">
        <f t="shared" si="118"/>
        <v>#DIV/0!</v>
      </c>
      <c r="BY3313" s="215">
        <f t="shared" si="119"/>
        <v>0</v>
      </c>
    </row>
    <row r="3314" spans="76:77" x14ac:dyDescent="0.2">
      <c r="BX3314" s="214" t="e">
        <f t="shared" si="118"/>
        <v>#DIV/0!</v>
      </c>
      <c r="BY3314" s="215">
        <f t="shared" si="119"/>
        <v>0</v>
      </c>
    </row>
    <row r="3315" spans="76:77" x14ac:dyDescent="0.2">
      <c r="BX3315" s="214" t="e">
        <f t="shared" si="118"/>
        <v>#DIV/0!</v>
      </c>
      <c r="BY3315" s="215">
        <f t="shared" si="119"/>
        <v>0</v>
      </c>
    </row>
    <row r="3316" spans="76:77" x14ac:dyDescent="0.2">
      <c r="BX3316" s="214" t="e">
        <f t="shared" si="118"/>
        <v>#DIV/0!</v>
      </c>
      <c r="BY3316" s="215">
        <f t="shared" si="119"/>
        <v>0</v>
      </c>
    </row>
    <row r="3317" spans="76:77" x14ac:dyDescent="0.2">
      <c r="BX3317" s="214" t="e">
        <f t="shared" si="118"/>
        <v>#DIV/0!</v>
      </c>
      <c r="BY3317" s="215">
        <f t="shared" si="119"/>
        <v>0</v>
      </c>
    </row>
    <row r="3318" spans="76:77" x14ac:dyDescent="0.2">
      <c r="BX3318" s="214" t="e">
        <f t="shared" si="118"/>
        <v>#DIV/0!</v>
      </c>
      <c r="BY3318" s="215">
        <f t="shared" si="119"/>
        <v>0</v>
      </c>
    </row>
    <row r="3319" spans="76:77" x14ac:dyDescent="0.2">
      <c r="BX3319" s="214" t="e">
        <f t="shared" si="118"/>
        <v>#DIV/0!</v>
      </c>
      <c r="BY3319" s="215">
        <f t="shared" si="119"/>
        <v>0</v>
      </c>
    </row>
    <row r="3320" spans="76:77" x14ac:dyDescent="0.2">
      <c r="BX3320" s="214" t="e">
        <f t="shared" si="118"/>
        <v>#DIV/0!</v>
      </c>
      <c r="BY3320" s="215">
        <f t="shared" si="119"/>
        <v>0</v>
      </c>
    </row>
    <row r="3321" spans="76:77" x14ac:dyDescent="0.2">
      <c r="BX3321" s="214" t="e">
        <f t="shared" si="118"/>
        <v>#DIV/0!</v>
      </c>
      <c r="BY3321" s="215">
        <f t="shared" si="119"/>
        <v>0</v>
      </c>
    </row>
    <row r="3322" spans="76:77" x14ac:dyDescent="0.2">
      <c r="BX3322" s="214" t="e">
        <f t="shared" si="118"/>
        <v>#DIV/0!</v>
      </c>
      <c r="BY3322" s="215">
        <f t="shared" si="119"/>
        <v>0</v>
      </c>
    </row>
    <row r="3323" spans="76:77" x14ac:dyDescent="0.2">
      <c r="BX3323" s="214" t="e">
        <f t="shared" si="118"/>
        <v>#DIV/0!</v>
      </c>
      <c r="BY3323" s="215">
        <f t="shared" si="119"/>
        <v>0</v>
      </c>
    </row>
    <row r="3324" spans="76:77" x14ac:dyDescent="0.2">
      <c r="BX3324" s="214" t="e">
        <f t="shared" si="118"/>
        <v>#DIV/0!</v>
      </c>
      <c r="BY3324" s="215">
        <f t="shared" si="119"/>
        <v>0</v>
      </c>
    </row>
    <row r="3325" spans="76:77" x14ac:dyDescent="0.2">
      <c r="BX3325" s="214" t="e">
        <f t="shared" si="118"/>
        <v>#DIV/0!</v>
      </c>
      <c r="BY3325" s="215">
        <f t="shared" si="119"/>
        <v>0</v>
      </c>
    </row>
    <row r="3326" spans="76:77" x14ac:dyDescent="0.2">
      <c r="BX3326" s="214" t="e">
        <f t="shared" si="118"/>
        <v>#DIV/0!</v>
      </c>
      <c r="BY3326" s="215">
        <f t="shared" si="119"/>
        <v>0</v>
      </c>
    </row>
    <row r="3327" spans="76:77" x14ac:dyDescent="0.2">
      <c r="BX3327" s="214" t="e">
        <f t="shared" si="118"/>
        <v>#DIV/0!</v>
      </c>
      <c r="BY3327" s="215">
        <f t="shared" si="119"/>
        <v>0</v>
      </c>
    </row>
    <row r="3328" spans="76:77" x14ac:dyDescent="0.2">
      <c r="BX3328" s="214" t="e">
        <f t="shared" si="118"/>
        <v>#DIV/0!</v>
      </c>
      <c r="BY3328" s="215">
        <f t="shared" si="119"/>
        <v>0</v>
      </c>
    </row>
    <row r="3329" spans="76:77" x14ac:dyDescent="0.2">
      <c r="BX3329" s="214" t="e">
        <f t="shared" si="118"/>
        <v>#DIV/0!</v>
      </c>
      <c r="BY3329" s="215">
        <f t="shared" si="119"/>
        <v>0</v>
      </c>
    </row>
    <row r="3330" spans="76:77" x14ac:dyDescent="0.2">
      <c r="BX3330" s="214" t="e">
        <f t="shared" si="118"/>
        <v>#DIV/0!</v>
      </c>
      <c r="BY3330" s="215">
        <f t="shared" si="119"/>
        <v>0</v>
      </c>
    </row>
    <row r="3331" spans="76:77" x14ac:dyDescent="0.2">
      <c r="BX3331" s="214" t="e">
        <f t="shared" si="118"/>
        <v>#DIV/0!</v>
      </c>
      <c r="BY3331" s="215">
        <f t="shared" si="119"/>
        <v>0</v>
      </c>
    </row>
    <row r="3332" spans="76:77" x14ac:dyDescent="0.2">
      <c r="BX3332" s="214" t="e">
        <f t="shared" si="118"/>
        <v>#DIV/0!</v>
      </c>
      <c r="BY3332" s="215">
        <f t="shared" si="119"/>
        <v>0</v>
      </c>
    </row>
    <row r="3333" spans="76:77" x14ac:dyDescent="0.2">
      <c r="BX3333" s="214" t="e">
        <f t="shared" si="118"/>
        <v>#DIV/0!</v>
      </c>
      <c r="BY3333" s="215">
        <f t="shared" si="119"/>
        <v>0</v>
      </c>
    </row>
    <row r="3334" spans="76:77" x14ac:dyDescent="0.2">
      <c r="BX3334" s="214" t="e">
        <f t="shared" si="118"/>
        <v>#DIV/0!</v>
      </c>
      <c r="BY3334" s="215">
        <f t="shared" si="119"/>
        <v>0</v>
      </c>
    </row>
    <row r="3335" spans="76:77" x14ac:dyDescent="0.2">
      <c r="BX3335" s="214" t="e">
        <f t="shared" si="118"/>
        <v>#DIV/0!</v>
      </c>
      <c r="BY3335" s="215">
        <f t="shared" si="119"/>
        <v>0</v>
      </c>
    </row>
    <row r="3336" spans="76:77" x14ac:dyDescent="0.2">
      <c r="BX3336" s="214" t="e">
        <f t="shared" si="118"/>
        <v>#DIV/0!</v>
      </c>
      <c r="BY3336" s="215">
        <f t="shared" si="119"/>
        <v>0</v>
      </c>
    </row>
    <row r="3337" spans="76:77" x14ac:dyDescent="0.2">
      <c r="BX3337" s="214" t="e">
        <f t="shared" si="118"/>
        <v>#DIV/0!</v>
      </c>
      <c r="BY3337" s="215">
        <f t="shared" si="119"/>
        <v>0</v>
      </c>
    </row>
    <row r="3338" spans="76:77" x14ac:dyDescent="0.2">
      <c r="BX3338" s="214" t="e">
        <f t="shared" si="118"/>
        <v>#DIV/0!</v>
      </c>
      <c r="BY3338" s="215">
        <f t="shared" si="119"/>
        <v>0</v>
      </c>
    </row>
    <row r="3339" spans="76:77" x14ac:dyDescent="0.2">
      <c r="BX3339" s="214" t="e">
        <f t="shared" si="118"/>
        <v>#DIV/0!</v>
      </c>
      <c r="BY3339" s="215">
        <f t="shared" si="119"/>
        <v>0</v>
      </c>
    </row>
    <row r="3340" spans="76:77" x14ac:dyDescent="0.2">
      <c r="BX3340" s="214" t="e">
        <f t="shared" si="118"/>
        <v>#DIV/0!</v>
      </c>
      <c r="BY3340" s="215">
        <f t="shared" si="119"/>
        <v>0</v>
      </c>
    </row>
    <row r="3341" spans="76:77" x14ac:dyDescent="0.2">
      <c r="BX3341" s="214" t="e">
        <f t="shared" ref="BX3341:BX3404" si="120">BY3341/BV3341</f>
        <v>#DIV/0!</v>
      </c>
      <c r="BY3341" s="215">
        <f t="shared" si="119"/>
        <v>0</v>
      </c>
    </row>
    <row r="3342" spans="76:77" x14ac:dyDescent="0.2">
      <c r="BX3342" s="214" t="e">
        <f t="shared" si="120"/>
        <v>#DIV/0!</v>
      </c>
      <c r="BY3342" s="215">
        <f t="shared" ref="BY3342:BY3405" si="121">BY3341+BW3342*(BV3342-BV3341)</f>
        <v>0</v>
      </c>
    </row>
    <row r="3343" spans="76:77" x14ac:dyDescent="0.2">
      <c r="BX3343" s="214" t="e">
        <f t="shared" si="120"/>
        <v>#DIV/0!</v>
      </c>
      <c r="BY3343" s="215">
        <f t="shared" si="121"/>
        <v>0</v>
      </c>
    </row>
    <row r="3344" spans="76:77" x14ac:dyDescent="0.2">
      <c r="BX3344" s="214" t="e">
        <f t="shared" si="120"/>
        <v>#DIV/0!</v>
      </c>
      <c r="BY3344" s="215">
        <f t="shared" si="121"/>
        <v>0</v>
      </c>
    </row>
    <row r="3345" spans="76:77" x14ac:dyDescent="0.2">
      <c r="BX3345" s="214" t="e">
        <f t="shared" si="120"/>
        <v>#DIV/0!</v>
      </c>
      <c r="BY3345" s="215">
        <f t="shared" si="121"/>
        <v>0</v>
      </c>
    </row>
    <row r="3346" spans="76:77" x14ac:dyDescent="0.2">
      <c r="BX3346" s="214" t="e">
        <f t="shared" si="120"/>
        <v>#DIV/0!</v>
      </c>
      <c r="BY3346" s="215">
        <f t="shared" si="121"/>
        <v>0</v>
      </c>
    </row>
    <row r="3347" spans="76:77" x14ac:dyDescent="0.2">
      <c r="BX3347" s="214" t="e">
        <f t="shared" si="120"/>
        <v>#DIV/0!</v>
      </c>
      <c r="BY3347" s="215">
        <f t="shared" si="121"/>
        <v>0</v>
      </c>
    </row>
    <row r="3348" spans="76:77" x14ac:dyDescent="0.2">
      <c r="BX3348" s="214" t="e">
        <f t="shared" si="120"/>
        <v>#DIV/0!</v>
      </c>
      <c r="BY3348" s="215">
        <f t="shared" si="121"/>
        <v>0</v>
      </c>
    </row>
    <row r="3349" spans="76:77" x14ac:dyDescent="0.2">
      <c r="BX3349" s="214" t="e">
        <f t="shared" si="120"/>
        <v>#DIV/0!</v>
      </c>
      <c r="BY3349" s="215">
        <f t="shared" si="121"/>
        <v>0</v>
      </c>
    </row>
    <row r="3350" spans="76:77" x14ac:dyDescent="0.2">
      <c r="BX3350" s="214" t="e">
        <f t="shared" si="120"/>
        <v>#DIV/0!</v>
      </c>
      <c r="BY3350" s="215">
        <f t="shared" si="121"/>
        <v>0</v>
      </c>
    </row>
    <row r="3351" spans="76:77" x14ac:dyDescent="0.2">
      <c r="BX3351" s="214" t="e">
        <f t="shared" si="120"/>
        <v>#DIV/0!</v>
      </c>
      <c r="BY3351" s="215">
        <f t="shared" si="121"/>
        <v>0</v>
      </c>
    </row>
    <row r="3352" spans="76:77" x14ac:dyDescent="0.2">
      <c r="BX3352" s="214" t="e">
        <f t="shared" si="120"/>
        <v>#DIV/0!</v>
      </c>
      <c r="BY3352" s="215">
        <f t="shared" si="121"/>
        <v>0</v>
      </c>
    </row>
    <row r="3353" spans="76:77" x14ac:dyDescent="0.2">
      <c r="BX3353" s="214" t="e">
        <f t="shared" si="120"/>
        <v>#DIV/0!</v>
      </c>
      <c r="BY3353" s="215">
        <f t="shared" si="121"/>
        <v>0</v>
      </c>
    </row>
    <row r="3354" spans="76:77" x14ac:dyDescent="0.2">
      <c r="BX3354" s="214" t="e">
        <f t="shared" si="120"/>
        <v>#DIV/0!</v>
      </c>
      <c r="BY3354" s="215">
        <f t="shared" si="121"/>
        <v>0</v>
      </c>
    </row>
    <row r="3355" spans="76:77" x14ac:dyDescent="0.2">
      <c r="BX3355" s="214" t="e">
        <f t="shared" si="120"/>
        <v>#DIV/0!</v>
      </c>
      <c r="BY3355" s="215">
        <f t="shared" si="121"/>
        <v>0</v>
      </c>
    </row>
    <row r="3356" spans="76:77" x14ac:dyDescent="0.2">
      <c r="BX3356" s="214" t="e">
        <f t="shared" si="120"/>
        <v>#DIV/0!</v>
      </c>
      <c r="BY3356" s="215">
        <f t="shared" si="121"/>
        <v>0</v>
      </c>
    </row>
    <row r="3357" spans="76:77" x14ac:dyDescent="0.2">
      <c r="BX3357" s="214" t="e">
        <f t="shared" si="120"/>
        <v>#DIV/0!</v>
      </c>
      <c r="BY3357" s="215">
        <f t="shared" si="121"/>
        <v>0</v>
      </c>
    </row>
    <row r="3358" spans="76:77" x14ac:dyDescent="0.2">
      <c r="BX3358" s="214" t="e">
        <f t="shared" si="120"/>
        <v>#DIV/0!</v>
      </c>
      <c r="BY3358" s="215">
        <f t="shared" si="121"/>
        <v>0</v>
      </c>
    </row>
    <row r="3359" spans="76:77" x14ac:dyDescent="0.2">
      <c r="BX3359" s="214" t="e">
        <f t="shared" si="120"/>
        <v>#DIV/0!</v>
      </c>
      <c r="BY3359" s="215">
        <f t="shared" si="121"/>
        <v>0</v>
      </c>
    </row>
    <row r="3360" spans="76:77" x14ac:dyDescent="0.2">
      <c r="BX3360" s="214" t="e">
        <f t="shared" si="120"/>
        <v>#DIV/0!</v>
      </c>
      <c r="BY3360" s="215">
        <f t="shared" si="121"/>
        <v>0</v>
      </c>
    </row>
    <row r="3361" spans="76:77" x14ac:dyDescent="0.2">
      <c r="BX3361" s="214" t="e">
        <f t="shared" si="120"/>
        <v>#DIV/0!</v>
      </c>
      <c r="BY3361" s="215">
        <f t="shared" si="121"/>
        <v>0</v>
      </c>
    </row>
    <row r="3362" spans="76:77" x14ac:dyDescent="0.2">
      <c r="BX3362" s="214" t="e">
        <f t="shared" si="120"/>
        <v>#DIV/0!</v>
      </c>
      <c r="BY3362" s="215">
        <f t="shared" si="121"/>
        <v>0</v>
      </c>
    </row>
    <row r="3363" spans="76:77" x14ac:dyDescent="0.2">
      <c r="BX3363" s="214" t="e">
        <f t="shared" si="120"/>
        <v>#DIV/0!</v>
      </c>
      <c r="BY3363" s="215">
        <f t="shared" si="121"/>
        <v>0</v>
      </c>
    </row>
    <row r="3364" spans="76:77" x14ac:dyDescent="0.2">
      <c r="BX3364" s="214" t="e">
        <f t="shared" si="120"/>
        <v>#DIV/0!</v>
      </c>
      <c r="BY3364" s="215">
        <f t="shared" si="121"/>
        <v>0</v>
      </c>
    </row>
    <row r="3365" spans="76:77" x14ac:dyDescent="0.2">
      <c r="BX3365" s="214" t="e">
        <f t="shared" si="120"/>
        <v>#DIV/0!</v>
      </c>
      <c r="BY3365" s="215">
        <f t="shared" si="121"/>
        <v>0</v>
      </c>
    </row>
    <row r="3366" spans="76:77" x14ac:dyDescent="0.2">
      <c r="BX3366" s="214" t="e">
        <f t="shared" si="120"/>
        <v>#DIV/0!</v>
      </c>
      <c r="BY3366" s="215">
        <f t="shared" si="121"/>
        <v>0</v>
      </c>
    </row>
    <row r="3367" spans="76:77" x14ac:dyDescent="0.2">
      <c r="BX3367" s="214" t="e">
        <f t="shared" si="120"/>
        <v>#DIV/0!</v>
      </c>
      <c r="BY3367" s="215">
        <f t="shared" si="121"/>
        <v>0</v>
      </c>
    </row>
    <row r="3368" spans="76:77" x14ac:dyDescent="0.2">
      <c r="BX3368" s="214" t="e">
        <f t="shared" si="120"/>
        <v>#DIV/0!</v>
      </c>
      <c r="BY3368" s="215">
        <f t="shared" si="121"/>
        <v>0</v>
      </c>
    </row>
    <row r="3369" spans="76:77" x14ac:dyDescent="0.2">
      <c r="BX3369" s="214" t="e">
        <f t="shared" si="120"/>
        <v>#DIV/0!</v>
      </c>
      <c r="BY3369" s="215">
        <f t="shared" si="121"/>
        <v>0</v>
      </c>
    </row>
    <row r="3370" spans="76:77" x14ac:dyDescent="0.2">
      <c r="BX3370" s="214" t="e">
        <f t="shared" si="120"/>
        <v>#DIV/0!</v>
      </c>
      <c r="BY3370" s="215">
        <f t="shared" si="121"/>
        <v>0</v>
      </c>
    </row>
    <row r="3371" spans="76:77" x14ac:dyDescent="0.2">
      <c r="BX3371" s="214" t="e">
        <f t="shared" si="120"/>
        <v>#DIV/0!</v>
      </c>
      <c r="BY3371" s="215">
        <f t="shared" si="121"/>
        <v>0</v>
      </c>
    </row>
    <row r="3372" spans="76:77" x14ac:dyDescent="0.2">
      <c r="BX3372" s="214" t="e">
        <f t="shared" si="120"/>
        <v>#DIV/0!</v>
      </c>
      <c r="BY3372" s="215">
        <f t="shared" si="121"/>
        <v>0</v>
      </c>
    </row>
    <row r="3373" spans="76:77" x14ac:dyDescent="0.2">
      <c r="BX3373" s="214" t="e">
        <f t="shared" si="120"/>
        <v>#DIV/0!</v>
      </c>
      <c r="BY3373" s="215">
        <f t="shared" si="121"/>
        <v>0</v>
      </c>
    </row>
    <row r="3374" spans="76:77" x14ac:dyDescent="0.2">
      <c r="BX3374" s="214" t="e">
        <f t="shared" si="120"/>
        <v>#DIV/0!</v>
      </c>
      <c r="BY3374" s="215">
        <f t="shared" si="121"/>
        <v>0</v>
      </c>
    </row>
    <row r="3375" spans="76:77" x14ac:dyDescent="0.2">
      <c r="BX3375" s="214" t="e">
        <f t="shared" si="120"/>
        <v>#DIV/0!</v>
      </c>
      <c r="BY3375" s="215">
        <f t="shared" si="121"/>
        <v>0</v>
      </c>
    </row>
    <row r="3376" spans="76:77" x14ac:dyDescent="0.2">
      <c r="BX3376" s="214" t="e">
        <f t="shared" si="120"/>
        <v>#DIV/0!</v>
      </c>
      <c r="BY3376" s="215">
        <f t="shared" si="121"/>
        <v>0</v>
      </c>
    </row>
    <row r="3377" spans="76:77" x14ac:dyDescent="0.2">
      <c r="BX3377" s="214" t="e">
        <f t="shared" si="120"/>
        <v>#DIV/0!</v>
      </c>
      <c r="BY3377" s="215">
        <f t="shared" si="121"/>
        <v>0</v>
      </c>
    </row>
    <row r="3378" spans="76:77" x14ac:dyDescent="0.2">
      <c r="BX3378" s="214" t="e">
        <f t="shared" si="120"/>
        <v>#DIV/0!</v>
      </c>
      <c r="BY3378" s="215">
        <f t="shared" si="121"/>
        <v>0</v>
      </c>
    </row>
    <row r="3379" spans="76:77" x14ac:dyDescent="0.2">
      <c r="BX3379" s="214" t="e">
        <f t="shared" si="120"/>
        <v>#DIV/0!</v>
      </c>
      <c r="BY3379" s="215">
        <f t="shared" si="121"/>
        <v>0</v>
      </c>
    </row>
    <row r="3380" spans="76:77" x14ac:dyDescent="0.2">
      <c r="BX3380" s="214" t="e">
        <f t="shared" si="120"/>
        <v>#DIV/0!</v>
      </c>
      <c r="BY3380" s="215">
        <f t="shared" si="121"/>
        <v>0</v>
      </c>
    </row>
    <row r="3381" spans="76:77" x14ac:dyDescent="0.2">
      <c r="BX3381" s="214" t="e">
        <f t="shared" si="120"/>
        <v>#DIV/0!</v>
      </c>
      <c r="BY3381" s="215">
        <f t="shared" si="121"/>
        <v>0</v>
      </c>
    </row>
    <row r="3382" spans="76:77" x14ac:dyDescent="0.2">
      <c r="BX3382" s="214" t="e">
        <f t="shared" si="120"/>
        <v>#DIV/0!</v>
      </c>
      <c r="BY3382" s="215">
        <f t="shared" si="121"/>
        <v>0</v>
      </c>
    </row>
    <row r="3383" spans="76:77" x14ac:dyDescent="0.2">
      <c r="BX3383" s="214" t="e">
        <f t="shared" si="120"/>
        <v>#DIV/0!</v>
      </c>
      <c r="BY3383" s="215">
        <f t="shared" si="121"/>
        <v>0</v>
      </c>
    </row>
    <row r="3384" spans="76:77" x14ac:dyDescent="0.2">
      <c r="BX3384" s="214" t="e">
        <f t="shared" si="120"/>
        <v>#DIV/0!</v>
      </c>
      <c r="BY3384" s="215">
        <f t="shared" si="121"/>
        <v>0</v>
      </c>
    </row>
    <row r="3385" spans="76:77" x14ac:dyDescent="0.2">
      <c r="BX3385" s="214" t="e">
        <f t="shared" si="120"/>
        <v>#DIV/0!</v>
      </c>
      <c r="BY3385" s="215">
        <f t="shared" si="121"/>
        <v>0</v>
      </c>
    </row>
    <row r="3386" spans="76:77" x14ac:dyDescent="0.2">
      <c r="BX3386" s="214" t="e">
        <f t="shared" si="120"/>
        <v>#DIV/0!</v>
      </c>
      <c r="BY3386" s="215">
        <f t="shared" si="121"/>
        <v>0</v>
      </c>
    </row>
    <row r="3387" spans="76:77" x14ac:dyDescent="0.2">
      <c r="BX3387" s="214" t="e">
        <f t="shared" si="120"/>
        <v>#DIV/0!</v>
      </c>
      <c r="BY3387" s="215">
        <f t="shared" si="121"/>
        <v>0</v>
      </c>
    </row>
    <row r="3388" spans="76:77" x14ac:dyDescent="0.2">
      <c r="BX3388" s="214" t="e">
        <f t="shared" si="120"/>
        <v>#DIV/0!</v>
      </c>
      <c r="BY3388" s="215">
        <f t="shared" si="121"/>
        <v>0</v>
      </c>
    </row>
    <row r="3389" spans="76:77" x14ac:dyDescent="0.2">
      <c r="BX3389" s="214" t="e">
        <f t="shared" si="120"/>
        <v>#DIV/0!</v>
      </c>
      <c r="BY3389" s="215">
        <f t="shared" si="121"/>
        <v>0</v>
      </c>
    </row>
    <row r="3390" spans="76:77" x14ac:dyDescent="0.2">
      <c r="BX3390" s="214" t="e">
        <f t="shared" si="120"/>
        <v>#DIV/0!</v>
      </c>
      <c r="BY3390" s="215">
        <f t="shared" si="121"/>
        <v>0</v>
      </c>
    </row>
    <row r="3391" spans="76:77" x14ac:dyDescent="0.2">
      <c r="BX3391" s="214" t="e">
        <f t="shared" si="120"/>
        <v>#DIV/0!</v>
      </c>
      <c r="BY3391" s="215">
        <f t="shared" si="121"/>
        <v>0</v>
      </c>
    </row>
    <row r="3392" spans="76:77" x14ac:dyDescent="0.2">
      <c r="BX3392" s="214" t="e">
        <f t="shared" si="120"/>
        <v>#DIV/0!</v>
      </c>
      <c r="BY3392" s="215">
        <f t="shared" si="121"/>
        <v>0</v>
      </c>
    </row>
    <row r="3393" spans="76:77" x14ac:dyDescent="0.2">
      <c r="BX3393" s="214" t="e">
        <f t="shared" si="120"/>
        <v>#DIV/0!</v>
      </c>
      <c r="BY3393" s="215">
        <f t="shared" si="121"/>
        <v>0</v>
      </c>
    </row>
    <row r="3394" spans="76:77" x14ac:dyDescent="0.2">
      <c r="BX3394" s="214" t="e">
        <f t="shared" si="120"/>
        <v>#DIV/0!</v>
      </c>
      <c r="BY3394" s="215">
        <f t="shared" si="121"/>
        <v>0</v>
      </c>
    </row>
    <row r="3395" spans="76:77" x14ac:dyDescent="0.2">
      <c r="BX3395" s="214" t="e">
        <f t="shared" si="120"/>
        <v>#DIV/0!</v>
      </c>
      <c r="BY3395" s="215">
        <f t="shared" si="121"/>
        <v>0</v>
      </c>
    </row>
    <row r="3396" spans="76:77" x14ac:dyDescent="0.2">
      <c r="BX3396" s="214" t="e">
        <f t="shared" si="120"/>
        <v>#DIV/0!</v>
      </c>
      <c r="BY3396" s="215">
        <f t="shared" si="121"/>
        <v>0</v>
      </c>
    </row>
    <row r="3397" spans="76:77" x14ac:dyDescent="0.2">
      <c r="BX3397" s="214" t="e">
        <f t="shared" si="120"/>
        <v>#DIV/0!</v>
      </c>
      <c r="BY3397" s="215">
        <f t="shared" si="121"/>
        <v>0</v>
      </c>
    </row>
    <row r="3398" spans="76:77" x14ac:dyDescent="0.2">
      <c r="BX3398" s="214" t="e">
        <f t="shared" si="120"/>
        <v>#DIV/0!</v>
      </c>
      <c r="BY3398" s="215">
        <f t="shared" si="121"/>
        <v>0</v>
      </c>
    </row>
    <row r="3399" spans="76:77" x14ac:dyDescent="0.2">
      <c r="BX3399" s="214" t="e">
        <f t="shared" si="120"/>
        <v>#DIV/0!</v>
      </c>
      <c r="BY3399" s="215">
        <f t="shared" si="121"/>
        <v>0</v>
      </c>
    </row>
    <row r="3400" spans="76:77" x14ac:dyDescent="0.2">
      <c r="BX3400" s="214" t="e">
        <f t="shared" si="120"/>
        <v>#DIV/0!</v>
      </c>
      <c r="BY3400" s="215">
        <f t="shared" si="121"/>
        <v>0</v>
      </c>
    </row>
    <row r="3401" spans="76:77" x14ac:dyDescent="0.2">
      <c r="BX3401" s="214" t="e">
        <f t="shared" si="120"/>
        <v>#DIV/0!</v>
      </c>
      <c r="BY3401" s="215">
        <f t="shared" si="121"/>
        <v>0</v>
      </c>
    </row>
    <row r="3402" spans="76:77" x14ac:dyDescent="0.2">
      <c r="BX3402" s="214" t="e">
        <f t="shared" si="120"/>
        <v>#DIV/0!</v>
      </c>
      <c r="BY3402" s="215">
        <f t="shared" si="121"/>
        <v>0</v>
      </c>
    </row>
    <row r="3403" spans="76:77" x14ac:dyDescent="0.2">
      <c r="BX3403" s="214" t="e">
        <f t="shared" si="120"/>
        <v>#DIV/0!</v>
      </c>
      <c r="BY3403" s="215">
        <f t="shared" si="121"/>
        <v>0</v>
      </c>
    </row>
    <row r="3404" spans="76:77" x14ac:dyDescent="0.2">
      <c r="BX3404" s="214" t="e">
        <f t="shared" si="120"/>
        <v>#DIV/0!</v>
      </c>
      <c r="BY3404" s="215">
        <f t="shared" si="121"/>
        <v>0</v>
      </c>
    </row>
    <row r="3405" spans="76:77" x14ac:dyDescent="0.2">
      <c r="BX3405" s="214" t="e">
        <f t="shared" ref="BX3405:BX3468" si="122">BY3405/BV3405</f>
        <v>#DIV/0!</v>
      </c>
      <c r="BY3405" s="215">
        <f t="shared" si="121"/>
        <v>0</v>
      </c>
    </row>
    <row r="3406" spans="76:77" x14ac:dyDescent="0.2">
      <c r="BX3406" s="214" t="e">
        <f t="shared" si="122"/>
        <v>#DIV/0!</v>
      </c>
      <c r="BY3406" s="215">
        <f t="shared" ref="BY3406:BY3469" si="123">BY3405+BW3406*(BV3406-BV3405)</f>
        <v>0</v>
      </c>
    </row>
    <row r="3407" spans="76:77" x14ac:dyDescent="0.2">
      <c r="BX3407" s="214" t="e">
        <f t="shared" si="122"/>
        <v>#DIV/0!</v>
      </c>
      <c r="BY3407" s="215">
        <f t="shared" si="123"/>
        <v>0</v>
      </c>
    </row>
    <row r="3408" spans="76:77" x14ac:dyDescent="0.2">
      <c r="BX3408" s="214" t="e">
        <f t="shared" si="122"/>
        <v>#DIV/0!</v>
      </c>
      <c r="BY3408" s="215">
        <f t="shared" si="123"/>
        <v>0</v>
      </c>
    </row>
    <row r="3409" spans="76:77" x14ac:dyDescent="0.2">
      <c r="BX3409" s="214" t="e">
        <f t="shared" si="122"/>
        <v>#DIV/0!</v>
      </c>
      <c r="BY3409" s="215">
        <f t="shared" si="123"/>
        <v>0</v>
      </c>
    </row>
    <row r="3410" spans="76:77" x14ac:dyDescent="0.2">
      <c r="BX3410" s="214" t="e">
        <f t="shared" si="122"/>
        <v>#DIV/0!</v>
      </c>
      <c r="BY3410" s="215">
        <f t="shared" si="123"/>
        <v>0</v>
      </c>
    </row>
    <row r="3411" spans="76:77" x14ac:dyDescent="0.2">
      <c r="BX3411" s="214" t="e">
        <f t="shared" si="122"/>
        <v>#DIV/0!</v>
      </c>
      <c r="BY3411" s="215">
        <f t="shared" si="123"/>
        <v>0</v>
      </c>
    </row>
    <row r="3412" spans="76:77" x14ac:dyDescent="0.2">
      <c r="BX3412" s="214" t="e">
        <f t="shared" si="122"/>
        <v>#DIV/0!</v>
      </c>
      <c r="BY3412" s="215">
        <f t="shared" si="123"/>
        <v>0</v>
      </c>
    </row>
    <row r="3413" spans="76:77" x14ac:dyDescent="0.2">
      <c r="BX3413" s="214" t="e">
        <f t="shared" si="122"/>
        <v>#DIV/0!</v>
      </c>
      <c r="BY3413" s="215">
        <f t="shared" si="123"/>
        <v>0</v>
      </c>
    </row>
    <row r="3414" spans="76:77" x14ac:dyDescent="0.2">
      <c r="BX3414" s="214" t="e">
        <f t="shared" si="122"/>
        <v>#DIV/0!</v>
      </c>
      <c r="BY3414" s="215">
        <f t="shared" si="123"/>
        <v>0</v>
      </c>
    </row>
    <row r="3415" spans="76:77" x14ac:dyDescent="0.2">
      <c r="BX3415" s="214" t="e">
        <f t="shared" si="122"/>
        <v>#DIV/0!</v>
      </c>
      <c r="BY3415" s="215">
        <f t="shared" si="123"/>
        <v>0</v>
      </c>
    </row>
    <row r="3416" spans="76:77" x14ac:dyDescent="0.2">
      <c r="BX3416" s="214" t="e">
        <f t="shared" si="122"/>
        <v>#DIV/0!</v>
      </c>
      <c r="BY3416" s="215">
        <f t="shared" si="123"/>
        <v>0</v>
      </c>
    </row>
    <row r="3417" spans="76:77" x14ac:dyDescent="0.2">
      <c r="BX3417" s="214" t="e">
        <f t="shared" si="122"/>
        <v>#DIV/0!</v>
      </c>
      <c r="BY3417" s="215">
        <f t="shared" si="123"/>
        <v>0</v>
      </c>
    </row>
    <row r="3418" spans="76:77" x14ac:dyDescent="0.2">
      <c r="BX3418" s="214" t="e">
        <f t="shared" si="122"/>
        <v>#DIV/0!</v>
      </c>
      <c r="BY3418" s="215">
        <f t="shared" si="123"/>
        <v>0</v>
      </c>
    </row>
    <row r="3419" spans="76:77" x14ac:dyDescent="0.2">
      <c r="BX3419" s="214" t="e">
        <f t="shared" si="122"/>
        <v>#DIV/0!</v>
      </c>
      <c r="BY3419" s="215">
        <f t="shared" si="123"/>
        <v>0</v>
      </c>
    </row>
    <row r="3420" spans="76:77" x14ac:dyDescent="0.2">
      <c r="BX3420" s="214" t="e">
        <f t="shared" si="122"/>
        <v>#DIV/0!</v>
      </c>
      <c r="BY3420" s="215">
        <f t="shared" si="123"/>
        <v>0</v>
      </c>
    </row>
    <row r="3421" spans="76:77" x14ac:dyDescent="0.2">
      <c r="BX3421" s="214" t="e">
        <f t="shared" si="122"/>
        <v>#DIV/0!</v>
      </c>
      <c r="BY3421" s="215">
        <f t="shared" si="123"/>
        <v>0</v>
      </c>
    </row>
    <row r="3422" spans="76:77" x14ac:dyDescent="0.2">
      <c r="BX3422" s="214" t="e">
        <f t="shared" si="122"/>
        <v>#DIV/0!</v>
      </c>
      <c r="BY3422" s="215">
        <f t="shared" si="123"/>
        <v>0</v>
      </c>
    </row>
    <row r="3423" spans="76:77" x14ac:dyDescent="0.2">
      <c r="BX3423" s="214" t="e">
        <f t="shared" si="122"/>
        <v>#DIV/0!</v>
      </c>
      <c r="BY3423" s="215">
        <f t="shared" si="123"/>
        <v>0</v>
      </c>
    </row>
    <row r="3424" spans="76:77" x14ac:dyDescent="0.2">
      <c r="BX3424" s="214" t="e">
        <f t="shared" si="122"/>
        <v>#DIV/0!</v>
      </c>
      <c r="BY3424" s="215">
        <f t="shared" si="123"/>
        <v>0</v>
      </c>
    </row>
    <row r="3425" spans="76:77" x14ac:dyDescent="0.2">
      <c r="BX3425" s="214" t="e">
        <f t="shared" si="122"/>
        <v>#DIV/0!</v>
      </c>
      <c r="BY3425" s="215">
        <f t="shared" si="123"/>
        <v>0</v>
      </c>
    </row>
    <row r="3426" spans="76:77" x14ac:dyDescent="0.2">
      <c r="BX3426" s="214" t="e">
        <f t="shared" si="122"/>
        <v>#DIV/0!</v>
      </c>
      <c r="BY3426" s="215">
        <f t="shared" si="123"/>
        <v>0</v>
      </c>
    </row>
    <row r="3427" spans="76:77" x14ac:dyDescent="0.2">
      <c r="BX3427" s="214" t="e">
        <f t="shared" si="122"/>
        <v>#DIV/0!</v>
      </c>
      <c r="BY3427" s="215">
        <f t="shared" si="123"/>
        <v>0</v>
      </c>
    </row>
    <row r="3428" spans="76:77" x14ac:dyDescent="0.2">
      <c r="BX3428" s="214" t="e">
        <f t="shared" si="122"/>
        <v>#DIV/0!</v>
      </c>
      <c r="BY3428" s="215">
        <f t="shared" si="123"/>
        <v>0</v>
      </c>
    </row>
    <row r="3429" spans="76:77" x14ac:dyDescent="0.2">
      <c r="BX3429" s="214" t="e">
        <f t="shared" si="122"/>
        <v>#DIV/0!</v>
      </c>
      <c r="BY3429" s="215">
        <f t="shared" si="123"/>
        <v>0</v>
      </c>
    </row>
    <row r="3430" spans="76:77" x14ac:dyDescent="0.2">
      <c r="BX3430" s="214" t="e">
        <f t="shared" si="122"/>
        <v>#DIV/0!</v>
      </c>
      <c r="BY3430" s="215">
        <f t="shared" si="123"/>
        <v>0</v>
      </c>
    </row>
    <row r="3431" spans="76:77" x14ac:dyDescent="0.2">
      <c r="BX3431" s="214" t="e">
        <f t="shared" si="122"/>
        <v>#DIV/0!</v>
      </c>
      <c r="BY3431" s="215">
        <f t="shared" si="123"/>
        <v>0</v>
      </c>
    </row>
    <row r="3432" spans="76:77" x14ac:dyDescent="0.2">
      <c r="BX3432" s="214" t="e">
        <f t="shared" si="122"/>
        <v>#DIV/0!</v>
      </c>
      <c r="BY3432" s="215">
        <f t="shared" si="123"/>
        <v>0</v>
      </c>
    </row>
    <row r="3433" spans="76:77" x14ac:dyDescent="0.2">
      <c r="BX3433" s="214" t="e">
        <f t="shared" si="122"/>
        <v>#DIV/0!</v>
      </c>
      <c r="BY3433" s="215">
        <f t="shared" si="123"/>
        <v>0</v>
      </c>
    </row>
    <row r="3434" spans="76:77" x14ac:dyDescent="0.2">
      <c r="BX3434" s="214" t="e">
        <f t="shared" si="122"/>
        <v>#DIV/0!</v>
      </c>
      <c r="BY3434" s="215">
        <f t="shared" si="123"/>
        <v>0</v>
      </c>
    </row>
    <row r="3435" spans="76:77" x14ac:dyDescent="0.2">
      <c r="BX3435" s="214" t="e">
        <f t="shared" si="122"/>
        <v>#DIV/0!</v>
      </c>
      <c r="BY3435" s="215">
        <f t="shared" si="123"/>
        <v>0</v>
      </c>
    </row>
    <row r="3436" spans="76:77" x14ac:dyDescent="0.2">
      <c r="BX3436" s="214" t="e">
        <f t="shared" si="122"/>
        <v>#DIV/0!</v>
      </c>
      <c r="BY3436" s="215">
        <f t="shared" si="123"/>
        <v>0</v>
      </c>
    </row>
    <row r="3437" spans="76:77" x14ac:dyDescent="0.2">
      <c r="BX3437" s="214" t="e">
        <f t="shared" si="122"/>
        <v>#DIV/0!</v>
      </c>
      <c r="BY3437" s="215">
        <f t="shared" si="123"/>
        <v>0</v>
      </c>
    </row>
    <row r="3438" spans="76:77" x14ac:dyDescent="0.2">
      <c r="BX3438" s="214" t="e">
        <f t="shared" si="122"/>
        <v>#DIV/0!</v>
      </c>
      <c r="BY3438" s="215">
        <f t="shared" si="123"/>
        <v>0</v>
      </c>
    </row>
    <row r="3439" spans="76:77" x14ac:dyDescent="0.2">
      <c r="BX3439" s="214" t="e">
        <f t="shared" si="122"/>
        <v>#DIV/0!</v>
      </c>
      <c r="BY3439" s="215">
        <f t="shared" si="123"/>
        <v>0</v>
      </c>
    </row>
    <row r="3440" spans="76:77" x14ac:dyDescent="0.2">
      <c r="BX3440" s="214" t="e">
        <f t="shared" si="122"/>
        <v>#DIV/0!</v>
      </c>
      <c r="BY3440" s="215">
        <f t="shared" si="123"/>
        <v>0</v>
      </c>
    </row>
    <row r="3441" spans="76:77" x14ac:dyDescent="0.2">
      <c r="BX3441" s="214" t="e">
        <f t="shared" si="122"/>
        <v>#DIV/0!</v>
      </c>
      <c r="BY3441" s="215">
        <f t="shared" si="123"/>
        <v>0</v>
      </c>
    </row>
    <row r="3442" spans="76:77" x14ac:dyDescent="0.2">
      <c r="BX3442" s="214" t="e">
        <f t="shared" si="122"/>
        <v>#DIV/0!</v>
      </c>
      <c r="BY3442" s="215">
        <f t="shared" si="123"/>
        <v>0</v>
      </c>
    </row>
    <row r="3443" spans="76:77" x14ac:dyDescent="0.2">
      <c r="BX3443" s="214" t="e">
        <f t="shared" si="122"/>
        <v>#DIV/0!</v>
      </c>
      <c r="BY3443" s="215">
        <f t="shared" si="123"/>
        <v>0</v>
      </c>
    </row>
    <row r="3444" spans="76:77" x14ac:dyDescent="0.2">
      <c r="BX3444" s="214" t="e">
        <f t="shared" si="122"/>
        <v>#DIV/0!</v>
      </c>
      <c r="BY3444" s="215">
        <f t="shared" si="123"/>
        <v>0</v>
      </c>
    </row>
    <row r="3445" spans="76:77" x14ac:dyDescent="0.2">
      <c r="BX3445" s="214" t="e">
        <f t="shared" si="122"/>
        <v>#DIV/0!</v>
      </c>
      <c r="BY3445" s="215">
        <f t="shared" si="123"/>
        <v>0</v>
      </c>
    </row>
    <row r="3446" spans="76:77" x14ac:dyDescent="0.2">
      <c r="BX3446" s="214" t="e">
        <f t="shared" si="122"/>
        <v>#DIV/0!</v>
      </c>
      <c r="BY3446" s="215">
        <f t="shared" si="123"/>
        <v>0</v>
      </c>
    </row>
    <row r="3447" spans="76:77" x14ac:dyDescent="0.2">
      <c r="BX3447" s="214" t="e">
        <f t="shared" si="122"/>
        <v>#DIV/0!</v>
      </c>
      <c r="BY3447" s="215">
        <f t="shared" si="123"/>
        <v>0</v>
      </c>
    </row>
    <row r="3448" spans="76:77" x14ac:dyDescent="0.2">
      <c r="BX3448" s="214" t="e">
        <f t="shared" si="122"/>
        <v>#DIV/0!</v>
      </c>
      <c r="BY3448" s="215">
        <f t="shared" si="123"/>
        <v>0</v>
      </c>
    </row>
    <row r="3449" spans="76:77" x14ac:dyDescent="0.2">
      <c r="BX3449" s="214" t="e">
        <f t="shared" si="122"/>
        <v>#DIV/0!</v>
      </c>
      <c r="BY3449" s="215">
        <f t="shared" si="123"/>
        <v>0</v>
      </c>
    </row>
    <row r="3450" spans="76:77" x14ac:dyDescent="0.2">
      <c r="BX3450" s="214" t="e">
        <f t="shared" si="122"/>
        <v>#DIV/0!</v>
      </c>
      <c r="BY3450" s="215">
        <f t="shared" si="123"/>
        <v>0</v>
      </c>
    </row>
    <row r="3451" spans="76:77" x14ac:dyDescent="0.2">
      <c r="BX3451" s="214" t="e">
        <f t="shared" si="122"/>
        <v>#DIV/0!</v>
      </c>
      <c r="BY3451" s="215">
        <f t="shared" si="123"/>
        <v>0</v>
      </c>
    </row>
    <row r="3452" spans="76:77" x14ac:dyDescent="0.2">
      <c r="BX3452" s="214" t="e">
        <f t="shared" si="122"/>
        <v>#DIV/0!</v>
      </c>
      <c r="BY3452" s="215">
        <f t="shared" si="123"/>
        <v>0</v>
      </c>
    </row>
    <row r="3453" spans="76:77" x14ac:dyDescent="0.2">
      <c r="BX3453" s="214" t="e">
        <f t="shared" si="122"/>
        <v>#DIV/0!</v>
      </c>
      <c r="BY3453" s="215">
        <f t="shared" si="123"/>
        <v>0</v>
      </c>
    </row>
    <row r="3454" spans="76:77" x14ac:dyDescent="0.2">
      <c r="BX3454" s="214" t="e">
        <f t="shared" si="122"/>
        <v>#DIV/0!</v>
      </c>
      <c r="BY3454" s="215">
        <f t="shared" si="123"/>
        <v>0</v>
      </c>
    </row>
    <row r="3455" spans="76:77" x14ac:dyDescent="0.2">
      <c r="BX3455" s="214" t="e">
        <f t="shared" si="122"/>
        <v>#DIV/0!</v>
      </c>
      <c r="BY3455" s="215">
        <f t="shared" si="123"/>
        <v>0</v>
      </c>
    </row>
    <row r="3456" spans="76:77" x14ac:dyDescent="0.2">
      <c r="BX3456" s="214" t="e">
        <f t="shared" si="122"/>
        <v>#DIV/0!</v>
      </c>
      <c r="BY3456" s="215">
        <f t="shared" si="123"/>
        <v>0</v>
      </c>
    </row>
    <row r="3457" spans="76:77" x14ac:dyDescent="0.2">
      <c r="BX3457" s="214" t="e">
        <f t="shared" si="122"/>
        <v>#DIV/0!</v>
      </c>
      <c r="BY3457" s="215">
        <f t="shared" si="123"/>
        <v>0</v>
      </c>
    </row>
    <row r="3458" spans="76:77" x14ac:dyDescent="0.2">
      <c r="BX3458" s="214" t="e">
        <f t="shared" si="122"/>
        <v>#DIV/0!</v>
      </c>
      <c r="BY3458" s="215">
        <f t="shared" si="123"/>
        <v>0</v>
      </c>
    </row>
    <row r="3459" spans="76:77" x14ac:dyDescent="0.2">
      <c r="BX3459" s="214" t="e">
        <f t="shared" si="122"/>
        <v>#DIV/0!</v>
      </c>
      <c r="BY3459" s="215">
        <f t="shared" si="123"/>
        <v>0</v>
      </c>
    </row>
    <row r="3460" spans="76:77" x14ac:dyDescent="0.2">
      <c r="BX3460" s="214" t="e">
        <f t="shared" si="122"/>
        <v>#DIV/0!</v>
      </c>
      <c r="BY3460" s="215">
        <f t="shared" si="123"/>
        <v>0</v>
      </c>
    </row>
    <row r="3461" spans="76:77" x14ac:dyDescent="0.2">
      <c r="BX3461" s="214" t="e">
        <f t="shared" si="122"/>
        <v>#DIV/0!</v>
      </c>
      <c r="BY3461" s="215">
        <f t="shared" si="123"/>
        <v>0</v>
      </c>
    </row>
    <row r="3462" spans="76:77" x14ac:dyDescent="0.2">
      <c r="BX3462" s="214" t="e">
        <f t="shared" si="122"/>
        <v>#DIV/0!</v>
      </c>
      <c r="BY3462" s="215">
        <f t="shared" si="123"/>
        <v>0</v>
      </c>
    </row>
    <row r="3463" spans="76:77" x14ac:dyDescent="0.2">
      <c r="BX3463" s="214" t="e">
        <f t="shared" si="122"/>
        <v>#DIV/0!</v>
      </c>
      <c r="BY3463" s="215">
        <f t="shared" si="123"/>
        <v>0</v>
      </c>
    </row>
    <row r="3464" spans="76:77" x14ac:dyDescent="0.2">
      <c r="BX3464" s="214" t="e">
        <f t="shared" si="122"/>
        <v>#DIV/0!</v>
      </c>
      <c r="BY3464" s="215">
        <f t="shared" si="123"/>
        <v>0</v>
      </c>
    </row>
    <row r="3465" spans="76:77" x14ac:dyDescent="0.2">
      <c r="BX3465" s="214" t="e">
        <f t="shared" si="122"/>
        <v>#DIV/0!</v>
      </c>
      <c r="BY3465" s="215">
        <f t="shared" si="123"/>
        <v>0</v>
      </c>
    </row>
    <row r="3466" spans="76:77" x14ac:dyDescent="0.2">
      <c r="BX3466" s="214" t="e">
        <f t="shared" si="122"/>
        <v>#DIV/0!</v>
      </c>
      <c r="BY3466" s="215">
        <f t="shared" si="123"/>
        <v>0</v>
      </c>
    </row>
    <row r="3467" spans="76:77" x14ac:dyDescent="0.2">
      <c r="BX3467" s="214" t="e">
        <f t="shared" si="122"/>
        <v>#DIV/0!</v>
      </c>
      <c r="BY3467" s="215">
        <f t="shared" si="123"/>
        <v>0</v>
      </c>
    </row>
    <row r="3468" spans="76:77" x14ac:dyDescent="0.2">
      <c r="BX3468" s="214" t="e">
        <f t="shared" si="122"/>
        <v>#DIV/0!</v>
      </c>
      <c r="BY3468" s="215">
        <f t="shared" si="123"/>
        <v>0</v>
      </c>
    </row>
    <row r="3469" spans="76:77" x14ac:dyDescent="0.2">
      <c r="BX3469" s="214" t="e">
        <f t="shared" ref="BX3469:BX3532" si="124">BY3469/BV3469</f>
        <v>#DIV/0!</v>
      </c>
      <c r="BY3469" s="215">
        <f t="shared" si="123"/>
        <v>0</v>
      </c>
    </row>
    <row r="3470" spans="76:77" x14ac:dyDescent="0.2">
      <c r="BX3470" s="214" t="e">
        <f t="shared" si="124"/>
        <v>#DIV/0!</v>
      </c>
      <c r="BY3470" s="215">
        <f t="shared" ref="BY3470:BY3533" si="125">BY3469+BW3470*(BV3470-BV3469)</f>
        <v>0</v>
      </c>
    </row>
    <row r="3471" spans="76:77" x14ac:dyDescent="0.2">
      <c r="BX3471" s="214" t="e">
        <f t="shared" si="124"/>
        <v>#DIV/0!</v>
      </c>
      <c r="BY3471" s="215">
        <f t="shared" si="125"/>
        <v>0</v>
      </c>
    </row>
    <row r="3472" spans="76:77" x14ac:dyDescent="0.2">
      <c r="BX3472" s="214" t="e">
        <f t="shared" si="124"/>
        <v>#DIV/0!</v>
      </c>
      <c r="BY3472" s="215">
        <f t="shared" si="125"/>
        <v>0</v>
      </c>
    </row>
    <row r="3473" spans="76:77" x14ac:dyDescent="0.2">
      <c r="BX3473" s="214" t="e">
        <f t="shared" si="124"/>
        <v>#DIV/0!</v>
      </c>
      <c r="BY3473" s="215">
        <f t="shared" si="125"/>
        <v>0</v>
      </c>
    </row>
    <row r="3474" spans="76:77" x14ac:dyDescent="0.2">
      <c r="BX3474" s="214" t="e">
        <f t="shared" si="124"/>
        <v>#DIV/0!</v>
      </c>
      <c r="BY3474" s="215">
        <f t="shared" si="125"/>
        <v>0</v>
      </c>
    </row>
    <row r="3475" spans="76:77" x14ac:dyDescent="0.2">
      <c r="BX3475" s="214" t="e">
        <f t="shared" si="124"/>
        <v>#DIV/0!</v>
      </c>
      <c r="BY3475" s="215">
        <f t="shared" si="125"/>
        <v>0</v>
      </c>
    </row>
    <row r="3476" spans="76:77" x14ac:dyDescent="0.2">
      <c r="BX3476" s="214" t="e">
        <f t="shared" si="124"/>
        <v>#DIV/0!</v>
      </c>
      <c r="BY3476" s="215">
        <f t="shared" si="125"/>
        <v>0</v>
      </c>
    </row>
    <row r="3477" spans="76:77" x14ac:dyDescent="0.2">
      <c r="BX3477" s="214" t="e">
        <f t="shared" si="124"/>
        <v>#DIV/0!</v>
      </c>
      <c r="BY3477" s="215">
        <f t="shared" si="125"/>
        <v>0</v>
      </c>
    </row>
    <row r="3478" spans="76:77" x14ac:dyDescent="0.2">
      <c r="BX3478" s="214" t="e">
        <f t="shared" si="124"/>
        <v>#DIV/0!</v>
      </c>
      <c r="BY3478" s="215">
        <f t="shared" si="125"/>
        <v>0</v>
      </c>
    </row>
    <row r="3479" spans="76:77" x14ac:dyDescent="0.2">
      <c r="BX3479" s="214" t="e">
        <f t="shared" si="124"/>
        <v>#DIV/0!</v>
      </c>
      <c r="BY3479" s="215">
        <f t="shared" si="125"/>
        <v>0</v>
      </c>
    </row>
    <row r="3480" spans="76:77" x14ac:dyDescent="0.2">
      <c r="BX3480" s="214" t="e">
        <f t="shared" si="124"/>
        <v>#DIV/0!</v>
      </c>
      <c r="BY3480" s="215">
        <f t="shared" si="125"/>
        <v>0</v>
      </c>
    </row>
    <row r="3481" spans="76:77" x14ac:dyDescent="0.2">
      <c r="BX3481" s="214" t="e">
        <f t="shared" si="124"/>
        <v>#DIV/0!</v>
      </c>
      <c r="BY3481" s="215">
        <f t="shared" si="125"/>
        <v>0</v>
      </c>
    </row>
    <row r="3482" spans="76:77" x14ac:dyDescent="0.2">
      <c r="BX3482" s="214" t="e">
        <f t="shared" si="124"/>
        <v>#DIV/0!</v>
      </c>
      <c r="BY3482" s="215">
        <f t="shared" si="125"/>
        <v>0</v>
      </c>
    </row>
    <row r="3483" spans="76:77" x14ac:dyDescent="0.2">
      <c r="BX3483" s="214" t="e">
        <f t="shared" si="124"/>
        <v>#DIV/0!</v>
      </c>
      <c r="BY3483" s="215">
        <f t="shared" si="125"/>
        <v>0</v>
      </c>
    </row>
    <row r="3484" spans="76:77" x14ac:dyDescent="0.2">
      <c r="BX3484" s="214" t="e">
        <f t="shared" si="124"/>
        <v>#DIV/0!</v>
      </c>
      <c r="BY3484" s="215">
        <f t="shared" si="125"/>
        <v>0</v>
      </c>
    </row>
    <row r="3485" spans="76:77" x14ac:dyDescent="0.2">
      <c r="BX3485" s="214" t="e">
        <f t="shared" si="124"/>
        <v>#DIV/0!</v>
      </c>
      <c r="BY3485" s="215">
        <f t="shared" si="125"/>
        <v>0</v>
      </c>
    </row>
    <row r="3486" spans="76:77" x14ac:dyDescent="0.2">
      <c r="BX3486" s="214" t="e">
        <f t="shared" si="124"/>
        <v>#DIV/0!</v>
      </c>
      <c r="BY3486" s="215">
        <f t="shared" si="125"/>
        <v>0</v>
      </c>
    </row>
    <row r="3487" spans="76:77" x14ac:dyDescent="0.2">
      <c r="BX3487" s="214" t="e">
        <f t="shared" si="124"/>
        <v>#DIV/0!</v>
      </c>
      <c r="BY3487" s="215">
        <f t="shared" si="125"/>
        <v>0</v>
      </c>
    </row>
    <row r="3488" spans="76:77" x14ac:dyDescent="0.2">
      <c r="BX3488" s="214" t="e">
        <f t="shared" si="124"/>
        <v>#DIV/0!</v>
      </c>
      <c r="BY3488" s="215">
        <f t="shared" si="125"/>
        <v>0</v>
      </c>
    </row>
    <row r="3489" spans="76:77" x14ac:dyDescent="0.2">
      <c r="BX3489" s="214" t="e">
        <f t="shared" si="124"/>
        <v>#DIV/0!</v>
      </c>
      <c r="BY3489" s="215">
        <f t="shared" si="125"/>
        <v>0</v>
      </c>
    </row>
    <row r="3490" spans="76:77" x14ac:dyDescent="0.2">
      <c r="BX3490" s="214" t="e">
        <f t="shared" si="124"/>
        <v>#DIV/0!</v>
      </c>
      <c r="BY3490" s="215">
        <f t="shared" si="125"/>
        <v>0</v>
      </c>
    </row>
    <row r="3491" spans="76:77" x14ac:dyDescent="0.2">
      <c r="BX3491" s="214" t="e">
        <f t="shared" si="124"/>
        <v>#DIV/0!</v>
      </c>
      <c r="BY3491" s="215">
        <f t="shared" si="125"/>
        <v>0</v>
      </c>
    </row>
    <row r="3492" spans="76:77" x14ac:dyDescent="0.2">
      <c r="BX3492" s="214" t="e">
        <f t="shared" si="124"/>
        <v>#DIV/0!</v>
      </c>
      <c r="BY3492" s="215">
        <f t="shared" si="125"/>
        <v>0</v>
      </c>
    </row>
    <row r="3493" spans="76:77" x14ac:dyDescent="0.2">
      <c r="BX3493" s="214" t="e">
        <f t="shared" si="124"/>
        <v>#DIV/0!</v>
      </c>
      <c r="BY3493" s="215">
        <f t="shared" si="125"/>
        <v>0</v>
      </c>
    </row>
    <row r="3494" spans="76:77" x14ac:dyDescent="0.2">
      <c r="BX3494" s="214" t="e">
        <f t="shared" si="124"/>
        <v>#DIV/0!</v>
      </c>
      <c r="BY3494" s="215">
        <f t="shared" si="125"/>
        <v>0</v>
      </c>
    </row>
    <row r="3495" spans="76:77" x14ac:dyDescent="0.2">
      <c r="BX3495" s="214" t="e">
        <f t="shared" si="124"/>
        <v>#DIV/0!</v>
      </c>
      <c r="BY3495" s="215">
        <f t="shared" si="125"/>
        <v>0</v>
      </c>
    </row>
    <row r="3496" spans="76:77" x14ac:dyDescent="0.2">
      <c r="BX3496" s="214" t="e">
        <f t="shared" si="124"/>
        <v>#DIV/0!</v>
      </c>
      <c r="BY3496" s="215">
        <f t="shared" si="125"/>
        <v>0</v>
      </c>
    </row>
    <row r="3497" spans="76:77" x14ac:dyDescent="0.2">
      <c r="BX3497" s="214" t="e">
        <f t="shared" si="124"/>
        <v>#DIV/0!</v>
      </c>
      <c r="BY3497" s="215">
        <f t="shared" si="125"/>
        <v>0</v>
      </c>
    </row>
    <row r="3498" spans="76:77" x14ac:dyDescent="0.2">
      <c r="BX3498" s="214" t="e">
        <f t="shared" si="124"/>
        <v>#DIV/0!</v>
      </c>
      <c r="BY3498" s="215">
        <f t="shared" si="125"/>
        <v>0</v>
      </c>
    </row>
    <row r="3499" spans="76:77" x14ac:dyDescent="0.2">
      <c r="BX3499" s="214" t="e">
        <f t="shared" si="124"/>
        <v>#DIV/0!</v>
      </c>
      <c r="BY3499" s="215">
        <f t="shared" si="125"/>
        <v>0</v>
      </c>
    </row>
    <row r="3500" spans="76:77" x14ac:dyDescent="0.2">
      <c r="BX3500" s="214" t="e">
        <f t="shared" si="124"/>
        <v>#DIV/0!</v>
      </c>
      <c r="BY3500" s="215">
        <f t="shared" si="125"/>
        <v>0</v>
      </c>
    </row>
    <row r="3501" spans="76:77" x14ac:dyDescent="0.2">
      <c r="BX3501" s="214" t="e">
        <f t="shared" si="124"/>
        <v>#DIV/0!</v>
      </c>
      <c r="BY3501" s="215">
        <f t="shared" si="125"/>
        <v>0</v>
      </c>
    </row>
    <row r="3502" spans="76:77" x14ac:dyDescent="0.2">
      <c r="BX3502" s="214" t="e">
        <f t="shared" si="124"/>
        <v>#DIV/0!</v>
      </c>
      <c r="BY3502" s="215">
        <f t="shared" si="125"/>
        <v>0</v>
      </c>
    </row>
    <row r="3503" spans="76:77" x14ac:dyDescent="0.2">
      <c r="BX3503" s="214" t="e">
        <f t="shared" si="124"/>
        <v>#DIV/0!</v>
      </c>
      <c r="BY3503" s="215">
        <f t="shared" si="125"/>
        <v>0</v>
      </c>
    </row>
    <row r="3504" spans="76:77" x14ac:dyDescent="0.2">
      <c r="BX3504" s="214" t="e">
        <f t="shared" si="124"/>
        <v>#DIV/0!</v>
      </c>
      <c r="BY3504" s="215">
        <f t="shared" si="125"/>
        <v>0</v>
      </c>
    </row>
    <row r="3505" spans="76:77" x14ac:dyDescent="0.2">
      <c r="BX3505" s="214" t="e">
        <f t="shared" si="124"/>
        <v>#DIV/0!</v>
      </c>
      <c r="BY3505" s="215">
        <f t="shared" si="125"/>
        <v>0</v>
      </c>
    </row>
    <row r="3506" spans="76:77" x14ac:dyDescent="0.2">
      <c r="BX3506" s="214" t="e">
        <f t="shared" si="124"/>
        <v>#DIV/0!</v>
      </c>
      <c r="BY3506" s="215">
        <f t="shared" si="125"/>
        <v>0</v>
      </c>
    </row>
    <row r="3507" spans="76:77" x14ac:dyDescent="0.2">
      <c r="BX3507" s="214" t="e">
        <f t="shared" si="124"/>
        <v>#DIV/0!</v>
      </c>
      <c r="BY3507" s="215">
        <f t="shared" si="125"/>
        <v>0</v>
      </c>
    </row>
    <row r="3508" spans="76:77" x14ac:dyDescent="0.2">
      <c r="BX3508" s="214" t="e">
        <f t="shared" si="124"/>
        <v>#DIV/0!</v>
      </c>
      <c r="BY3508" s="215">
        <f t="shared" si="125"/>
        <v>0</v>
      </c>
    </row>
    <row r="3509" spans="76:77" x14ac:dyDescent="0.2">
      <c r="BX3509" s="214" t="e">
        <f t="shared" si="124"/>
        <v>#DIV/0!</v>
      </c>
      <c r="BY3509" s="215">
        <f t="shared" si="125"/>
        <v>0</v>
      </c>
    </row>
    <row r="3510" spans="76:77" x14ac:dyDescent="0.2">
      <c r="BX3510" s="214" t="e">
        <f t="shared" si="124"/>
        <v>#DIV/0!</v>
      </c>
      <c r="BY3510" s="215">
        <f t="shared" si="125"/>
        <v>0</v>
      </c>
    </row>
    <row r="3511" spans="76:77" x14ac:dyDescent="0.2">
      <c r="BX3511" s="214" t="e">
        <f t="shared" si="124"/>
        <v>#DIV/0!</v>
      </c>
      <c r="BY3511" s="215">
        <f t="shared" si="125"/>
        <v>0</v>
      </c>
    </row>
    <row r="3512" spans="76:77" x14ac:dyDescent="0.2">
      <c r="BX3512" s="214" t="e">
        <f t="shared" si="124"/>
        <v>#DIV/0!</v>
      </c>
      <c r="BY3512" s="215">
        <f t="shared" si="125"/>
        <v>0</v>
      </c>
    </row>
    <row r="3513" spans="76:77" x14ac:dyDescent="0.2">
      <c r="BX3513" s="214" t="e">
        <f t="shared" si="124"/>
        <v>#DIV/0!</v>
      </c>
      <c r="BY3513" s="215">
        <f t="shared" si="125"/>
        <v>0</v>
      </c>
    </row>
    <row r="3514" spans="76:77" x14ac:dyDescent="0.2">
      <c r="BX3514" s="214" t="e">
        <f t="shared" si="124"/>
        <v>#DIV/0!</v>
      </c>
      <c r="BY3514" s="215">
        <f t="shared" si="125"/>
        <v>0</v>
      </c>
    </row>
    <row r="3515" spans="76:77" x14ac:dyDescent="0.2">
      <c r="BX3515" s="214" t="e">
        <f t="shared" si="124"/>
        <v>#DIV/0!</v>
      </c>
      <c r="BY3515" s="215">
        <f t="shared" si="125"/>
        <v>0</v>
      </c>
    </row>
    <row r="3516" spans="76:77" x14ac:dyDescent="0.2">
      <c r="BX3516" s="214" t="e">
        <f t="shared" si="124"/>
        <v>#DIV/0!</v>
      </c>
      <c r="BY3516" s="215">
        <f t="shared" si="125"/>
        <v>0</v>
      </c>
    </row>
    <row r="3517" spans="76:77" x14ac:dyDescent="0.2">
      <c r="BX3517" s="214" t="e">
        <f t="shared" si="124"/>
        <v>#DIV/0!</v>
      </c>
      <c r="BY3517" s="215">
        <f t="shared" si="125"/>
        <v>0</v>
      </c>
    </row>
    <row r="3518" spans="76:77" x14ac:dyDescent="0.2">
      <c r="BX3518" s="214" t="e">
        <f t="shared" si="124"/>
        <v>#DIV/0!</v>
      </c>
      <c r="BY3518" s="215">
        <f t="shared" si="125"/>
        <v>0</v>
      </c>
    </row>
    <row r="3519" spans="76:77" x14ac:dyDescent="0.2">
      <c r="BX3519" s="214" t="e">
        <f t="shared" si="124"/>
        <v>#DIV/0!</v>
      </c>
      <c r="BY3519" s="215">
        <f t="shared" si="125"/>
        <v>0</v>
      </c>
    </row>
    <row r="3520" spans="76:77" x14ac:dyDescent="0.2">
      <c r="BX3520" s="214" t="e">
        <f t="shared" si="124"/>
        <v>#DIV/0!</v>
      </c>
      <c r="BY3520" s="215">
        <f t="shared" si="125"/>
        <v>0</v>
      </c>
    </row>
    <row r="3521" spans="76:77" x14ac:dyDescent="0.2">
      <c r="BX3521" s="214" t="e">
        <f t="shared" si="124"/>
        <v>#DIV/0!</v>
      </c>
      <c r="BY3521" s="215">
        <f t="shared" si="125"/>
        <v>0</v>
      </c>
    </row>
    <row r="3522" spans="76:77" x14ac:dyDescent="0.2">
      <c r="BX3522" s="214" t="e">
        <f t="shared" si="124"/>
        <v>#DIV/0!</v>
      </c>
      <c r="BY3522" s="215">
        <f t="shared" si="125"/>
        <v>0</v>
      </c>
    </row>
    <row r="3523" spans="76:77" x14ac:dyDescent="0.2">
      <c r="BX3523" s="214" t="e">
        <f t="shared" si="124"/>
        <v>#DIV/0!</v>
      </c>
      <c r="BY3523" s="215">
        <f t="shared" si="125"/>
        <v>0</v>
      </c>
    </row>
    <row r="3524" spans="76:77" x14ac:dyDescent="0.2">
      <c r="BX3524" s="214" t="e">
        <f t="shared" si="124"/>
        <v>#DIV/0!</v>
      </c>
      <c r="BY3524" s="215">
        <f t="shared" si="125"/>
        <v>0</v>
      </c>
    </row>
    <row r="3525" spans="76:77" x14ac:dyDescent="0.2">
      <c r="BX3525" s="214" t="e">
        <f t="shared" si="124"/>
        <v>#DIV/0!</v>
      </c>
      <c r="BY3525" s="215">
        <f t="shared" si="125"/>
        <v>0</v>
      </c>
    </row>
    <row r="3526" spans="76:77" x14ac:dyDescent="0.2">
      <c r="BX3526" s="214" t="e">
        <f t="shared" si="124"/>
        <v>#DIV/0!</v>
      </c>
      <c r="BY3526" s="215">
        <f t="shared" si="125"/>
        <v>0</v>
      </c>
    </row>
    <row r="3527" spans="76:77" x14ac:dyDescent="0.2">
      <c r="BX3527" s="214" t="e">
        <f t="shared" si="124"/>
        <v>#DIV/0!</v>
      </c>
      <c r="BY3527" s="215">
        <f t="shared" si="125"/>
        <v>0</v>
      </c>
    </row>
    <row r="3528" spans="76:77" x14ac:dyDescent="0.2">
      <c r="BX3528" s="214" t="e">
        <f t="shared" si="124"/>
        <v>#DIV/0!</v>
      </c>
      <c r="BY3528" s="215">
        <f t="shared" si="125"/>
        <v>0</v>
      </c>
    </row>
    <row r="3529" spans="76:77" x14ac:dyDescent="0.2">
      <c r="BX3529" s="214" t="e">
        <f t="shared" si="124"/>
        <v>#DIV/0!</v>
      </c>
      <c r="BY3529" s="215">
        <f t="shared" si="125"/>
        <v>0</v>
      </c>
    </row>
    <row r="3530" spans="76:77" x14ac:dyDescent="0.2">
      <c r="BX3530" s="214" t="e">
        <f t="shared" si="124"/>
        <v>#DIV/0!</v>
      </c>
      <c r="BY3530" s="215">
        <f t="shared" si="125"/>
        <v>0</v>
      </c>
    </row>
    <row r="3531" spans="76:77" x14ac:dyDescent="0.2">
      <c r="BX3531" s="214" t="e">
        <f t="shared" si="124"/>
        <v>#DIV/0!</v>
      </c>
      <c r="BY3531" s="215">
        <f t="shared" si="125"/>
        <v>0</v>
      </c>
    </row>
    <row r="3532" spans="76:77" x14ac:dyDescent="0.2">
      <c r="BX3532" s="214" t="e">
        <f t="shared" si="124"/>
        <v>#DIV/0!</v>
      </c>
      <c r="BY3532" s="215">
        <f t="shared" si="125"/>
        <v>0</v>
      </c>
    </row>
    <row r="3533" spans="76:77" x14ac:dyDescent="0.2">
      <c r="BX3533" s="214" t="e">
        <f t="shared" ref="BX3533:BX3596" si="126">BY3533/BV3533</f>
        <v>#DIV/0!</v>
      </c>
      <c r="BY3533" s="215">
        <f t="shared" si="125"/>
        <v>0</v>
      </c>
    </row>
    <row r="3534" spans="76:77" x14ac:dyDescent="0.2">
      <c r="BX3534" s="214" t="e">
        <f t="shared" si="126"/>
        <v>#DIV/0!</v>
      </c>
      <c r="BY3534" s="215">
        <f t="shared" ref="BY3534:BY3597" si="127">BY3533+BW3534*(BV3534-BV3533)</f>
        <v>0</v>
      </c>
    </row>
    <row r="3535" spans="76:77" x14ac:dyDescent="0.2">
      <c r="BX3535" s="214" t="e">
        <f t="shared" si="126"/>
        <v>#DIV/0!</v>
      </c>
      <c r="BY3535" s="215">
        <f t="shared" si="127"/>
        <v>0</v>
      </c>
    </row>
    <row r="3536" spans="76:77" x14ac:dyDescent="0.2">
      <c r="BX3536" s="214" t="e">
        <f t="shared" si="126"/>
        <v>#DIV/0!</v>
      </c>
      <c r="BY3536" s="215">
        <f t="shared" si="127"/>
        <v>0</v>
      </c>
    </row>
    <row r="3537" spans="76:77" x14ac:dyDescent="0.2">
      <c r="BX3537" s="214" t="e">
        <f t="shared" si="126"/>
        <v>#DIV/0!</v>
      </c>
      <c r="BY3537" s="215">
        <f t="shared" si="127"/>
        <v>0</v>
      </c>
    </row>
    <row r="3538" spans="76:77" x14ac:dyDescent="0.2">
      <c r="BX3538" s="214" t="e">
        <f t="shared" si="126"/>
        <v>#DIV/0!</v>
      </c>
      <c r="BY3538" s="215">
        <f t="shared" si="127"/>
        <v>0</v>
      </c>
    </row>
    <row r="3539" spans="76:77" x14ac:dyDescent="0.2">
      <c r="BX3539" s="214" t="e">
        <f t="shared" si="126"/>
        <v>#DIV/0!</v>
      </c>
      <c r="BY3539" s="215">
        <f t="shared" si="127"/>
        <v>0</v>
      </c>
    </row>
    <row r="3540" spans="76:77" x14ac:dyDescent="0.2">
      <c r="BX3540" s="214" t="e">
        <f t="shared" si="126"/>
        <v>#DIV/0!</v>
      </c>
      <c r="BY3540" s="215">
        <f t="shared" si="127"/>
        <v>0</v>
      </c>
    </row>
    <row r="3541" spans="76:77" x14ac:dyDescent="0.2">
      <c r="BX3541" s="214" t="e">
        <f t="shared" si="126"/>
        <v>#DIV/0!</v>
      </c>
      <c r="BY3541" s="215">
        <f t="shared" si="127"/>
        <v>0</v>
      </c>
    </row>
    <row r="3542" spans="76:77" x14ac:dyDescent="0.2">
      <c r="BX3542" s="214" t="e">
        <f t="shared" si="126"/>
        <v>#DIV/0!</v>
      </c>
      <c r="BY3542" s="215">
        <f t="shared" si="127"/>
        <v>0</v>
      </c>
    </row>
    <row r="3543" spans="76:77" x14ac:dyDescent="0.2">
      <c r="BX3543" s="214" t="e">
        <f t="shared" si="126"/>
        <v>#DIV/0!</v>
      </c>
      <c r="BY3543" s="215">
        <f t="shared" si="127"/>
        <v>0</v>
      </c>
    </row>
    <row r="3544" spans="76:77" x14ac:dyDescent="0.2">
      <c r="BX3544" s="214" t="e">
        <f t="shared" si="126"/>
        <v>#DIV/0!</v>
      </c>
      <c r="BY3544" s="215">
        <f t="shared" si="127"/>
        <v>0</v>
      </c>
    </row>
    <row r="3545" spans="76:77" x14ac:dyDescent="0.2">
      <c r="BX3545" s="214" t="e">
        <f t="shared" si="126"/>
        <v>#DIV/0!</v>
      </c>
      <c r="BY3545" s="215">
        <f t="shared" si="127"/>
        <v>0</v>
      </c>
    </row>
    <row r="3546" spans="76:77" x14ac:dyDescent="0.2">
      <c r="BX3546" s="214" t="e">
        <f t="shared" si="126"/>
        <v>#DIV/0!</v>
      </c>
      <c r="BY3546" s="215">
        <f t="shared" si="127"/>
        <v>0</v>
      </c>
    </row>
    <row r="3547" spans="76:77" x14ac:dyDescent="0.2">
      <c r="BX3547" s="214" t="e">
        <f t="shared" si="126"/>
        <v>#DIV/0!</v>
      </c>
      <c r="BY3547" s="215">
        <f t="shared" si="127"/>
        <v>0</v>
      </c>
    </row>
    <row r="3548" spans="76:77" x14ac:dyDescent="0.2">
      <c r="BX3548" s="214" t="e">
        <f t="shared" si="126"/>
        <v>#DIV/0!</v>
      </c>
      <c r="BY3548" s="215">
        <f t="shared" si="127"/>
        <v>0</v>
      </c>
    </row>
    <row r="3549" spans="76:77" x14ac:dyDescent="0.2">
      <c r="BX3549" s="214" t="e">
        <f t="shared" si="126"/>
        <v>#DIV/0!</v>
      </c>
      <c r="BY3549" s="215">
        <f t="shared" si="127"/>
        <v>0</v>
      </c>
    </row>
    <row r="3550" spans="76:77" x14ac:dyDescent="0.2">
      <c r="BX3550" s="214" t="e">
        <f t="shared" si="126"/>
        <v>#DIV/0!</v>
      </c>
      <c r="BY3550" s="215">
        <f t="shared" si="127"/>
        <v>0</v>
      </c>
    </row>
    <row r="3551" spans="76:77" x14ac:dyDescent="0.2">
      <c r="BX3551" s="214" t="e">
        <f t="shared" si="126"/>
        <v>#DIV/0!</v>
      </c>
      <c r="BY3551" s="215">
        <f t="shared" si="127"/>
        <v>0</v>
      </c>
    </row>
    <row r="3552" spans="76:77" x14ac:dyDescent="0.2">
      <c r="BX3552" s="214" t="e">
        <f t="shared" si="126"/>
        <v>#DIV/0!</v>
      </c>
      <c r="BY3552" s="215">
        <f t="shared" si="127"/>
        <v>0</v>
      </c>
    </row>
    <row r="3553" spans="76:77" x14ac:dyDescent="0.2">
      <c r="BX3553" s="214" t="e">
        <f t="shared" si="126"/>
        <v>#DIV/0!</v>
      </c>
      <c r="BY3553" s="215">
        <f t="shared" si="127"/>
        <v>0</v>
      </c>
    </row>
    <row r="3554" spans="76:77" x14ac:dyDescent="0.2">
      <c r="BX3554" s="214" t="e">
        <f t="shared" si="126"/>
        <v>#DIV/0!</v>
      </c>
      <c r="BY3554" s="215">
        <f t="shared" si="127"/>
        <v>0</v>
      </c>
    </row>
    <row r="3555" spans="76:77" x14ac:dyDescent="0.2">
      <c r="BX3555" s="214" t="e">
        <f t="shared" si="126"/>
        <v>#DIV/0!</v>
      </c>
      <c r="BY3555" s="215">
        <f t="shared" si="127"/>
        <v>0</v>
      </c>
    </row>
    <row r="3556" spans="76:77" x14ac:dyDescent="0.2">
      <c r="BX3556" s="214" t="e">
        <f t="shared" si="126"/>
        <v>#DIV/0!</v>
      </c>
      <c r="BY3556" s="215">
        <f t="shared" si="127"/>
        <v>0</v>
      </c>
    </row>
    <row r="3557" spans="76:77" x14ac:dyDescent="0.2">
      <c r="BX3557" s="214" t="e">
        <f t="shared" si="126"/>
        <v>#DIV/0!</v>
      </c>
      <c r="BY3557" s="215">
        <f t="shared" si="127"/>
        <v>0</v>
      </c>
    </row>
    <row r="3558" spans="76:77" x14ac:dyDescent="0.2">
      <c r="BX3558" s="214" t="e">
        <f t="shared" si="126"/>
        <v>#DIV/0!</v>
      </c>
      <c r="BY3558" s="215">
        <f t="shared" si="127"/>
        <v>0</v>
      </c>
    </row>
    <row r="3559" spans="76:77" x14ac:dyDescent="0.2">
      <c r="BX3559" s="214" t="e">
        <f t="shared" si="126"/>
        <v>#DIV/0!</v>
      </c>
      <c r="BY3559" s="215">
        <f t="shared" si="127"/>
        <v>0</v>
      </c>
    </row>
    <row r="3560" spans="76:77" x14ac:dyDescent="0.2">
      <c r="BX3560" s="214" t="e">
        <f t="shared" si="126"/>
        <v>#DIV/0!</v>
      </c>
      <c r="BY3560" s="215">
        <f t="shared" si="127"/>
        <v>0</v>
      </c>
    </row>
    <row r="3561" spans="76:77" x14ac:dyDescent="0.2">
      <c r="BX3561" s="214" t="e">
        <f t="shared" si="126"/>
        <v>#DIV/0!</v>
      </c>
      <c r="BY3561" s="215">
        <f t="shared" si="127"/>
        <v>0</v>
      </c>
    </row>
    <row r="3562" spans="76:77" x14ac:dyDescent="0.2">
      <c r="BX3562" s="214" t="e">
        <f t="shared" si="126"/>
        <v>#DIV/0!</v>
      </c>
      <c r="BY3562" s="215">
        <f t="shared" si="127"/>
        <v>0</v>
      </c>
    </row>
    <row r="3563" spans="76:77" x14ac:dyDescent="0.2">
      <c r="BX3563" s="214" t="e">
        <f t="shared" si="126"/>
        <v>#DIV/0!</v>
      </c>
      <c r="BY3563" s="215">
        <f t="shared" si="127"/>
        <v>0</v>
      </c>
    </row>
    <row r="3564" spans="76:77" x14ac:dyDescent="0.2">
      <c r="BX3564" s="214" t="e">
        <f t="shared" si="126"/>
        <v>#DIV/0!</v>
      </c>
      <c r="BY3564" s="215">
        <f t="shared" si="127"/>
        <v>0</v>
      </c>
    </row>
    <row r="3565" spans="76:77" x14ac:dyDescent="0.2">
      <c r="BX3565" s="214" t="e">
        <f t="shared" si="126"/>
        <v>#DIV/0!</v>
      </c>
      <c r="BY3565" s="215">
        <f t="shared" si="127"/>
        <v>0</v>
      </c>
    </row>
    <row r="3566" spans="76:77" x14ac:dyDescent="0.2">
      <c r="BX3566" s="214" t="e">
        <f t="shared" si="126"/>
        <v>#DIV/0!</v>
      </c>
      <c r="BY3566" s="215">
        <f t="shared" si="127"/>
        <v>0</v>
      </c>
    </row>
    <row r="3567" spans="76:77" x14ac:dyDescent="0.2">
      <c r="BX3567" s="214" t="e">
        <f t="shared" si="126"/>
        <v>#DIV/0!</v>
      </c>
      <c r="BY3567" s="215">
        <f t="shared" si="127"/>
        <v>0</v>
      </c>
    </row>
    <row r="3568" spans="76:77" x14ac:dyDescent="0.2">
      <c r="BX3568" s="214" t="e">
        <f t="shared" si="126"/>
        <v>#DIV/0!</v>
      </c>
      <c r="BY3568" s="215">
        <f t="shared" si="127"/>
        <v>0</v>
      </c>
    </row>
    <row r="3569" spans="76:77" x14ac:dyDescent="0.2">
      <c r="BX3569" s="214" t="e">
        <f t="shared" si="126"/>
        <v>#DIV/0!</v>
      </c>
      <c r="BY3569" s="215">
        <f t="shared" si="127"/>
        <v>0</v>
      </c>
    </row>
    <row r="3570" spans="76:77" x14ac:dyDescent="0.2">
      <c r="BX3570" s="214" t="e">
        <f t="shared" si="126"/>
        <v>#DIV/0!</v>
      </c>
      <c r="BY3570" s="215">
        <f t="shared" si="127"/>
        <v>0</v>
      </c>
    </row>
    <row r="3571" spans="76:77" x14ac:dyDescent="0.2">
      <c r="BX3571" s="214" t="e">
        <f t="shared" si="126"/>
        <v>#DIV/0!</v>
      </c>
      <c r="BY3571" s="215">
        <f t="shared" si="127"/>
        <v>0</v>
      </c>
    </row>
    <row r="3572" spans="76:77" x14ac:dyDescent="0.2">
      <c r="BX3572" s="214" t="e">
        <f t="shared" si="126"/>
        <v>#DIV/0!</v>
      </c>
      <c r="BY3572" s="215">
        <f t="shared" si="127"/>
        <v>0</v>
      </c>
    </row>
    <row r="3573" spans="76:77" x14ac:dyDescent="0.2">
      <c r="BX3573" s="214" t="e">
        <f t="shared" si="126"/>
        <v>#DIV/0!</v>
      </c>
      <c r="BY3573" s="215">
        <f t="shared" si="127"/>
        <v>0</v>
      </c>
    </row>
    <row r="3574" spans="76:77" x14ac:dyDescent="0.2">
      <c r="BX3574" s="214" t="e">
        <f t="shared" si="126"/>
        <v>#DIV/0!</v>
      </c>
      <c r="BY3574" s="215">
        <f t="shared" si="127"/>
        <v>0</v>
      </c>
    </row>
    <row r="3575" spans="76:77" x14ac:dyDescent="0.2">
      <c r="BX3575" s="214" t="e">
        <f t="shared" si="126"/>
        <v>#DIV/0!</v>
      </c>
      <c r="BY3575" s="215">
        <f t="shared" si="127"/>
        <v>0</v>
      </c>
    </row>
    <row r="3576" spans="76:77" x14ac:dyDescent="0.2">
      <c r="BX3576" s="214" t="e">
        <f t="shared" si="126"/>
        <v>#DIV/0!</v>
      </c>
      <c r="BY3576" s="215">
        <f t="shared" si="127"/>
        <v>0</v>
      </c>
    </row>
    <row r="3577" spans="76:77" x14ac:dyDescent="0.2">
      <c r="BX3577" s="214" t="e">
        <f t="shared" si="126"/>
        <v>#DIV/0!</v>
      </c>
      <c r="BY3577" s="215">
        <f t="shared" si="127"/>
        <v>0</v>
      </c>
    </row>
    <row r="3578" spans="76:77" x14ac:dyDescent="0.2">
      <c r="BX3578" s="214" t="e">
        <f t="shared" si="126"/>
        <v>#DIV/0!</v>
      </c>
      <c r="BY3578" s="215">
        <f t="shared" si="127"/>
        <v>0</v>
      </c>
    </row>
    <row r="3579" spans="76:77" x14ac:dyDescent="0.2">
      <c r="BX3579" s="214" t="e">
        <f t="shared" si="126"/>
        <v>#DIV/0!</v>
      </c>
      <c r="BY3579" s="215">
        <f t="shared" si="127"/>
        <v>0</v>
      </c>
    </row>
    <row r="3580" spans="76:77" x14ac:dyDescent="0.2">
      <c r="BX3580" s="214" t="e">
        <f t="shared" si="126"/>
        <v>#DIV/0!</v>
      </c>
      <c r="BY3580" s="215">
        <f t="shared" si="127"/>
        <v>0</v>
      </c>
    </row>
    <row r="3581" spans="76:77" x14ac:dyDescent="0.2">
      <c r="BX3581" s="214" t="e">
        <f t="shared" si="126"/>
        <v>#DIV/0!</v>
      </c>
      <c r="BY3581" s="215">
        <f t="shared" si="127"/>
        <v>0</v>
      </c>
    </row>
    <row r="3582" spans="76:77" x14ac:dyDescent="0.2">
      <c r="BX3582" s="214" t="e">
        <f t="shared" si="126"/>
        <v>#DIV/0!</v>
      </c>
      <c r="BY3582" s="215">
        <f t="shared" si="127"/>
        <v>0</v>
      </c>
    </row>
    <row r="3583" spans="76:77" x14ac:dyDescent="0.2">
      <c r="BX3583" s="214" t="e">
        <f t="shared" si="126"/>
        <v>#DIV/0!</v>
      </c>
      <c r="BY3583" s="215">
        <f t="shared" si="127"/>
        <v>0</v>
      </c>
    </row>
    <row r="3584" spans="76:77" x14ac:dyDescent="0.2">
      <c r="BX3584" s="214" t="e">
        <f t="shared" si="126"/>
        <v>#DIV/0!</v>
      </c>
      <c r="BY3584" s="215">
        <f t="shared" si="127"/>
        <v>0</v>
      </c>
    </row>
    <row r="3585" spans="76:77" x14ac:dyDescent="0.2">
      <c r="BX3585" s="214" t="e">
        <f t="shared" si="126"/>
        <v>#DIV/0!</v>
      </c>
      <c r="BY3585" s="215">
        <f t="shared" si="127"/>
        <v>0</v>
      </c>
    </row>
    <row r="3586" spans="76:77" x14ac:dyDescent="0.2">
      <c r="BX3586" s="214" t="e">
        <f t="shared" si="126"/>
        <v>#DIV/0!</v>
      </c>
      <c r="BY3586" s="215">
        <f t="shared" si="127"/>
        <v>0</v>
      </c>
    </row>
    <row r="3587" spans="76:77" x14ac:dyDescent="0.2">
      <c r="BX3587" s="214" t="e">
        <f t="shared" si="126"/>
        <v>#DIV/0!</v>
      </c>
      <c r="BY3587" s="215">
        <f t="shared" si="127"/>
        <v>0</v>
      </c>
    </row>
    <row r="3588" spans="76:77" x14ac:dyDescent="0.2">
      <c r="BX3588" s="214" t="e">
        <f t="shared" si="126"/>
        <v>#DIV/0!</v>
      </c>
      <c r="BY3588" s="215">
        <f t="shared" si="127"/>
        <v>0</v>
      </c>
    </row>
    <row r="3589" spans="76:77" x14ac:dyDescent="0.2">
      <c r="BX3589" s="214" t="e">
        <f t="shared" si="126"/>
        <v>#DIV/0!</v>
      </c>
      <c r="BY3589" s="215">
        <f t="shared" si="127"/>
        <v>0</v>
      </c>
    </row>
    <row r="3590" spans="76:77" x14ac:dyDescent="0.2">
      <c r="BX3590" s="214" t="e">
        <f t="shared" si="126"/>
        <v>#DIV/0!</v>
      </c>
      <c r="BY3590" s="215">
        <f t="shared" si="127"/>
        <v>0</v>
      </c>
    </row>
    <row r="3591" spans="76:77" x14ac:dyDescent="0.2">
      <c r="BX3591" s="214" t="e">
        <f t="shared" si="126"/>
        <v>#DIV/0!</v>
      </c>
      <c r="BY3591" s="215">
        <f t="shared" si="127"/>
        <v>0</v>
      </c>
    </row>
    <row r="3592" spans="76:77" x14ac:dyDescent="0.2">
      <c r="BX3592" s="214" t="e">
        <f t="shared" si="126"/>
        <v>#DIV/0!</v>
      </c>
      <c r="BY3592" s="215">
        <f t="shared" si="127"/>
        <v>0</v>
      </c>
    </row>
    <row r="3593" spans="76:77" x14ac:dyDescent="0.2">
      <c r="BX3593" s="214" t="e">
        <f t="shared" si="126"/>
        <v>#DIV/0!</v>
      </c>
      <c r="BY3593" s="215">
        <f t="shared" si="127"/>
        <v>0</v>
      </c>
    </row>
    <row r="3594" spans="76:77" x14ac:dyDescent="0.2">
      <c r="BX3594" s="214" t="e">
        <f t="shared" si="126"/>
        <v>#DIV/0!</v>
      </c>
      <c r="BY3594" s="215">
        <f t="shared" si="127"/>
        <v>0</v>
      </c>
    </row>
    <row r="3595" spans="76:77" x14ac:dyDescent="0.2">
      <c r="BX3595" s="214" t="e">
        <f t="shared" si="126"/>
        <v>#DIV/0!</v>
      </c>
      <c r="BY3595" s="215">
        <f t="shared" si="127"/>
        <v>0</v>
      </c>
    </row>
    <row r="3596" spans="76:77" x14ac:dyDescent="0.2">
      <c r="BX3596" s="214" t="e">
        <f t="shared" si="126"/>
        <v>#DIV/0!</v>
      </c>
      <c r="BY3596" s="215">
        <f t="shared" si="127"/>
        <v>0</v>
      </c>
    </row>
    <row r="3597" spans="76:77" x14ac:dyDescent="0.2">
      <c r="BX3597" s="214" t="e">
        <f t="shared" ref="BX3597:BX3660" si="128">BY3597/BV3597</f>
        <v>#DIV/0!</v>
      </c>
      <c r="BY3597" s="215">
        <f t="shared" si="127"/>
        <v>0</v>
      </c>
    </row>
    <row r="3598" spans="76:77" x14ac:dyDescent="0.2">
      <c r="BX3598" s="214" t="e">
        <f t="shared" si="128"/>
        <v>#DIV/0!</v>
      </c>
      <c r="BY3598" s="215">
        <f t="shared" ref="BY3598:BY3661" si="129">BY3597+BW3598*(BV3598-BV3597)</f>
        <v>0</v>
      </c>
    </row>
    <row r="3599" spans="76:77" x14ac:dyDescent="0.2">
      <c r="BX3599" s="214" t="e">
        <f t="shared" si="128"/>
        <v>#DIV/0!</v>
      </c>
      <c r="BY3599" s="215">
        <f t="shared" si="129"/>
        <v>0</v>
      </c>
    </row>
    <row r="3600" spans="76:77" x14ac:dyDescent="0.2">
      <c r="BX3600" s="214" t="e">
        <f t="shared" si="128"/>
        <v>#DIV/0!</v>
      </c>
      <c r="BY3600" s="215">
        <f t="shared" si="129"/>
        <v>0</v>
      </c>
    </row>
    <row r="3601" spans="76:77" x14ac:dyDescent="0.2">
      <c r="BX3601" s="214" t="e">
        <f t="shared" si="128"/>
        <v>#DIV/0!</v>
      </c>
      <c r="BY3601" s="215">
        <f t="shared" si="129"/>
        <v>0</v>
      </c>
    </row>
    <row r="3602" spans="76:77" x14ac:dyDescent="0.2">
      <c r="BX3602" s="214" t="e">
        <f t="shared" si="128"/>
        <v>#DIV/0!</v>
      </c>
      <c r="BY3602" s="215">
        <f t="shared" si="129"/>
        <v>0</v>
      </c>
    </row>
    <row r="3603" spans="76:77" x14ac:dyDescent="0.2">
      <c r="BX3603" s="214" t="e">
        <f t="shared" si="128"/>
        <v>#DIV/0!</v>
      </c>
      <c r="BY3603" s="215">
        <f t="shared" si="129"/>
        <v>0</v>
      </c>
    </row>
    <row r="3604" spans="76:77" x14ac:dyDescent="0.2">
      <c r="BX3604" s="214" t="e">
        <f t="shared" si="128"/>
        <v>#DIV/0!</v>
      </c>
      <c r="BY3604" s="215">
        <f t="shared" si="129"/>
        <v>0</v>
      </c>
    </row>
    <row r="3605" spans="76:77" x14ac:dyDescent="0.2">
      <c r="BX3605" s="214" t="e">
        <f t="shared" si="128"/>
        <v>#DIV/0!</v>
      </c>
      <c r="BY3605" s="215">
        <f t="shared" si="129"/>
        <v>0</v>
      </c>
    </row>
    <row r="3606" spans="76:77" x14ac:dyDescent="0.2">
      <c r="BX3606" s="214" t="e">
        <f t="shared" si="128"/>
        <v>#DIV/0!</v>
      </c>
      <c r="BY3606" s="215">
        <f t="shared" si="129"/>
        <v>0</v>
      </c>
    </row>
    <row r="3607" spans="76:77" x14ac:dyDescent="0.2">
      <c r="BX3607" s="214" t="e">
        <f t="shared" si="128"/>
        <v>#DIV/0!</v>
      </c>
      <c r="BY3607" s="215">
        <f t="shared" si="129"/>
        <v>0</v>
      </c>
    </row>
    <row r="3608" spans="76:77" x14ac:dyDescent="0.2">
      <c r="BX3608" s="214" t="e">
        <f t="shared" si="128"/>
        <v>#DIV/0!</v>
      </c>
      <c r="BY3608" s="215">
        <f t="shared" si="129"/>
        <v>0</v>
      </c>
    </row>
    <row r="3609" spans="76:77" x14ac:dyDescent="0.2">
      <c r="BX3609" s="214" t="e">
        <f t="shared" si="128"/>
        <v>#DIV/0!</v>
      </c>
      <c r="BY3609" s="215">
        <f t="shared" si="129"/>
        <v>0</v>
      </c>
    </row>
    <row r="3610" spans="76:77" x14ac:dyDescent="0.2">
      <c r="BX3610" s="214" t="e">
        <f t="shared" si="128"/>
        <v>#DIV/0!</v>
      </c>
      <c r="BY3610" s="215">
        <f t="shared" si="129"/>
        <v>0</v>
      </c>
    </row>
    <row r="3611" spans="76:77" x14ac:dyDescent="0.2">
      <c r="BX3611" s="214" t="e">
        <f t="shared" si="128"/>
        <v>#DIV/0!</v>
      </c>
      <c r="BY3611" s="215">
        <f t="shared" si="129"/>
        <v>0</v>
      </c>
    </row>
    <row r="3612" spans="76:77" x14ac:dyDescent="0.2">
      <c r="BX3612" s="214" t="e">
        <f t="shared" si="128"/>
        <v>#DIV/0!</v>
      </c>
      <c r="BY3612" s="215">
        <f t="shared" si="129"/>
        <v>0</v>
      </c>
    </row>
    <row r="3613" spans="76:77" x14ac:dyDescent="0.2">
      <c r="BX3613" s="214" t="e">
        <f t="shared" si="128"/>
        <v>#DIV/0!</v>
      </c>
      <c r="BY3613" s="215">
        <f t="shared" si="129"/>
        <v>0</v>
      </c>
    </row>
    <row r="3614" spans="76:77" x14ac:dyDescent="0.2">
      <c r="BX3614" s="214" t="e">
        <f t="shared" si="128"/>
        <v>#DIV/0!</v>
      </c>
      <c r="BY3614" s="215">
        <f t="shared" si="129"/>
        <v>0</v>
      </c>
    </row>
    <row r="3615" spans="76:77" x14ac:dyDescent="0.2">
      <c r="BX3615" s="214" t="e">
        <f t="shared" si="128"/>
        <v>#DIV/0!</v>
      </c>
      <c r="BY3615" s="215">
        <f t="shared" si="129"/>
        <v>0</v>
      </c>
    </row>
    <row r="3616" spans="76:77" x14ac:dyDescent="0.2">
      <c r="BX3616" s="214" t="e">
        <f t="shared" si="128"/>
        <v>#DIV/0!</v>
      </c>
      <c r="BY3616" s="215">
        <f t="shared" si="129"/>
        <v>0</v>
      </c>
    </row>
    <row r="3617" spans="76:77" x14ac:dyDescent="0.2">
      <c r="BX3617" s="214" t="e">
        <f t="shared" si="128"/>
        <v>#DIV/0!</v>
      </c>
      <c r="BY3617" s="215">
        <f t="shared" si="129"/>
        <v>0</v>
      </c>
    </row>
    <row r="3618" spans="76:77" x14ac:dyDescent="0.2">
      <c r="BX3618" s="214" t="e">
        <f t="shared" si="128"/>
        <v>#DIV/0!</v>
      </c>
      <c r="BY3618" s="215">
        <f t="shared" si="129"/>
        <v>0</v>
      </c>
    </row>
    <row r="3619" spans="76:77" x14ac:dyDescent="0.2">
      <c r="BX3619" s="214" t="e">
        <f t="shared" si="128"/>
        <v>#DIV/0!</v>
      </c>
      <c r="BY3619" s="215">
        <f t="shared" si="129"/>
        <v>0</v>
      </c>
    </row>
    <row r="3620" spans="76:77" x14ac:dyDescent="0.2">
      <c r="BX3620" s="214" t="e">
        <f t="shared" si="128"/>
        <v>#DIV/0!</v>
      </c>
      <c r="BY3620" s="215">
        <f t="shared" si="129"/>
        <v>0</v>
      </c>
    </row>
    <row r="3621" spans="76:77" x14ac:dyDescent="0.2">
      <c r="BX3621" s="214" t="e">
        <f t="shared" si="128"/>
        <v>#DIV/0!</v>
      </c>
      <c r="BY3621" s="215">
        <f t="shared" si="129"/>
        <v>0</v>
      </c>
    </row>
    <row r="3622" spans="76:77" x14ac:dyDescent="0.2">
      <c r="BX3622" s="214" t="e">
        <f t="shared" si="128"/>
        <v>#DIV/0!</v>
      </c>
      <c r="BY3622" s="215">
        <f t="shared" si="129"/>
        <v>0</v>
      </c>
    </row>
    <row r="3623" spans="76:77" x14ac:dyDescent="0.2">
      <c r="BX3623" s="214" t="e">
        <f t="shared" si="128"/>
        <v>#DIV/0!</v>
      </c>
      <c r="BY3623" s="215">
        <f t="shared" si="129"/>
        <v>0</v>
      </c>
    </row>
    <row r="3624" spans="76:77" x14ac:dyDescent="0.2">
      <c r="BX3624" s="214" t="e">
        <f t="shared" si="128"/>
        <v>#DIV/0!</v>
      </c>
      <c r="BY3624" s="215">
        <f t="shared" si="129"/>
        <v>0</v>
      </c>
    </row>
    <row r="3625" spans="76:77" x14ac:dyDescent="0.2">
      <c r="BX3625" s="214" t="e">
        <f t="shared" si="128"/>
        <v>#DIV/0!</v>
      </c>
      <c r="BY3625" s="215">
        <f t="shared" si="129"/>
        <v>0</v>
      </c>
    </row>
    <row r="3626" spans="76:77" x14ac:dyDescent="0.2">
      <c r="BX3626" s="214" t="e">
        <f t="shared" si="128"/>
        <v>#DIV/0!</v>
      </c>
      <c r="BY3626" s="215">
        <f t="shared" si="129"/>
        <v>0</v>
      </c>
    </row>
    <row r="3627" spans="76:77" x14ac:dyDescent="0.2">
      <c r="BX3627" s="214" t="e">
        <f t="shared" si="128"/>
        <v>#DIV/0!</v>
      </c>
      <c r="BY3627" s="215">
        <f t="shared" si="129"/>
        <v>0</v>
      </c>
    </row>
    <row r="3628" spans="76:77" x14ac:dyDescent="0.2">
      <c r="BX3628" s="214" t="e">
        <f t="shared" si="128"/>
        <v>#DIV/0!</v>
      </c>
      <c r="BY3628" s="215">
        <f t="shared" si="129"/>
        <v>0</v>
      </c>
    </row>
    <row r="3629" spans="76:77" x14ac:dyDescent="0.2">
      <c r="BX3629" s="214" t="e">
        <f t="shared" si="128"/>
        <v>#DIV/0!</v>
      </c>
      <c r="BY3629" s="215">
        <f t="shared" si="129"/>
        <v>0</v>
      </c>
    </row>
    <row r="3630" spans="76:77" x14ac:dyDescent="0.2">
      <c r="BX3630" s="214" t="e">
        <f t="shared" si="128"/>
        <v>#DIV/0!</v>
      </c>
      <c r="BY3630" s="215">
        <f t="shared" si="129"/>
        <v>0</v>
      </c>
    </row>
    <row r="3631" spans="76:77" x14ac:dyDescent="0.2">
      <c r="BX3631" s="214" t="e">
        <f t="shared" si="128"/>
        <v>#DIV/0!</v>
      </c>
      <c r="BY3631" s="215">
        <f t="shared" si="129"/>
        <v>0</v>
      </c>
    </row>
    <row r="3632" spans="76:77" x14ac:dyDescent="0.2">
      <c r="BX3632" s="214" t="e">
        <f t="shared" si="128"/>
        <v>#DIV/0!</v>
      </c>
      <c r="BY3632" s="215">
        <f t="shared" si="129"/>
        <v>0</v>
      </c>
    </row>
    <row r="3633" spans="76:77" x14ac:dyDescent="0.2">
      <c r="BX3633" s="214" t="e">
        <f t="shared" si="128"/>
        <v>#DIV/0!</v>
      </c>
      <c r="BY3633" s="215">
        <f t="shared" si="129"/>
        <v>0</v>
      </c>
    </row>
    <row r="3634" spans="76:77" x14ac:dyDescent="0.2">
      <c r="BX3634" s="214" t="e">
        <f t="shared" si="128"/>
        <v>#DIV/0!</v>
      </c>
      <c r="BY3634" s="215">
        <f t="shared" si="129"/>
        <v>0</v>
      </c>
    </row>
    <row r="3635" spans="76:77" x14ac:dyDescent="0.2">
      <c r="BX3635" s="214" t="e">
        <f t="shared" si="128"/>
        <v>#DIV/0!</v>
      </c>
      <c r="BY3635" s="215">
        <f t="shared" si="129"/>
        <v>0</v>
      </c>
    </row>
    <row r="3636" spans="76:77" x14ac:dyDescent="0.2">
      <c r="BX3636" s="214" t="e">
        <f t="shared" si="128"/>
        <v>#DIV/0!</v>
      </c>
      <c r="BY3636" s="215">
        <f t="shared" si="129"/>
        <v>0</v>
      </c>
    </row>
    <row r="3637" spans="76:77" x14ac:dyDescent="0.2">
      <c r="BX3637" s="214" t="e">
        <f t="shared" si="128"/>
        <v>#DIV/0!</v>
      </c>
      <c r="BY3637" s="215">
        <f t="shared" si="129"/>
        <v>0</v>
      </c>
    </row>
    <row r="3638" spans="76:77" x14ac:dyDescent="0.2">
      <c r="BX3638" s="214" t="e">
        <f t="shared" si="128"/>
        <v>#DIV/0!</v>
      </c>
      <c r="BY3638" s="215">
        <f t="shared" si="129"/>
        <v>0</v>
      </c>
    </row>
    <row r="3639" spans="76:77" x14ac:dyDescent="0.2">
      <c r="BX3639" s="214" t="e">
        <f t="shared" si="128"/>
        <v>#DIV/0!</v>
      </c>
      <c r="BY3639" s="215">
        <f t="shared" si="129"/>
        <v>0</v>
      </c>
    </row>
    <row r="3640" spans="76:77" x14ac:dyDescent="0.2">
      <c r="BX3640" s="214" t="e">
        <f t="shared" si="128"/>
        <v>#DIV/0!</v>
      </c>
      <c r="BY3640" s="215">
        <f t="shared" si="129"/>
        <v>0</v>
      </c>
    </row>
    <row r="3641" spans="76:77" x14ac:dyDescent="0.2">
      <c r="BX3641" s="214" t="e">
        <f t="shared" si="128"/>
        <v>#DIV/0!</v>
      </c>
      <c r="BY3641" s="215">
        <f t="shared" si="129"/>
        <v>0</v>
      </c>
    </row>
    <row r="3642" spans="76:77" x14ac:dyDescent="0.2">
      <c r="BX3642" s="214" t="e">
        <f t="shared" si="128"/>
        <v>#DIV/0!</v>
      </c>
      <c r="BY3642" s="215">
        <f t="shared" si="129"/>
        <v>0</v>
      </c>
    </row>
    <row r="3643" spans="76:77" x14ac:dyDescent="0.2">
      <c r="BX3643" s="214" t="e">
        <f t="shared" si="128"/>
        <v>#DIV/0!</v>
      </c>
      <c r="BY3643" s="215">
        <f t="shared" si="129"/>
        <v>0</v>
      </c>
    </row>
    <row r="3644" spans="76:77" x14ac:dyDescent="0.2">
      <c r="BX3644" s="214" t="e">
        <f t="shared" si="128"/>
        <v>#DIV/0!</v>
      </c>
      <c r="BY3644" s="215">
        <f t="shared" si="129"/>
        <v>0</v>
      </c>
    </row>
    <row r="3645" spans="76:77" x14ac:dyDescent="0.2">
      <c r="BX3645" s="214" t="e">
        <f t="shared" si="128"/>
        <v>#DIV/0!</v>
      </c>
      <c r="BY3645" s="215">
        <f t="shared" si="129"/>
        <v>0</v>
      </c>
    </row>
    <row r="3646" spans="76:77" x14ac:dyDescent="0.2">
      <c r="BX3646" s="214" t="e">
        <f t="shared" si="128"/>
        <v>#DIV/0!</v>
      </c>
      <c r="BY3646" s="215">
        <f t="shared" si="129"/>
        <v>0</v>
      </c>
    </row>
    <row r="3647" spans="76:77" x14ac:dyDescent="0.2">
      <c r="BX3647" s="214" t="e">
        <f t="shared" si="128"/>
        <v>#DIV/0!</v>
      </c>
      <c r="BY3647" s="215">
        <f t="shared" si="129"/>
        <v>0</v>
      </c>
    </row>
    <row r="3648" spans="76:77" x14ac:dyDescent="0.2">
      <c r="BX3648" s="214" t="e">
        <f t="shared" si="128"/>
        <v>#DIV/0!</v>
      </c>
      <c r="BY3648" s="215">
        <f t="shared" si="129"/>
        <v>0</v>
      </c>
    </row>
    <row r="3649" spans="76:77" x14ac:dyDescent="0.2">
      <c r="BX3649" s="214" t="e">
        <f t="shared" si="128"/>
        <v>#DIV/0!</v>
      </c>
      <c r="BY3649" s="215">
        <f t="shared" si="129"/>
        <v>0</v>
      </c>
    </row>
    <row r="3650" spans="76:77" x14ac:dyDescent="0.2">
      <c r="BX3650" s="214" t="e">
        <f t="shared" si="128"/>
        <v>#DIV/0!</v>
      </c>
      <c r="BY3650" s="215">
        <f t="shared" si="129"/>
        <v>0</v>
      </c>
    </row>
    <row r="3651" spans="76:77" x14ac:dyDescent="0.2">
      <c r="BX3651" s="214" t="e">
        <f t="shared" si="128"/>
        <v>#DIV/0!</v>
      </c>
      <c r="BY3651" s="215">
        <f t="shared" si="129"/>
        <v>0</v>
      </c>
    </row>
    <row r="3652" spans="76:77" x14ac:dyDescent="0.2">
      <c r="BX3652" s="214" t="e">
        <f t="shared" si="128"/>
        <v>#DIV/0!</v>
      </c>
      <c r="BY3652" s="215">
        <f t="shared" si="129"/>
        <v>0</v>
      </c>
    </row>
    <row r="3653" spans="76:77" x14ac:dyDescent="0.2">
      <c r="BX3653" s="214" t="e">
        <f t="shared" si="128"/>
        <v>#DIV/0!</v>
      </c>
      <c r="BY3653" s="215">
        <f t="shared" si="129"/>
        <v>0</v>
      </c>
    </row>
    <row r="3654" spans="76:77" x14ac:dyDescent="0.2">
      <c r="BX3654" s="214" t="e">
        <f t="shared" si="128"/>
        <v>#DIV/0!</v>
      </c>
      <c r="BY3654" s="215">
        <f t="shared" si="129"/>
        <v>0</v>
      </c>
    </row>
    <row r="3655" spans="76:77" x14ac:dyDescent="0.2">
      <c r="BX3655" s="214" t="e">
        <f t="shared" si="128"/>
        <v>#DIV/0!</v>
      </c>
      <c r="BY3655" s="215">
        <f t="shared" si="129"/>
        <v>0</v>
      </c>
    </row>
    <row r="3656" spans="76:77" x14ac:dyDescent="0.2">
      <c r="BX3656" s="214" t="e">
        <f t="shared" si="128"/>
        <v>#DIV/0!</v>
      </c>
      <c r="BY3656" s="215">
        <f t="shared" si="129"/>
        <v>0</v>
      </c>
    </row>
    <row r="3657" spans="76:77" x14ac:dyDescent="0.2">
      <c r="BX3657" s="214" t="e">
        <f t="shared" si="128"/>
        <v>#DIV/0!</v>
      </c>
      <c r="BY3657" s="215">
        <f t="shared" si="129"/>
        <v>0</v>
      </c>
    </row>
    <row r="3658" spans="76:77" x14ac:dyDescent="0.2">
      <c r="BX3658" s="214" t="e">
        <f t="shared" si="128"/>
        <v>#DIV/0!</v>
      </c>
      <c r="BY3658" s="215">
        <f t="shared" si="129"/>
        <v>0</v>
      </c>
    </row>
    <row r="3659" spans="76:77" x14ac:dyDescent="0.2">
      <c r="BX3659" s="214" t="e">
        <f t="shared" si="128"/>
        <v>#DIV/0!</v>
      </c>
      <c r="BY3659" s="215">
        <f t="shared" si="129"/>
        <v>0</v>
      </c>
    </row>
    <row r="3660" spans="76:77" x14ac:dyDescent="0.2">
      <c r="BX3660" s="214" t="e">
        <f t="shared" si="128"/>
        <v>#DIV/0!</v>
      </c>
      <c r="BY3660" s="215">
        <f t="shared" si="129"/>
        <v>0</v>
      </c>
    </row>
    <row r="3661" spans="76:77" x14ac:dyDescent="0.2">
      <c r="BX3661" s="214" t="e">
        <f t="shared" ref="BX3661:BX3724" si="130">BY3661/BV3661</f>
        <v>#DIV/0!</v>
      </c>
      <c r="BY3661" s="215">
        <f t="shared" si="129"/>
        <v>0</v>
      </c>
    </row>
    <row r="3662" spans="76:77" x14ac:dyDescent="0.2">
      <c r="BX3662" s="214" t="e">
        <f t="shared" si="130"/>
        <v>#DIV/0!</v>
      </c>
      <c r="BY3662" s="215">
        <f t="shared" ref="BY3662:BY3725" si="131">BY3661+BW3662*(BV3662-BV3661)</f>
        <v>0</v>
      </c>
    </row>
    <row r="3663" spans="76:77" x14ac:dyDescent="0.2">
      <c r="BX3663" s="214" t="e">
        <f t="shared" si="130"/>
        <v>#DIV/0!</v>
      </c>
      <c r="BY3663" s="215">
        <f t="shared" si="131"/>
        <v>0</v>
      </c>
    </row>
    <row r="3664" spans="76:77" x14ac:dyDescent="0.2">
      <c r="BX3664" s="214" t="e">
        <f t="shared" si="130"/>
        <v>#DIV/0!</v>
      </c>
      <c r="BY3664" s="215">
        <f t="shared" si="131"/>
        <v>0</v>
      </c>
    </row>
    <row r="3665" spans="76:77" x14ac:dyDescent="0.2">
      <c r="BX3665" s="214" t="e">
        <f t="shared" si="130"/>
        <v>#DIV/0!</v>
      </c>
      <c r="BY3665" s="215">
        <f t="shared" si="131"/>
        <v>0</v>
      </c>
    </row>
    <row r="3666" spans="76:77" x14ac:dyDescent="0.2">
      <c r="BX3666" s="214" t="e">
        <f t="shared" si="130"/>
        <v>#DIV/0!</v>
      </c>
      <c r="BY3666" s="215">
        <f t="shared" si="131"/>
        <v>0</v>
      </c>
    </row>
    <row r="3667" spans="76:77" x14ac:dyDescent="0.2">
      <c r="BX3667" s="214" t="e">
        <f t="shared" si="130"/>
        <v>#DIV/0!</v>
      </c>
      <c r="BY3667" s="215">
        <f t="shared" si="131"/>
        <v>0</v>
      </c>
    </row>
    <row r="3668" spans="76:77" x14ac:dyDescent="0.2">
      <c r="BX3668" s="214" t="e">
        <f t="shared" si="130"/>
        <v>#DIV/0!</v>
      </c>
      <c r="BY3668" s="215">
        <f t="shared" si="131"/>
        <v>0</v>
      </c>
    </row>
    <row r="3669" spans="76:77" x14ac:dyDescent="0.2">
      <c r="BX3669" s="214" t="e">
        <f t="shared" si="130"/>
        <v>#DIV/0!</v>
      </c>
      <c r="BY3669" s="215">
        <f t="shared" si="131"/>
        <v>0</v>
      </c>
    </row>
    <row r="3670" spans="76:77" x14ac:dyDescent="0.2">
      <c r="BX3670" s="214" t="e">
        <f t="shared" si="130"/>
        <v>#DIV/0!</v>
      </c>
      <c r="BY3670" s="215">
        <f t="shared" si="131"/>
        <v>0</v>
      </c>
    </row>
    <row r="3671" spans="76:77" x14ac:dyDescent="0.2">
      <c r="BX3671" s="214" t="e">
        <f t="shared" si="130"/>
        <v>#DIV/0!</v>
      </c>
      <c r="BY3671" s="215">
        <f t="shared" si="131"/>
        <v>0</v>
      </c>
    </row>
    <row r="3672" spans="76:77" x14ac:dyDescent="0.2">
      <c r="BX3672" s="214" t="e">
        <f t="shared" si="130"/>
        <v>#DIV/0!</v>
      </c>
      <c r="BY3672" s="215">
        <f t="shared" si="131"/>
        <v>0</v>
      </c>
    </row>
    <row r="3673" spans="76:77" x14ac:dyDescent="0.2">
      <c r="BX3673" s="214" t="e">
        <f t="shared" si="130"/>
        <v>#DIV/0!</v>
      </c>
      <c r="BY3673" s="215">
        <f t="shared" si="131"/>
        <v>0</v>
      </c>
    </row>
    <row r="3674" spans="76:77" x14ac:dyDescent="0.2">
      <c r="BX3674" s="214" t="e">
        <f t="shared" si="130"/>
        <v>#DIV/0!</v>
      </c>
      <c r="BY3674" s="215">
        <f t="shared" si="131"/>
        <v>0</v>
      </c>
    </row>
    <row r="3675" spans="76:77" x14ac:dyDescent="0.2">
      <c r="BX3675" s="214" t="e">
        <f t="shared" si="130"/>
        <v>#DIV/0!</v>
      </c>
      <c r="BY3675" s="215">
        <f t="shared" si="131"/>
        <v>0</v>
      </c>
    </row>
    <row r="3676" spans="76:77" x14ac:dyDescent="0.2">
      <c r="BX3676" s="214" t="e">
        <f t="shared" si="130"/>
        <v>#DIV/0!</v>
      </c>
      <c r="BY3676" s="215">
        <f t="shared" si="131"/>
        <v>0</v>
      </c>
    </row>
    <row r="3677" spans="76:77" x14ac:dyDescent="0.2">
      <c r="BX3677" s="214" t="e">
        <f t="shared" si="130"/>
        <v>#DIV/0!</v>
      </c>
      <c r="BY3677" s="215">
        <f t="shared" si="131"/>
        <v>0</v>
      </c>
    </row>
    <row r="3678" spans="76:77" x14ac:dyDescent="0.2">
      <c r="BX3678" s="214" t="e">
        <f t="shared" si="130"/>
        <v>#DIV/0!</v>
      </c>
      <c r="BY3678" s="215">
        <f t="shared" si="131"/>
        <v>0</v>
      </c>
    </row>
    <row r="3679" spans="76:77" x14ac:dyDescent="0.2">
      <c r="BX3679" s="214" t="e">
        <f t="shared" si="130"/>
        <v>#DIV/0!</v>
      </c>
      <c r="BY3679" s="215">
        <f t="shared" si="131"/>
        <v>0</v>
      </c>
    </row>
    <row r="3680" spans="76:77" x14ac:dyDescent="0.2">
      <c r="BX3680" s="214" t="e">
        <f t="shared" si="130"/>
        <v>#DIV/0!</v>
      </c>
      <c r="BY3680" s="215">
        <f t="shared" si="131"/>
        <v>0</v>
      </c>
    </row>
    <row r="3681" spans="76:77" x14ac:dyDescent="0.2">
      <c r="BX3681" s="214" t="e">
        <f t="shared" si="130"/>
        <v>#DIV/0!</v>
      </c>
      <c r="BY3681" s="215">
        <f t="shared" si="131"/>
        <v>0</v>
      </c>
    </row>
    <row r="3682" spans="76:77" x14ac:dyDescent="0.2">
      <c r="BX3682" s="214" t="e">
        <f t="shared" si="130"/>
        <v>#DIV/0!</v>
      </c>
      <c r="BY3682" s="215">
        <f t="shared" si="131"/>
        <v>0</v>
      </c>
    </row>
    <row r="3683" spans="76:77" x14ac:dyDescent="0.2">
      <c r="BX3683" s="214" t="e">
        <f t="shared" si="130"/>
        <v>#DIV/0!</v>
      </c>
      <c r="BY3683" s="215">
        <f t="shared" si="131"/>
        <v>0</v>
      </c>
    </row>
    <row r="3684" spans="76:77" x14ac:dyDescent="0.2">
      <c r="BX3684" s="214" t="e">
        <f t="shared" si="130"/>
        <v>#DIV/0!</v>
      </c>
      <c r="BY3684" s="215">
        <f t="shared" si="131"/>
        <v>0</v>
      </c>
    </row>
    <row r="3685" spans="76:77" x14ac:dyDescent="0.2">
      <c r="BX3685" s="214" t="e">
        <f t="shared" si="130"/>
        <v>#DIV/0!</v>
      </c>
      <c r="BY3685" s="215">
        <f t="shared" si="131"/>
        <v>0</v>
      </c>
    </row>
    <row r="3686" spans="76:77" x14ac:dyDescent="0.2">
      <c r="BX3686" s="214" t="e">
        <f t="shared" si="130"/>
        <v>#DIV/0!</v>
      </c>
      <c r="BY3686" s="215">
        <f t="shared" si="131"/>
        <v>0</v>
      </c>
    </row>
    <row r="3687" spans="76:77" x14ac:dyDescent="0.2">
      <c r="BX3687" s="214" t="e">
        <f t="shared" si="130"/>
        <v>#DIV/0!</v>
      </c>
      <c r="BY3687" s="215">
        <f t="shared" si="131"/>
        <v>0</v>
      </c>
    </row>
    <row r="3688" spans="76:77" x14ac:dyDescent="0.2">
      <c r="BX3688" s="214" t="e">
        <f t="shared" si="130"/>
        <v>#DIV/0!</v>
      </c>
      <c r="BY3688" s="215">
        <f t="shared" si="131"/>
        <v>0</v>
      </c>
    </row>
    <row r="3689" spans="76:77" x14ac:dyDescent="0.2">
      <c r="BX3689" s="214" t="e">
        <f t="shared" si="130"/>
        <v>#DIV/0!</v>
      </c>
      <c r="BY3689" s="215">
        <f t="shared" si="131"/>
        <v>0</v>
      </c>
    </row>
    <row r="3690" spans="76:77" x14ac:dyDescent="0.2">
      <c r="BX3690" s="214" t="e">
        <f t="shared" si="130"/>
        <v>#DIV/0!</v>
      </c>
      <c r="BY3690" s="215">
        <f t="shared" si="131"/>
        <v>0</v>
      </c>
    </row>
    <row r="3691" spans="76:77" x14ac:dyDescent="0.2">
      <c r="BX3691" s="214" t="e">
        <f t="shared" si="130"/>
        <v>#DIV/0!</v>
      </c>
      <c r="BY3691" s="215">
        <f t="shared" si="131"/>
        <v>0</v>
      </c>
    </row>
    <row r="3692" spans="76:77" x14ac:dyDescent="0.2">
      <c r="BX3692" s="214" t="e">
        <f t="shared" si="130"/>
        <v>#DIV/0!</v>
      </c>
      <c r="BY3692" s="215">
        <f t="shared" si="131"/>
        <v>0</v>
      </c>
    </row>
    <row r="3693" spans="76:77" x14ac:dyDescent="0.2">
      <c r="BX3693" s="214" t="e">
        <f t="shared" si="130"/>
        <v>#DIV/0!</v>
      </c>
      <c r="BY3693" s="215">
        <f t="shared" si="131"/>
        <v>0</v>
      </c>
    </row>
    <row r="3694" spans="76:77" x14ac:dyDescent="0.2">
      <c r="BX3694" s="214" t="e">
        <f t="shared" si="130"/>
        <v>#DIV/0!</v>
      </c>
      <c r="BY3694" s="215">
        <f t="shared" si="131"/>
        <v>0</v>
      </c>
    </row>
    <row r="3695" spans="76:77" x14ac:dyDescent="0.2">
      <c r="BX3695" s="214" t="e">
        <f t="shared" si="130"/>
        <v>#DIV/0!</v>
      </c>
      <c r="BY3695" s="215">
        <f t="shared" si="131"/>
        <v>0</v>
      </c>
    </row>
    <row r="3696" spans="76:77" x14ac:dyDescent="0.2">
      <c r="BX3696" s="214" t="e">
        <f t="shared" si="130"/>
        <v>#DIV/0!</v>
      </c>
      <c r="BY3696" s="215">
        <f t="shared" si="131"/>
        <v>0</v>
      </c>
    </row>
    <row r="3697" spans="76:77" x14ac:dyDescent="0.2">
      <c r="BX3697" s="214" t="e">
        <f t="shared" si="130"/>
        <v>#DIV/0!</v>
      </c>
      <c r="BY3697" s="215">
        <f t="shared" si="131"/>
        <v>0</v>
      </c>
    </row>
    <row r="3698" spans="76:77" x14ac:dyDescent="0.2">
      <c r="BX3698" s="214" t="e">
        <f t="shared" si="130"/>
        <v>#DIV/0!</v>
      </c>
      <c r="BY3698" s="215">
        <f t="shared" si="131"/>
        <v>0</v>
      </c>
    </row>
    <row r="3699" spans="76:77" x14ac:dyDescent="0.2">
      <c r="BX3699" s="214" t="e">
        <f t="shared" si="130"/>
        <v>#DIV/0!</v>
      </c>
      <c r="BY3699" s="215">
        <f t="shared" si="131"/>
        <v>0</v>
      </c>
    </row>
    <row r="3700" spans="76:77" x14ac:dyDescent="0.2">
      <c r="BX3700" s="214" t="e">
        <f t="shared" si="130"/>
        <v>#DIV/0!</v>
      </c>
      <c r="BY3700" s="215">
        <f t="shared" si="131"/>
        <v>0</v>
      </c>
    </row>
    <row r="3701" spans="76:77" x14ac:dyDescent="0.2">
      <c r="BX3701" s="214" t="e">
        <f t="shared" si="130"/>
        <v>#DIV/0!</v>
      </c>
      <c r="BY3701" s="215">
        <f t="shared" si="131"/>
        <v>0</v>
      </c>
    </row>
    <row r="3702" spans="76:77" x14ac:dyDescent="0.2">
      <c r="BX3702" s="214" t="e">
        <f t="shared" si="130"/>
        <v>#DIV/0!</v>
      </c>
      <c r="BY3702" s="215">
        <f t="shared" si="131"/>
        <v>0</v>
      </c>
    </row>
    <row r="3703" spans="76:77" x14ac:dyDescent="0.2">
      <c r="BX3703" s="214" t="e">
        <f t="shared" si="130"/>
        <v>#DIV/0!</v>
      </c>
      <c r="BY3703" s="215">
        <f t="shared" si="131"/>
        <v>0</v>
      </c>
    </row>
    <row r="3704" spans="76:77" x14ac:dyDescent="0.2">
      <c r="BX3704" s="214" t="e">
        <f t="shared" si="130"/>
        <v>#DIV/0!</v>
      </c>
      <c r="BY3704" s="215">
        <f t="shared" si="131"/>
        <v>0</v>
      </c>
    </row>
    <row r="3705" spans="76:77" x14ac:dyDescent="0.2">
      <c r="BX3705" s="214" t="e">
        <f t="shared" si="130"/>
        <v>#DIV/0!</v>
      </c>
      <c r="BY3705" s="215">
        <f t="shared" si="131"/>
        <v>0</v>
      </c>
    </row>
    <row r="3706" spans="76:77" x14ac:dyDescent="0.2">
      <c r="BX3706" s="214" t="e">
        <f t="shared" si="130"/>
        <v>#DIV/0!</v>
      </c>
      <c r="BY3706" s="215">
        <f t="shared" si="131"/>
        <v>0</v>
      </c>
    </row>
    <row r="3707" spans="76:77" x14ac:dyDescent="0.2">
      <c r="BX3707" s="214" t="e">
        <f t="shared" si="130"/>
        <v>#DIV/0!</v>
      </c>
      <c r="BY3707" s="215">
        <f t="shared" si="131"/>
        <v>0</v>
      </c>
    </row>
    <row r="3708" spans="76:77" x14ac:dyDescent="0.2">
      <c r="BX3708" s="214" t="e">
        <f t="shared" si="130"/>
        <v>#DIV/0!</v>
      </c>
      <c r="BY3708" s="215">
        <f t="shared" si="131"/>
        <v>0</v>
      </c>
    </row>
    <row r="3709" spans="76:77" x14ac:dyDescent="0.2">
      <c r="BX3709" s="214" t="e">
        <f t="shared" si="130"/>
        <v>#DIV/0!</v>
      </c>
      <c r="BY3709" s="215">
        <f t="shared" si="131"/>
        <v>0</v>
      </c>
    </row>
    <row r="3710" spans="76:77" x14ac:dyDescent="0.2">
      <c r="BX3710" s="214" t="e">
        <f t="shared" si="130"/>
        <v>#DIV/0!</v>
      </c>
      <c r="BY3710" s="215">
        <f t="shared" si="131"/>
        <v>0</v>
      </c>
    </row>
    <row r="3711" spans="76:77" x14ac:dyDescent="0.2">
      <c r="BX3711" s="214" t="e">
        <f t="shared" si="130"/>
        <v>#DIV/0!</v>
      </c>
      <c r="BY3711" s="215">
        <f t="shared" si="131"/>
        <v>0</v>
      </c>
    </row>
    <row r="3712" spans="76:77" x14ac:dyDescent="0.2">
      <c r="BX3712" s="214" t="e">
        <f t="shared" si="130"/>
        <v>#DIV/0!</v>
      </c>
      <c r="BY3712" s="215">
        <f t="shared" si="131"/>
        <v>0</v>
      </c>
    </row>
    <row r="3713" spans="76:77" x14ac:dyDescent="0.2">
      <c r="BX3713" s="214" t="e">
        <f t="shared" si="130"/>
        <v>#DIV/0!</v>
      </c>
      <c r="BY3713" s="215">
        <f t="shared" si="131"/>
        <v>0</v>
      </c>
    </row>
    <row r="3714" spans="76:77" x14ac:dyDescent="0.2">
      <c r="BX3714" s="214" t="e">
        <f t="shared" si="130"/>
        <v>#DIV/0!</v>
      </c>
      <c r="BY3714" s="215">
        <f t="shared" si="131"/>
        <v>0</v>
      </c>
    </row>
    <row r="3715" spans="76:77" x14ac:dyDescent="0.2">
      <c r="BX3715" s="214" t="e">
        <f t="shared" si="130"/>
        <v>#DIV/0!</v>
      </c>
      <c r="BY3715" s="215">
        <f t="shared" si="131"/>
        <v>0</v>
      </c>
    </row>
    <row r="3716" spans="76:77" x14ac:dyDescent="0.2">
      <c r="BX3716" s="214" t="e">
        <f t="shared" si="130"/>
        <v>#DIV/0!</v>
      </c>
      <c r="BY3716" s="215">
        <f t="shared" si="131"/>
        <v>0</v>
      </c>
    </row>
    <row r="3717" spans="76:77" x14ac:dyDescent="0.2">
      <c r="BX3717" s="214" t="e">
        <f t="shared" si="130"/>
        <v>#DIV/0!</v>
      </c>
      <c r="BY3717" s="215">
        <f t="shared" si="131"/>
        <v>0</v>
      </c>
    </row>
    <row r="3718" spans="76:77" x14ac:dyDescent="0.2">
      <c r="BX3718" s="214" t="e">
        <f t="shared" si="130"/>
        <v>#DIV/0!</v>
      </c>
      <c r="BY3718" s="215">
        <f t="shared" si="131"/>
        <v>0</v>
      </c>
    </row>
    <row r="3719" spans="76:77" x14ac:dyDescent="0.2">
      <c r="BX3719" s="214" t="e">
        <f t="shared" si="130"/>
        <v>#DIV/0!</v>
      </c>
      <c r="BY3719" s="215">
        <f t="shared" si="131"/>
        <v>0</v>
      </c>
    </row>
    <row r="3720" spans="76:77" x14ac:dyDescent="0.2">
      <c r="BX3720" s="214" t="e">
        <f t="shared" si="130"/>
        <v>#DIV/0!</v>
      </c>
      <c r="BY3720" s="215">
        <f t="shared" si="131"/>
        <v>0</v>
      </c>
    </row>
    <row r="3721" spans="76:77" x14ac:dyDescent="0.2">
      <c r="BX3721" s="214" t="e">
        <f t="shared" si="130"/>
        <v>#DIV/0!</v>
      </c>
      <c r="BY3721" s="215">
        <f t="shared" si="131"/>
        <v>0</v>
      </c>
    </row>
    <row r="3722" spans="76:77" x14ac:dyDescent="0.2">
      <c r="BX3722" s="214" t="e">
        <f t="shared" si="130"/>
        <v>#DIV/0!</v>
      </c>
      <c r="BY3722" s="215">
        <f t="shared" si="131"/>
        <v>0</v>
      </c>
    </row>
    <row r="3723" spans="76:77" x14ac:dyDescent="0.2">
      <c r="BX3723" s="214" t="e">
        <f t="shared" si="130"/>
        <v>#DIV/0!</v>
      </c>
      <c r="BY3723" s="215">
        <f t="shared" si="131"/>
        <v>0</v>
      </c>
    </row>
    <row r="3724" spans="76:77" x14ac:dyDescent="0.2">
      <c r="BX3724" s="214" t="e">
        <f t="shared" si="130"/>
        <v>#DIV/0!</v>
      </c>
      <c r="BY3724" s="215">
        <f t="shared" si="131"/>
        <v>0</v>
      </c>
    </row>
    <row r="3725" spans="76:77" x14ac:dyDescent="0.2">
      <c r="BX3725" s="214" t="e">
        <f t="shared" ref="BX3725:BX3788" si="132">BY3725/BV3725</f>
        <v>#DIV/0!</v>
      </c>
      <c r="BY3725" s="215">
        <f t="shared" si="131"/>
        <v>0</v>
      </c>
    </row>
    <row r="3726" spans="76:77" x14ac:dyDescent="0.2">
      <c r="BX3726" s="214" t="e">
        <f t="shared" si="132"/>
        <v>#DIV/0!</v>
      </c>
      <c r="BY3726" s="215">
        <f t="shared" ref="BY3726:BY3789" si="133">BY3725+BW3726*(BV3726-BV3725)</f>
        <v>0</v>
      </c>
    </row>
    <row r="3727" spans="76:77" x14ac:dyDescent="0.2">
      <c r="BX3727" s="214" t="e">
        <f t="shared" si="132"/>
        <v>#DIV/0!</v>
      </c>
      <c r="BY3727" s="215">
        <f t="shared" si="133"/>
        <v>0</v>
      </c>
    </row>
    <row r="3728" spans="76:77" x14ac:dyDescent="0.2">
      <c r="BX3728" s="214" t="e">
        <f t="shared" si="132"/>
        <v>#DIV/0!</v>
      </c>
      <c r="BY3728" s="215">
        <f t="shared" si="133"/>
        <v>0</v>
      </c>
    </row>
    <row r="3729" spans="76:77" x14ac:dyDescent="0.2">
      <c r="BX3729" s="214" t="e">
        <f t="shared" si="132"/>
        <v>#DIV/0!</v>
      </c>
      <c r="BY3729" s="215">
        <f t="shared" si="133"/>
        <v>0</v>
      </c>
    </row>
    <row r="3730" spans="76:77" x14ac:dyDescent="0.2">
      <c r="BX3730" s="214" t="e">
        <f t="shared" si="132"/>
        <v>#DIV/0!</v>
      </c>
      <c r="BY3730" s="215">
        <f t="shared" si="133"/>
        <v>0</v>
      </c>
    </row>
    <row r="3731" spans="76:77" x14ac:dyDescent="0.2">
      <c r="BX3731" s="214" t="e">
        <f t="shared" si="132"/>
        <v>#DIV/0!</v>
      </c>
      <c r="BY3731" s="215">
        <f t="shared" si="133"/>
        <v>0</v>
      </c>
    </row>
    <row r="3732" spans="76:77" x14ac:dyDescent="0.2">
      <c r="BX3732" s="214" t="e">
        <f t="shared" si="132"/>
        <v>#DIV/0!</v>
      </c>
      <c r="BY3732" s="215">
        <f t="shared" si="133"/>
        <v>0</v>
      </c>
    </row>
    <row r="3733" spans="76:77" x14ac:dyDescent="0.2">
      <c r="BX3733" s="214" t="e">
        <f t="shared" si="132"/>
        <v>#DIV/0!</v>
      </c>
      <c r="BY3733" s="215">
        <f t="shared" si="133"/>
        <v>0</v>
      </c>
    </row>
    <row r="3734" spans="76:77" x14ac:dyDescent="0.2">
      <c r="BX3734" s="214" t="e">
        <f t="shared" si="132"/>
        <v>#DIV/0!</v>
      </c>
      <c r="BY3734" s="215">
        <f t="shared" si="133"/>
        <v>0</v>
      </c>
    </row>
    <row r="3735" spans="76:77" x14ac:dyDescent="0.2">
      <c r="BX3735" s="214" t="e">
        <f t="shared" si="132"/>
        <v>#DIV/0!</v>
      </c>
      <c r="BY3735" s="215">
        <f t="shared" si="133"/>
        <v>0</v>
      </c>
    </row>
    <row r="3736" spans="76:77" x14ac:dyDescent="0.2">
      <c r="BX3736" s="214" t="e">
        <f t="shared" si="132"/>
        <v>#DIV/0!</v>
      </c>
      <c r="BY3736" s="215">
        <f t="shared" si="133"/>
        <v>0</v>
      </c>
    </row>
    <row r="3737" spans="76:77" x14ac:dyDescent="0.2">
      <c r="BX3737" s="214" t="e">
        <f t="shared" si="132"/>
        <v>#DIV/0!</v>
      </c>
      <c r="BY3737" s="215">
        <f t="shared" si="133"/>
        <v>0</v>
      </c>
    </row>
    <row r="3738" spans="76:77" x14ac:dyDescent="0.2">
      <c r="BX3738" s="214" t="e">
        <f t="shared" si="132"/>
        <v>#DIV/0!</v>
      </c>
      <c r="BY3738" s="215">
        <f t="shared" si="133"/>
        <v>0</v>
      </c>
    </row>
    <row r="3739" spans="76:77" x14ac:dyDescent="0.2">
      <c r="BX3739" s="214" t="e">
        <f t="shared" si="132"/>
        <v>#DIV/0!</v>
      </c>
      <c r="BY3739" s="215">
        <f t="shared" si="133"/>
        <v>0</v>
      </c>
    </row>
    <row r="3740" spans="76:77" x14ac:dyDescent="0.2">
      <c r="BX3740" s="214" t="e">
        <f t="shared" si="132"/>
        <v>#DIV/0!</v>
      </c>
      <c r="BY3740" s="215">
        <f t="shared" si="133"/>
        <v>0</v>
      </c>
    </row>
    <row r="3741" spans="76:77" x14ac:dyDescent="0.2">
      <c r="BX3741" s="214" t="e">
        <f t="shared" si="132"/>
        <v>#DIV/0!</v>
      </c>
      <c r="BY3741" s="215">
        <f t="shared" si="133"/>
        <v>0</v>
      </c>
    </row>
    <row r="3742" spans="76:77" x14ac:dyDescent="0.2">
      <c r="BX3742" s="214" t="e">
        <f t="shared" si="132"/>
        <v>#DIV/0!</v>
      </c>
      <c r="BY3742" s="215">
        <f t="shared" si="133"/>
        <v>0</v>
      </c>
    </row>
    <row r="3743" spans="76:77" x14ac:dyDescent="0.2">
      <c r="BX3743" s="214" t="e">
        <f t="shared" si="132"/>
        <v>#DIV/0!</v>
      </c>
      <c r="BY3743" s="215">
        <f t="shared" si="133"/>
        <v>0</v>
      </c>
    </row>
    <row r="3744" spans="76:77" x14ac:dyDescent="0.2">
      <c r="BX3744" s="214" t="e">
        <f t="shared" si="132"/>
        <v>#DIV/0!</v>
      </c>
      <c r="BY3744" s="215">
        <f t="shared" si="133"/>
        <v>0</v>
      </c>
    </row>
    <row r="3745" spans="76:77" x14ac:dyDescent="0.2">
      <c r="BX3745" s="214" t="e">
        <f t="shared" si="132"/>
        <v>#DIV/0!</v>
      </c>
      <c r="BY3745" s="215">
        <f t="shared" si="133"/>
        <v>0</v>
      </c>
    </row>
    <row r="3746" spans="76:77" x14ac:dyDescent="0.2">
      <c r="BX3746" s="214" t="e">
        <f t="shared" si="132"/>
        <v>#DIV/0!</v>
      </c>
      <c r="BY3746" s="215">
        <f t="shared" si="133"/>
        <v>0</v>
      </c>
    </row>
    <row r="3747" spans="76:77" x14ac:dyDescent="0.2">
      <c r="BX3747" s="214" t="e">
        <f t="shared" si="132"/>
        <v>#DIV/0!</v>
      </c>
      <c r="BY3747" s="215">
        <f t="shared" si="133"/>
        <v>0</v>
      </c>
    </row>
    <row r="3748" spans="76:77" x14ac:dyDescent="0.2">
      <c r="BX3748" s="214" t="e">
        <f t="shared" si="132"/>
        <v>#DIV/0!</v>
      </c>
      <c r="BY3748" s="215">
        <f t="shared" si="133"/>
        <v>0</v>
      </c>
    </row>
    <row r="3749" spans="76:77" x14ac:dyDescent="0.2">
      <c r="BX3749" s="214" t="e">
        <f t="shared" si="132"/>
        <v>#DIV/0!</v>
      </c>
      <c r="BY3749" s="215">
        <f t="shared" si="133"/>
        <v>0</v>
      </c>
    </row>
    <row r="3750" spans="76:77" x14ac:dyDescent="0.2">
      <c r="BX3750" s="214" t="e">
        <f t="shared" si="132"/>
        <v>#DIV/0!</v>
      </c>
      <c r="BY3750" s="215">
        <f t="shared" si="133"/>
        <v>0</v>
      </c>
    </row>
    <row r="3751" spans="76:77" x14ac:dyDescent="0.2">
      <c r="BX3751" s="214" t="e">
        <f t="shared" si="132"/>
        <v>#DIV/0!</v>
      </c>
      <c r="BY3751" s="215">
        <f t="shared" si="133"/>
        <v>0</v>
      </c>
    </row>
    <row r="3752" spans="76:77" x14ac:dyDescent="0.2">
      <c r="BX3752" s="214" t="e">
        <f t="shared" si="132"/>
        <v>#DIV/0!</v>
      </c>
      <c r="BY3752" s="215">
        <f t="shared" si="133"/>
        <v>0</v>
      </c>
    </row>
    <row r="3753" spans="76:77" x14ac:dyDescent="0.2">
      <c r="BX3753" s="214" t="e">
        <f t="shared" si="132"/>
        <v>#DIV/0!</v>
      </c>
      <c r="BY3753" s="215">
        <f t="shared" si="133"/>
        <v>0</v>
      </c>
    </row>
    <row r="3754" spans="76:77" x14ac:dyDescent="0.2">
      <c r="BX3754" s="214" t="e">
        <f t="shared" si="132"/>
        <v>#DIV/0!</v>
      </c>
      <c r="BY3754" s="215">
        <f t="shared" si="133"/>
        <v>0</v>
      </c>
    </row>
    <row r="3755" spans="76:77" x14ac:dyDescent="0.2">
      <c r="BX3755" s="214" t="e">
        <f t="shared" si="132"/>
        <v>#DIV/0!</v>
      </c>
      <c r="BY3755" s="215">
        <f t="shared" si="133"/>
        <v>0</v>
      </c>
    </row>
    <row r="3756" spans="76:77" x14ac:dyDescent="0.2">
      <c r="BX3756" s="214" t="e">
        <f t="shared" si="132"/>
        <v>#DIV/0!</v>
      </c>
      <c r="BY3756" s="215">
        <f t="shared" si="133"/>
        <v>0</v>
      </c>
    </row>
    <row r="3757" spans="76:77" x14ac:dyDescent="0.2">
      <c r="BX3757" s="214" t="e">
        <f t="shared" si="132"/>
        <v>#DIV/0!</v>
      </c>
      <c r="BY3757" s="215">
        <f t="shared" si="133"/>
        <v>0</v>
      </c>
    </row>
    <row r="3758" spans="76:77" x14ac:dyDescent="0.2">
      <c r="BX3758" s="214" t="e">
        <f t="shared" si="132"/>
        <v>#DIV/0!</v>
      </c>
      <c r="BY3758" s="215">
        <f t="shared" si="133"/>
        <v>0</v>
      </c>
    </row>
    <row r="3759" spans="76:77" x14ac:dyDescent="0.2">
      <c r="BX3759" s="214" t="e">
        <f t="shared" si="132"/>
        <v>#DIV/0!</v>
      </c>
      <c r="BY3759" s="215">
        <f t="shared" si="133"/>
        <v>0</v>
      </c>
    </row>
    <row r="3760" spans="76:77" x14ac:dyDescent="0.2">
      <c r="BX3760" s="214" t="e">
        <f t="shared" si="132"/>
        <v>#DIV/0!</v>
      </c>
      <c r="BY3760" s="215">
        <f t="shared" si="133"/>
        <v>0</v>
      </c>
    </row>
    <row r="3761" spans="76:77" x14ac:dyDescent="0.2">
      <c r="BX3761" s="214" t="e">
        <f t="shared" si="132"/>
        <v>#DIV/0!</v>
      </c>
      <c r="BY3761" s="215">
        <f t="shared" si="133"/>
        <v>0</v>
      </c>
    </row>
    <row r="3762" spans="76:77" x14ac:dyDescent="0.2">
      <c r="BX3762" s="214" t="e">
        <f t="shared" si="132"/>
        <v>#DIV/0!</v>
      </c>
      <c r="BY3762" s="215">
        <f t="shared" si="133"/>
        <v>0</v>
      </c>
    </row>
    <row r="3763" spans="76:77" x14ac:dyDescent="0.2">
      <c r="BX3763" s="214" t="e">
        <f t="shared" si="132"/>
        <v>#DIV/0!</v>
      </c>
      <c r="BY3763" s="215">
        <f t="shared" si="133"/>
        <v>0</v>
      </c>
    </row>
    <row r="3764" spans="76:77" x14ac:dyDescent="0.2">
      <c r="BX3764" s="214" t="e">
        <f t="shared" si="132"/>
        <v>#DIV/0!</v>
      </c>
      <c r="BY3764" s="215">
        <f t="shared" si="133"/>
        <v>0</v>
      </c>
    </row>
    <row r="3765" spans="76:77" x14ac:dyDescent="0.2">
      <c r="BX3765" s="214" t="e">
        <f t="shared" si="132"/>
        <v>#DIV/0!</v>
      </c>
      <c r="BY3765" s="215">
        <f t="shared" si="133"/>
        <v>0</v>
      </c>
    </row>
    <row r="3766" spans="76:77" x14ac:dyDescent="0.2">
      <c r="BX3766" s="214" t="e">
        <f t="shared" si="132"/>
        <v>#DIV/0!</v>
      </c>
      <c r="BY3766" s="215">
        <f t="shared" si="133"/>
        <v>0</v>
      </c>
    </row>
    <row r="3767" spans="76:77" x14ac:dyDescent="0.2">
      <c r="BX3767" s="214" t="e">
        <f t="shared" si="132"/>
        <v>#DIV/0!</v>
      </c>
      <c r="BY3767" s="215">
        <f t="shared" si="133"/>
        <v>0</v>
      </c>
    </row>
    <row r="3768" spans="76:77" x14ac:dyDescent="0.2">
      <c r="BX3768" s="214" t="e">
        <f t="shared" si="132"/>
        <v>#DIV/0!</v>
      </c>
      <c r="BY3768" s="215">
        <f t="shared" si="133"/>
        <v>0</v>
      </c>
    </row>
    <row r="3769" spans="76:77" x14ac:dyDescent="0.2">
      <c r="BX3769" s="214" t="e">
        <f t="shared" si="132"/>
        <v>#DIV/0!</v>
      </c>
      <c r="BY3769" s="215">
        <f t="shared" si="133"/>
        <v>0</v>
      </c>
    </row>
    <row r="3770" spans="76:77" x14ac:dyDescent="0.2">
      <c r="BX3770" s="214" t="e">
        <f t="shared" si="132"/>
        <v>#DIV/0!</v>
      </c>
      <c r="BY3770" s="215">
        <f t="shared" si="133"/>
        <v>0</v>
      </c>
    </row>
    <row r="3771" spans="76:77" x14ac:dyDescent="0.2">
      <c r="BX3771" s="214" t="e">
        <f t="shared" si="132"/>
        <v>#DIV/0!</v>
      </c>
      <c r="BY3771" s="215">
        <f t="shared" si="133"/>
        <v>0</v>
      </c>
    </row>
    <row r="3772" spans="76:77" x14ac:dyDescent="0.2">
      <c r="BX3772" s="214" t="e">
        <f t="shared" si="132"/>
        <v>#DIV/0!</v>
      </c>
      <c r="BY3772" s="215">
        <f t="shared" si="133"/>
        <v>0</v>
      </c>
    </row>
    <row r="3773" spans="76:77" x14ac:dyDescent="0.2">
      <c r="BX3773" s="214" t="e">
        <f t="shared" si="132"/>
        <v>#DIV/0!</v>
      </c>
      <c r="BY3773" s="215">
        <f t="shared" si="133"/>
        <v>0</v>
      </c>
    </row>
    <row r="3774" spans="76:77" x14ac:dyDescent="0.2">
      <c r="BX3774" s="214" t="e">
        <f t="shared" si="132"/>
        <v>#DIV/0!</v>
      </c>
      <c r="BY3774" s="215">
        <f t="shared" si="133"/>
        <v>0</v>
      </c>
    </row>
    <row r="3775" spans="76:77" x14ac:dyDescent="0.2">
      <c r="BX3775" s="214" t="e">
        <f t="shared" si="132"/>
        <v>#DIV/0!</v>
      </c>
      <c r="BY3775" s="215">
        <f t="shared" si="133"/>
        <v>0</v>
      </c>
    </row>
    <row r="3776" spans="76:77" x14ac:dyDescent="0.2">
      <c r="BX3776" s="214" t="e">
        <f t="shared" si="132"/>
        <v>#DIV/0!</v>
      </c>
      <c r="BY3776" s="215">
        <f t="shared" si="133"/>
        <v>0</v>
      </c>
    </row>
    <row r="3777" spans="76:77" x14ac:dyDescent="0.2">
      <c r="BX3777" s="214" t="e">
        <f t="shared" si="132"/>
        <v>#DIV/0!</v>
      </c>
      <c r="BY3777" s="215">
        <f t="shared" si="133"/>
        <v>0</v>
      </c>
    </row>
    <row r="3778" spans="76:77" x14ac:dyDescent="0.2">
      <c r="BX3778" s="214" t="e">
        <f t="shared" si="132"/>
        <v>#DIV/0!</v>
      </c>
      <c r="BY3778" s="215">
        <f t="shared" si="133"/>
        <v>0</v>
      </c>
    </row>
    <row r="3779" spans="76:77" x14ac:dyDescent="0.2">
      <c r="BX3779" s="214" t="e">
        <f t="shared" si="132"/>
        <v>#DIV/0!</v>
      </c>
      <c r="BY3779" s="215">
        <f t="shared" si="133"/>
        <v>0</v>
      </c>
    </row>
    <row r="3780" spans="76:77" x14ac:dyDescent="0.2">
      <c r="BX3780" s="214" t="e">
        <f t="shared" si="132"/>
        <v>#DIV/0!</v>
      </c>
      <c r="BY3780" s="215">
        <f t="shared" si="133"/>
        <v>0</v>
      </c>
    </row>
    <row r="3781" spans="76:77" x14ac:dyDescent="0.2">
      <c r="BX3781" s="214" t="e">
        <f t="shared" si="132"/>
        <v>#DIV/0!</v>
      </c>
      <c r="BY3781" s="215">
        <f t="shared" si="133"/>
        <v>0</v>
      </c>
    </row>
    <row r="3782" spans="76:77" x14ac:dyDescent="0.2">
      <c r="BX3782" s="214" t="e">
        <f t="shared" si="132"/>
        <v>#DIV/0!</v>
      </c>
      <c r="BY3782" s="215">
        <f t="shared" si="133"/>
        <v>0</v>
      </c>
    </row>
    <row r="3783" spans="76:77" x14ac:dyDescent="0.2">
      <c r="BX3783" s="214" t="e">
        <f t="shared" si="132"/>
        <v>#DIV/0!</v>
      </c>
      <c r="BY3783" s="215">
        <f t="shared" si="133"/>
        <v>0</v>
      </c>
    </row>
    <row r="3784" spans="76:77" x14ac:dyDescent="0.2">
      <c r="BX3784" s="214" t="e">
        <f t="shared" si="132"/>
        <v>#DIV/0!</v>
      </c>
      <c r="BY3784" s="215">
        <f t="shared" si="133"/>
        <v>0</v>
      </c>
    </row>
    <row r="3785" spans="76:77" x14ac:dyDescent="0.2">
      <c r="BX3785" s="214" t="e">
        <f t="shared" si="132"/>
        <v>#DIV/0!</v>
      </c>
      <c r="BY3785" s="215">
        <f t="shared" si="133"/>
        <v>0</v>
      </c>
    </row>
    <row r="3786" spans="76:77" x14ac:dyDescent="0.2">
      <c r="BX3786" s="214" t="e">
        <f t="shared" si="132"/>
        <v>#DIV/0!</v>
      </c>
      <c r="BY3786" s="215">
        <f t="shared" si="133"/>
        <v>0</v>
      </c>
    </row>
    <row r="3787" spans="76:77" x14ac:dyDescent="0.2">
      <c r="BX3787" s="214" t="e">
        <f t="shared" si="132"/>
        <v>#DIV/0!</v>
      </c>
      <c r="BY3787" s="215">
        <f t="shared" si="133"/>
        <v>0</v>
      </c>
    </row>
    <row r="3788" spans="76:77" x14ac:dyDescent="0.2">
      <c r="BX3788" s="214" t="e">
        <f t="shared" si="132"/>
        <v>#DIV/0!</v>
      </c>
      <c r="BY3788" s="215">
        <f t="shared" si="133"/>
        <v>0</v>
      </c>
    </row>
    <row r="3789" spans="76:77" x14ac:dyDescent="0.2">
      <c r="BX3789" s="214" t="e">
        <f t="shared" ref="BX3789:BX3852" si="134">BY3789/BV3789</f>
        <v>#DIV/0!</v>
      </c>
      <c r="BY3789" s="215">
        <f t="shared" si="133"/>
        <v>0</v>
      </c>
    </row>
    <row r="3790" spans="76:77" x14ac:dyDescent="0.2">
      <c r="BX3790" s="214" t="e">
        <f t="shared" si="134"/>
        <v>#DIV/0!</v>
      </c>
      <c r="BY3790" s="215">
        <f t="shared" ref="BY3790:BY3853" si="135">BY3789+BW3790*(BV3790-BV3789)</f>
        <v>0</v>
      </c>
    </row>
    <row r="3791" spans="76:77" x14ac:dyDescent="0.2">
      <c r="BX3791" s="214" t="e">
        <f t="shared" si="134"/>
        <v>#DIV/0!</v>
      </c>
      <c r="BY3791" s="215">
        <f t="shared" si="135"/>
        <v>0</v>
      </c>
    </row>
    <row r="3792" spans="76:77" x14ac:dyDescent="0.2">
      <c r="BX3792" s="214" t="e">
        <f t="shared" si="134"/>
        <v>#DIV/0!</v>
      </c>
      <c r="BY3792" s="215">
        <f t="shared" si="135"/>
        <v>0</v>
      </c>
    </row>
    <row r="3793" spans="76:77" x14ac:dyDescent="0.2">
      <c r="BX3793" s="214" t="e">
        <f t="shared" si="134"/>
        <v>#DIV/0!</v>
      </c>
      <c r="BY3793" s="215">
        <f t="shared" si="135"/>
        <v>0</v>
      </c>
    </row>
    <row r="3794" spans="76:77" x14ac:dyDescent="0.2">
      <c r="BX3794" s="214" t="e">
        <f t="shared" si="134"/>
        <v>#DIV/0!</v>
      </c>
      <c r="BY3794" s="215">
        <f t="shared" si="135"/>
        <v>0</v>
      </c>
    </row>
    <row r="3795" spans="76:77" x14ac:dyDescent="0.2">
      <c r="BX3795" s="214" t="e">
        <f t="shared" si="134"/>
        <v>#DIV/0!</v>
      </c>
      <c r="BY3795" s="215">
        <f t="shared" si="135"/>
        <v>0</v>
      </c>
    </row>
    <row r="3796" spans="76:77" x14ac:dyDescent="0.2">
      <c r="BX3796" s="214" t="e">
        <f t="shared" si="134"/>
        <v>#DIV/0!</v>
      </c>
      <c r="BY3796" s="215">
        <f t="shared" si="135"/>
        <v>0</v>
      </c>
    </row>
    <row r="3797" spans="76:77" x14ac:dyDescent="0.2">
      <c r="BX3797" s="214" t="e">
        <f t="shared" si="134"/>
        <v>#DIV/0!</v>
      </c>
      <c r="BY3797" s="215">
        <f t="shared" si="135"/>
        <v>0</v>
      </c>
    </row>
    <row r="3798" spans="76:77" x14ac:dyDescent="0.2">
      <c r="BX3798" s="214" t="e">
        <f t="shared" si="134"/>
        <v>#DIV/0!</v>
      </c>
      <c r="BY3798" s="215">
        <f t="shared" si="135"/>
        <v>0</v>
      </c>
    </row>
    <row r="3799" spans="76:77" x14ac:dyDescent="0.2">
      <c r="BX3799" s="214" t="e">
        <f t="shared" si="134"/>
        <v>#DIV/0!</v>
      </c>
      <c r="BY3799" s="215">
        <f t="shared" si="135"/>
        <v>0</v>
      </c>
    </row>
    <row r="3800" spans="76:77" x14ac:dyDescent="0.2">
      <c r="BX3800" s="214" t="e">
        <f t="shared" si="134"/>
        <v>#DIV/0!</v>
      </c>
      <c r="BY3800" s="215">
        <f t="shared" si="135"/>
        <v>0</v>
      </c>
    </row>
    <row r="3801" spans="76:77" x14ac:dyDescent="0.2">
      <c r="BX3801" s="214" t="e">
        <f t="shared" si="134"/>
        <v>#DIV/0!</v>
      </c>
      <c r="BY3801" s="215">
        <f t="shared" si="135"/>
        <v>0</v>
      </c>
    </row>
    <row r="3802" spans="76:77" x14ac:dyDescent="0.2">
      <c r="BX3802" s="214" t="e">
        <f t="shared" si="134"/>
        <v>#DIV/0!</v>
      </c>
      <c r="BY3802" s="215">
        <f t="shared" si="135"/>
        <v>0</v>
      </c>
    </row>
    <row r="3803" spans="76:77" x14ac:dyDescent="0.2">
      <c r="BX3803" s="214" t="e">
        <f t="shared" si="134"/>
        <v>#DIV/0!</v>
      </c>
      <c r="BY3803" s="215">
        <f t="shared" si="135"/>
        <v>0</v>
      </c>
    </row>
    <row r="3804" spans="76:77" x14ac:dyDescent="0.2">
      <c r="BX3804" s="214" t="e">
        <f t="shared" si="134"/>
        <v>#DIV/0!</v>
      </c>
      <c r="BY3804" s="215">
        <f t="shared" si="135"/>
        <v>0</v>
      </c>
    </row>
    <row r="3805" spans="76:77" x14ac:dyDescent="0.2">
      <c r="BX3805" s="214" t="e">
        <f t="shared" si="134"/>
        <v>#DIV/0!</v>
      </c>
      <c r="BY3805" s="215">
        <f t="shared" si="135"/>
        <v>0</v>
      </c>
    </row>
    <row r="3806" spans="76:77" x14ac:dyDescent="0.2">
      <c r="BX3806" s="214" t="e">
        <f t="shared" si="134"/>
        <v>#DIV/0!</v>
      </c>
      <c r="BY3806" s="215">
        <f t="shared" si="135"/>
        <v>0</v>
      </c>
    </row>
    <row r="3807" spans="76:77" x14ac:dyDescent="0.2">
      <c r="BX3807" s="214" t="e">
        <f t="shared" si="134"/>
        <v>#DIV/0!</v>
      </c>
      <c r="BY3807" s="215">
        <f t="shared" si="135"/>
        <v>0</v>
      </c>
    </row>
    <row r="3808" spans="76:77" x14ac:dyDescent="0.2">
      <c r="BX3808" s="214" t="e">
        <f t="shared" si="134"/>
        <v>#DIV/0!</v>
      </c>
      <c r="BY3808" s="215">
        <f t="shared" si="135"/>
        <v>0</v>
      </c>
    </row>
    <row r="3809" spans="76:77" x14ac:dyDescent="0.2">
      <c r="BX3809" s="214" t="e">
        <f t="shared" si="134"/>
        <v>#DIV/0!</v>
      </c>
      <c r="BY3809" s="215">
        <f t="shared" si="135"/>
        <v>0</v>
      </c>
    </row>
    <row r="3810" spans="76:77" x14ac:dyDescent="0.2">
      <c r="BX3810" s="214" t="e">
        <f t="shared" si="134"/>
        <v>#DIV/0!</v>
      </c>
      <c r="BY3810" s="215">
        <f t="shared" si="135"/>
        <v>0</v>
      </c>
    </row>
    <row r="3811" spans="76:77" x14ac:dyDescent="0.2">
      <c r="BX3811" s="214" t="e">
        <f t="shared" si="134"/>
        <v>#DIV/0!</v>
      </c>
      <c r="BY3811" s="215">
        <f t="shared" si="135"/>
        <v>0</v>
      </c>
    </row>
    <row r="3812" spans="76:77" x14ac:dyDescent="0.2">
      <c r="BX3812" s="214" t="e">
        <f t="shared" si="134"/>
        <v>#DIV/0!</v>
      </c>
      <c r="BY3812" s="215">
        <f t="shared" si="135"/>
        <v>0</v>
      </c>
    </row>
    <row r="3813" spans="76:77" x14ac:dyDescent="0.2">
      <c r="BX3813" s="214" t="e">
        <f t="shared" si="134"/>
        <v>#DIV/0!</v>
      </c>
      <c r="BY3813" s="215">
        <f t="shared" si="135"/>
        <v>0</v>
      </c>
    </row>
    <row r="3814" spans="76:77" x14ac:dyDescent="0.2">
      <c r="BX3814" s="214" t="e">
        <f t="shared" si="134"/>
        <v>#DIV/0!</v>
      </c>
      <c r="BY3814" s="215">
        <f t="shared" si="135"/>
        <v>0</v>
      </c>
    </row>
    <row r="3815" spans="76:77" x14ac:dyDescent="0.2">
      <c r="BX3815" s="214" t="e">
        <f t="shared" si="134"/>
        <v>#DIV/0!</v>
      </c>
      <c r="BY3815" s="215">
        <f t="shared" si="135"/>
        <v>0</v>
      </c>
    </row>
    <row r="3816" spans="76:77" x14ac:dyDescent="0.2">
      <c r="BX3816" s="214" t="e">
        <f t="shared" si="134"/>
        <v>#DIV/0!</v>
      </c>
      <c r="BY3816" s="215">
        <f t="shared" si="135"/>
        <v>0</v>
      </c>
    </row>
    <row r="3817" spans="76:77" x14ac:dyDescent="0.2">
      <c r="BX3817" s="214" t="e">
        <f t="shared" si="134"/>
        <v>#DIV/0!</v>
      </c>
      <c r="BY3817" s="215">
        <f t="shared" si="135"/>
        <v>0</v>
      </c>
    </row>
    <row r="3818" spans="76:77" x14ac:dyDescent="0.2">
      <c r="BX3818" s="214" t="e">
        <f t="shared" si="134"/>
        <v>#DIV/0!</v>
      </c>
      <c r="BY3818" s="215">
        <f t="shared" si="135"/>
        <v>0</v>
      </c>
    </row>
    <row r="3819" spans="76:77" x14ac:dyDescent="0.2">
      <c r="BX3819" s="214" t="e">
        <f t="shared" si="134"/>
        <v>#DIV/0!</v>
      </c>
      <c r="BY3819" s="215">
        <f t="shared" si="135"/>
        <v>0</v>
      </c>
    </row>
    <row r="3820" spans="76:77" x14ac:dyDescent="0.2">
      <c r="BX3820" s="214" t="e">
        <f t="shared" si="134"/>
        <v>#DIV/0!</v>
      </c>
      <c r="BY3820" s="215">
        <f t="shared" si="135"/>
        <v>0</v>
      </c>
    </row>
    <row r="3821" spans="76:77" x14ac:dyDescent="0.2">
      <c r="BX3821" s="214" t="e">
        <f t="shared" si="134"/>
        <v>#DIV/0!</v>
      </c>
      <c r="BY3821" s="215">
        <f t="shared" si="135"/>
        <v>0</v>
      </c>
    </row>
    <row r="3822" spans="76:77" x14ac:dyDescent="0.2">
      <c r="BX3822" s="214" t="e">
        <f t="shared" si="134"/>
        <v>#DIV/0!</v>
      </c>
      <c r="BY3822" s="215">
        <f t="shared" si="135"/>
        <v>0</v>
      </c>
    </row>
    <row r="3823" spans="76:77" x14ac:dyDescent="0.2">
      <c r="BX3823" s="214" t="e">
        <f t="shared" si="134"/>
        <v>#DIV/0!</v>
      </c>
      <c r="BY3823" s="215">
        <f t="shared" si="135"/>
        <v>0</v>
      </c>
    </row>
    <row r="3824" spans="76:77" x14ac:dyDescent="0.2">
      <c r="BX3824" s="214" t="e">
        <f t="shared" si="134"/>
        <v>#DIV/0!</v>
      </c>
      <c r="BY3824" s="215">
        <f t="shared" si="135"/>
        <v>0</v>
      </c>
    </row>
    <row r="3825" spans="76:77" x14ac:dyDescent="0.2">
      <c r="BX3825" s="214" t="e">
        <f t="shared" si="134"/>
        <v>#DIV/0!</v>
      </c>
      <c r="BY3825" s="215">
        <f t="shared" si="135"/>
        <v>0</v>
      </c>
    </row>
    <row r="3826" spans="76:77" x14ac:dyDescent="0.2">
      <c r="BX3826" s="214" t="e">
        <f t="shared" si="134"/>
        <v>#DIV/0!</v>
      </c>
      <c r="BY3826" s="215">
        <f t="shared" si="135"/>
        <v>0</v>
      </c>
    </row>
    <row r="3827" spans="76:77" x14ac:dyDescent="0.2">
      <c r="BX3827" s="214" t="e">
        <f t="shared" si="134"/>
        <v>#DIV/0!</v>
      </c>
      <c r="BY3827" s="215">
        <f t="shared" si="135"/>
        <v>0</v>
      </c>
    </row>
    <row r="3828" spans="76:77" x14ac:dyDescent="0.2">
      <c r="BX3828" s="214" t="e">
        <f t="shared" si="134"/>
        <v>#DIV/0!</v>
      </c>
      <c r="BY3828" s="215">
        <f t="shared" si="135"/>
        <v>0</v>
      </c>
    </row>
    <row r="3829" spans="76:77" x14ac:dyDescent="0.2">
      <c r="BX3829" s="214" t="e">
        <f t="shared" si="134"/>
        <v>#DIV/0!</v>
      </c>
      <c r="BY3829" s="215">
        <f t="shared" si="135"/>
        <v>0</v>
      </c>
    </row>
    <row r="3830" spans="76:77" x14ac:dyDescent="0.2">
      <c r="BX3830" s="214" t="e">
        <f t="shared" si="134"/>
        <v>#DIV/0!</v>
      </c>
      <c r="BY3830" s="215">
        <f t="shared" si="135"/>
        <v>0</v>
      </c>
    </row>
    <row r="3831" spans="76:77" x14ac:dyDescent="0.2">
      <c r="BX3831" s="214" t="e">
        <f t="shared" si="134"/>
        <v>#DIV/0!</v>
      </c>
      <c r="BY3831" s="215">
        <f t="shared" si="135"/>
        <v>0</v>
      </c>
    </row>
    <row r="3832" spans="76:77" x14ac:dyDescent="0.2">
      <c r="BX3832" s="214" t="e">
        <f t="shared" si="134"/>
        <v>#DIV/0!</v>
      </c>
      <c r="BY3832" s="215">
        <f t="shared" si="135"/>
        <v>0</v>
      </c>
    </row>
    <row r="3833" spans="76:77" x14ac:dyDescent="0.2">
      <c r="BX3833" s="214" t="e">
        <f t="shared" si="134"/>
        <v>#DIV/0!</v>
      </c>
      <c r="BY3833" s="215">
        <f t="shared" si="135"/>
        <v>0</v>
      </c>
    </row>
    <row r="3834" spans="76:77" x14ac:dyDescent="0.2">
      <c r="BX3834" s="214" t="e">
        <f t="shared" si="134"/>
        <v>#DIV/0!</v>
      </c>
      <c r="BY3834" s="215">
        <f t="shared" si="135"/>
        <v>0</v>
      </c>
    </row>
    <row r="3835" spans="76:77" x14ac:dyDescent="0.2">
      <c r="BX3835" s="214" t="e">
        <f t="shared" si="134"/>
        <v>#DIV/0!</v>
      </c>
      <c r="BY3835" s="215">
        <f t="shared" si="135"/>
        <v>0</v>
      </c>
    </row>
    <row r="3836" spans="76:77" x14ac:dyDescent="0.2">
      <c r="BX3836" s="214" t="e">
        <f t="shared" si="134"/>
        <v>#DIV/0!</v>
      </c>
      <c r="BY3836" s="215">
        <f t="shared" si="135"/>
        <v>0</v>
      </c>
    </row>
    <row r="3837" spans="76:77" x14ac:dyDescent="0.2">
      <c r="BX3837" s="214" t="e">
        <f t="shared" si="134"/>
        <v>#DIV/0!</v>
      </c>
      <c r="BY3837" s="215">
        <f t="shared" si="135"/>
        <v>0</v>
      </c>
    </row>
    <row r="3838" spans="76:77" x14ac:dyDescent="0.2">
      <c r="BX3838" s="214" t="e">
        <f t="shared" si="134"/>
        <v>#DIV/0!</v>
      </c>
      <c r="BY3838" s="215">
        <f t="shared" si="135"/>
        <v>0</v>
      </c>
    </row>
    <row r="3839" spans="76:77" x14ac:dyDescent="0.2">
      <c r="BX3839" s="214" t="e">
        <f t="shared" si="134"/>
        <v>#DIV/0!</v>
      </c>
      <c r="BY3839" s="215">
        <f t="shared" si="135"/>
        <v>0</v>
      </c>
    </row>
    <row r="3840" spans="76:77" x14ac:dyDescent="0.2">
      <c r="BX3840" s="214" t="e">
        <f t="shared" si="134"/>
        <v>#DIV/0!</v>
      </c>
      <c r="BY3840" s="215">
        <f t="shared" si="135"/>
        <v>0</v>
      </c>
    </row>
    <row r="3841" spans="76:77" x14ac:dyDescent="0.2">
      <c r="BX3841" s="214" t="e">
        <f t="shared" si="134"/>
        <v>#DIV/0!</v>
      </c>
      <c r="BY3841" s="215">
        <f t="shared" si="135"/>
        <v>0</v>
      </c>
    </row>
    <row r="3842" spans="76:77" x14ac:dyDescent="0.2">
      <c r="BX3842" s="214" t="e">
        <f t="shared" si="134"/>
        <v>#DIV/0!</v>
      </c>
      <c r="BY3842" s="215">
        <f t="shared" si="135"/>
        <v>0</v>
      </c>
    </row>
    <row r="3843" spans="76:77" x14ac:dyDescent="0.2">
      <c r="BX3843" s="214" t="e">
        <f t="shared" si="134"/>
        <v>#DIV/0!</v>
      </c>
      <c r="BY3843" s="215">
        <f t="shared" si="135"/>
        <v>0</v>
      </c>
    </row>
    <row r="3844" spans="76:77" x14ac:dyDescent="0.2">
      <c r="BX3844" s="214" t="e">
        <f t="shared" si="134"/>
        <v>#DIV/0!</v>
      </c>
      <c r="BY3844" s="215">
        <f t="shared" si="135"/>
        <v>0</v>
      </c>
    </row>
    <row r="3845" spans="76:77" x14ac:dyDescent="0.2">
      <c r="BX3845" s="214" t="e">
        <f t="shared" si="134"/>
        <v>#DIV/0!</v>
      </c>
      <c r="BY3845" s="215">
        <f t="shared" si="135"/>
        <v>0</v>
      </c>
    </row>
    <row r="3846" spans="76:77" x14ac:dyDescent="0.2">
      <c r="BX3846" s="214" t="e">
        <f t="shared" si="134"/>
        <v>#DIV/0!</v>
      </c>
      <c r="BY3846" s="215">
        <f t="shared" si="135"/>
        <v>0</v>
      </c>
    </row>
    <row r="3847" spans="76:77" x14ac:dyDescent="0.2">
      <c r="BX3847" s="214" t="e">
        <f t="shared" si="134"/>
        <v>#DIV/0!</v>
      </c>
      <c r="BY3847" s="215">
        <f t="shared" si="135"/>
        <v>0</v>
      </c>
    </row>
    <row r="3848" spans="76:77" x14ac:dyDescent="0.2">
      <c r="BX3848" s="214" t="e">
        <f t="shared" si="134"/>
        <v>#DIV/0!</v>
      </c>
      <c r="BY3848" s="215">
        <f t="shared" si="135"/>
        <v>0</v>
      </c>
    </row>
    <row r="3849" spans="76:77" x14ac:dyDescent="0.2">
      <c r="BX3849" s="214" t="e">
        <f t="shared" si="134"/>
        <v>#DIV/0!</v>
      </c>
      <c r="BY3849" s="215">
        <f t="shared" si="135"/>
        <v>0</v>
      </c>
    </row>
    <row r="3850" spans="76:77" x14ac:dyDescent="0.2">
      <c r="BX3850" s="214" t="e">
        <f t="shared" si="134"/>
        <v>#DIV/0!</v>
      </c>
      <c r="BY3850" s="215">
        <f t="shared" si="135"/>
        <v>0</v>
      </c>
    </row>
    <row r="3851" spans="76:77" x14ac:dyDescent="0.2">
      <c r="BX3851" s="214" t="e">
        <f t="shared" si="134"/>
        <v>#DIV/0!</v>
      </c>
      <c r="BY3851" s="215">
        <f t="shared" si="135"/>
        <v>0</v>
      </c>
    </row>
    <row r="3852" spans="76:77" x14ac:dyDescent="0.2">
      <c r="BX3852" s="214" t="e">
        <f t="shared" si="134"/>
        <v>#DIV/0!</v>
      </c>
      <c r="BY3852" s="215">
        <f t="shared" si="135"/>
        <v>0</v>
      </c>
    </row>
    <row r="3853" spans="76:77" x14ac:dyDescent="0.2">
      <c r="BX3853" s="214" t="e">
        <f t="shared" ref="BX3853:BX3916" si="136">BY3853/BV3853</f>
        <v>#DIV/0!</v>
      </c>
      <c r="BY3853" s="215">
        <f t="shared" si="135"/>
        <v>0</v>
      </c>
    </row>
    <row r="3854" spans="76:77" x14ac:dyDescent="0.2">
      <c r="BX3854" s="214" t="e">
        <f t="shared" si="136"/>
        <v>#DIV/0!</v>
      </c>
      <c r="BY3854" s="215">
        <f t="shared" ref="BY3854:BY3917" si="137">BY3853+BW3854*(BV3854-BV3853)</f>
        <v>0</v>
      </c>
    </row>
    <row r="3855" spans="76:77" x14ac:dyDescent="0.2">
      <c r="BX3855" s="214" t="e">
        <f t="shared" si="136"/>
        <v>#DIV/0!</v>
      </c>
      <c r="BY3855" s="215">
        <f t="shared" si="137"/>
        <v>0</v>
      </c>
    </row>
    <row r="3856" spans="76:77" x14ac:dyDescent="0.2">
      <c r="BX3856" s="214" t="e">
        <f t="shared" si="136"/>
        <v>#DIV/0!</v>
      </c>
      <c r="BY3856" s="215">
        <f t="shared" si="137"/>
        <v>0</v>
      </c>
    </row>
    <row r="3857" spans="76:77" x14ac:dyDescent="0.2">
      <c r="BX3857" s="214" t="e">
        <f t="shared" si="136"/>
        <v>#DIV/0!</v>
      </c>
      <c r="BY3857" s="215">
        <f t="shared" si="137"/>
        <v>0</v>
      </c>
    </row>
    <row r="3858" spans="76:77" x14ac:dyDescent="0.2">
      <c r="BX3858" s="214" t="e">
        <f t="shared" si="136"/>
        <v>#DIV/0!</v>
      </c>
      <c r="BY3858" s="215">
        <f t="shared" si="137"/>
        <v>0</v>
      </c>
    </row>
    <row r="3859" spans="76:77" x14ac:dyDescent="0.2">
      <c r="BX3859" s="214" t="e">
        <f t="shared" si="136"/>
        <v>#DIV/0!</v>
      </c>
      <c r="BY3859" s="215">
        <f t="shared" si="137"/>
        <v>0</v>
      </c>
    </row>
    <row r="3860" spans="76:77" x14ac:dyDescent="0.2">
      <c r="BX3860" s="214" t="e">
        <f t="shared" si="136"/>
        <v>#DIV/0!</v>
      </c>
      <c r="BY3860" s="215">
        <f t="shared" si="137"/>
        <v>0</v>
      </c>
    </row>
    <row r="3861" spans="76:77" x14ac:dyDescent="0.2">
      <c r="BX3861" s="214" t="e">
        <f t="shared" si="136"/>
        <v>#DIV/0!</v>
      </c>
      <c r="BY3861" s="215">
        <f t="shared" si="137"/>
        <v>0</v>
      </c>
    </row>
    <row r="3862" spans="76:77" x14ac:dyDescent="0.2">
      <c r="BX3862" s="214" t="e">
        <f t="shared" si="136"/>
        <v>#DIV/0!</v>
      </c>
      <c r="BY3862" s="215">
        <f t="shared" si="137"/>
        <v>0</v>
      </c>
    </row>
    <row r="3863" spans="76:77" x14ac:dyDescent="0.2">
      <c r="BX3863" s="214" t="e">
        <f t="shared" si="136"/>
        <v>#DIV/0!</v>
      </c>
      <c r="BY3863" s="215">
        <f t="shared" si="137"/>
        <v>0</v>
      </c>
    </row>
    <row r="3864" spans="76:77" x14ac:dyDescent="0.2">
      <c r="BX3864" s="214" t="e">
        <f t="shared" si="136"/>
        <v>#DIV/0!</v>
      </c>
      <c r="BY3864" s="215">
        <f t="shared" si="137"/>
        <v>0</v>
      </c>
    </row>
    <row r="3865" spans="76:77" x14ac:dyDescent="0.2">
      <c r="BX3865" s="214" t="e">
        <f t="shared" si="136"/>
        <v>#DIV/0!</v>
      </c>
      <c r="BY3865" s="215">
        <f t="shared" si="137"/>
        <v>0</v>
      </c>
    </row>
    <row r="3866" spans="76:77" x14ac:dyDescent="0.2">
      <c r="BX3866" s="214" t="e">
        <f t="shared" si="136"/>
        <v>#DIV/0!</v>
      </c>
      <c r="BY3866" s="215">
        <f t="shared" si="137"/>
        <v>0</v>
      </c>
    </row>
    <row r="3867" spans="76:77" x14ac:dyDescent="0.2">
      <c r="BX3867" s="214" t="e">
        <f t="shared" si="136"/>
        <v>#DIV/0!</v>
      </c>
      <c r="BY3867" s="215">
        <f t="shared" si="137"/>
        <v>0</v>
      </c>
    </row>
    <row r="3868" spans="76:77" x14ac:dyDescent="0.2">
      <c r="BX3868" s="214" t="e">
        <f t="shared" si="136"/>
        <v>#DIV/0!</v>
      </c>
      <c r="BY3868" s="215">
        <f t="shared" si="137"/>
        <v>0</v>
      </c>
    </row>
    <row r="3869" spans="76:77" x14ac:dyDescent="0.2">
      <c r="BX3869" s="214" t="e">
        <f t="shared" si="136"/>
        <v>#DIV/0!</v>
      </c>
      <c r="BY3869" s="215">
        <f t="shared" si="137"/>
        <v>0</v>
      </c>
    </row>
    <row r="3870" spans="76:77" x14ac:dyDescent="0.2">
      <c r="BX3870" s="214" t="e">
        <f t="shared" si="136"/>
        <v>#DIV/0!</v>
      </c>
      <c r="BY3870" s="215">
        <f t="shared" si="137"/>
        <v>0</v>
      </c>
    </row>
    <row r="3871" spans="76:77" x14ac:dyDescent="0.2">
      <c r="BX3871" s="214" t="e">
        <f t="shared" si="136"/>
        <v>#DIV/0!</v>
      </c>
      <c r="BY3871" s="215">
        <f t="shared" si="137"/>
        <v>0</v>
      </c>
    </row>
    <row r="3872" spans="76:77" x14ac:dyDescent="0.2">
      <c r="BX3872" s="214" t="e">
        <f t="shared" si="136"/>
        <v>#DIV/0!</v>
      </c>
      <c r="BY3872" s="215">
        <f t="shared" si="137"/>
        <v>0</v>
      </c>
    </row>
    <row r="3873" spans="76:77" x14ac:dyDescent="0.2">
      <c r="BX3873" s="214" t="e">
        <f t="shared" si="136"/>
        <v>#DIV/0!</v>
      </c>
      <c r="BY3873" s="215">
        <f t="shared" si="137"/>
        <v>0</v>
      </c>
    </row>
    <row r="3874" spans="76:77" x14ac:dyDescent="0.2">
      <c r="BX3874" s="214" t="e">
        <f t="shared" si="136"/>
        <v>#DIV/0!</v>
      </c>
      <c r="BY3874" s="215">
        <f t="shared" si="137"/>
        <v>0</v>
      </c>
    </row>
    <row r="3875" spans="76:77" x14ac:dyDescent="0.2">
      <c r="BX3875" s="214" t="e">
        <f t="shared" si="136"/>
        <v>#DIV/0!</v>
      </c>
      <c r="BY3875" s="215">
        <f t="shared" si="137"/>
        <v>0</v>
      </c>
    </row>
    <row r="3876" spans="76:77" x14ac:dyDescent="0.2">
      <c r="BX3876" s="214" t="e">
        <f t="shared" si="136"/>
        <v>#DIV/0!</v>
      </c>
      <c r="BY3876" s="215">
        <f t="shared" si="137"/>
        <v>0</v>
      </c>
    </row>
    <row r="3877" spans="76:77" x14ac:dyDescent="0.2">
      <c r="BX3877" s="214" t="e">
        <f t="shared" si="136"/>
        <v>#DIV/0!</v>
      </c>
      <c r="BY3877" s="215">
        <f t="shared" si="137"/>
        <v>0</v>
      </c>
    </row>
    <row r="3878" spans="76:77" x14ac:dyDescent="0.2">
      <c r="BX3878" s="214" t="e">
        <f t="shared" si="136"/>
        <v>#DIV/0!</v>
      </c>
      <c r="BY3878" s="215">
        <f t="shared" si="137"/>
        <v>0</v>
      </c>
    </row>
    <row r="3879" spans="76:77" x14ac:dyDescent="0.2">
      <c r="BX3879" s="214" t="e">
        <f t="shared" si="136"/>
        <v>#DIV/0!</v>
      </c>
      <c r="BY3879" s="215">
        <f t="shared" si="137"/>
        <v>0</v>
      </c>
    </row>
    <row r="3880" spans="76:77" x14ac:dyDescent="0.2">
      <c r="BX3880" s="214" t="e">
        <f t="shared" si="136"/>
        <v>#DIV/0!</v>
      </c>
      <c r="BY3880" s="215">
        <f t="shared" si="137"/>
        <v>0</v>
      </c>
    </row>
    <row r="3881" spans="76:77" x14ac:dyDescent="0.2">
      <c r="BX3881" s="214" t="e">
        <f t="shared" si="136"/>
        <v>#DIV/0!</v>
      </c>
      <c r="BY3881" s="215">
        <f t="shared" si="137"/>
        <v>0</v>
      </c>
    </row>
    <row r="3882" spans="76:77" x14ac:dyDescent="0.2">
      <c r="BX3882" s="214" t="e">
        <f t="shared" si="136"/>
        <v>#DIV/0!</v>
      </c>
      <c r="BY3882" s="215">
        <f t="shared" si="137"/>
        <v>0</v>
      </c>
    </row>
    <row r="3883" spans="76:77" x14ac:dyDescent="0.2">
      <c r="BX3883" s="214" t="e">
        <f t="shared" si="136"/>
        <v>#DIV/0!</v>
      </c>
      <c r="BY3883" s="215">
        <f t="shared" si="137"/>
        <v>0</v>
      </c>
    </row>
    <row r="3884" spans="76:77" x14ac:dyDescent="0.2">
      <c r="BX3884" s="214" t="e">
        <f t="shared" si="136"/>
        <v>#DIV/0!</v>
      </c>
      <c r="BY3884" s="215">
        <f t="shared" si="137"/>
        <v>0</v>
      </c>
    </row>
    <row r="3885" spans="76:77" x14ac:dyDescent="0.2">
      <c r="BX3885" s="214" t="e">
        <f t="shared" si="136"/>
        <v>#DIV/0!</v>
      </c>
      <c r="BY3885" s="215">
        <f t="shared" si="137"/>
        <v>0</v>
      </c>
    </row>
    <row r="3886" spans="76:77" x14ac:dyDescent="0.2">
      <c r="BX3886" s="214" t="e">
        <f t="shared" si="136"/>
        <v>#DIV/0!</v>
      </c>
      <c r="BY3886" s="215">
        <f t="shared" si="137"/>
        <v>0</v>
      </c>
    </row>
    <row r="3887" spans="76:77" x14ac:dyDescent="0.2">
      <c r="BX3887" s="214" t="e">
        <f t="shared" si="136"/>
        <v>#DIV/0!</v>
      </c>
      <c r="BY3887" s="215">
        <f t="shared" si="137"/>
        <v>0</v>
      </c>
    </row>
    <row r="3888" spans="76:77" x14ac:dyDescent="0.2">
      <c r="BX3888" s="214" t="e">
        <f t="shared" si="136"/>
        <v>#DIV/0!</v>
      </c>
      <c r="BY3888" s="215">
        <f t="shared" si="137"/>
        <v>0</v>
      </c>
    </row>
    <row r="3889" spans="76:77" x14ac:dyDescent="0.2">
      <c r="BX3889" s="214" t="e">
        <f t="shared" si="136"/>
        <v>#DIV/0!</v>
      </c>
      <c r="BY3889" s="215">
        <f t="shared" si="137"/>
        <v>0</v>
      </c>
    </row>
    <row r="3890" spans="76:77" x14ac:dyDescent="0.2">
      <c r="BX3890" s="214" t="e">
        <f t="shared" si="136"/>
        <v>#DIV/0!</v>
      </c>
      <c r="BY3890" s="215">
        <f t="shared" si="137"/>
        <v>0</v>
      </c>
    </row>
    <row r="3891" spans="76:77" x14ac:dyDescent="0.2">
      <c r="BX3891" s="214" t="e">
        <f t="shared" si="136"/>
        <v>#DIV/0!</v>
      </c>
      <c r="BY3891" s="215">
        <f t="shared" si="137"/>
        <v>0</v>
      </c>
    </row>
    <row r="3892" spans="76:77" x14ac:dyDescent="0.2">
      <c r="BX3892" s="214" t="e">
        <f t="shared" si="136"/>
        <v>#DIV/0!</v>
      </c>
      <c r="BY3892" s="215">
        <f t="shared" si="137"/>
        <v>0</v>
      </c>
    </row>
    <row r="3893" spans="76:77" x14ac:dyDescent="0.2">
      <c r="BX3893" s="214" t="e">
        <f t="shared" si="136"/>
        <v>#DIV/0!</v>
      </c>
      <c r="BY3893" s="215">
        <f t="shared" si="137"/>
        <v>0</v>
      </c>
    </row>
    <row r="3894" spans="76:77" x14ac:dyDescent="0.2">
      <c r="BX3894" s="214" t="e">
        <f t="shared" si="136"/>
        <v>#DIV/0!</v>
      </c>
      <c r="BY3894" s="215">
        <f t="shared" si="137"/>
        <v>0</v>
      </c>
    </row>
    <row r="3895" spans="76:77" x14ac:dyDescent="0.2">
      <c r="BX3895" s="214" t="e">
        <f t="shared" si="136"/>
        <v>#DIV/0!</v>
      </c>
      <c r="BY3895" s="215">
        <f t="shared" si="137"/>
        <v>0</v>
      </c>
    </row>
    <row r="3896" spans="76:77" x14ac:dyDescent="0.2">
      <c r="BX3896" s="214" t="e">
        <f t="shared" si="136"/>
        <v>#DIV/0!</v>
      </c>
      <c r="BY3896" s="215">
        <f t="shared" si="137"/>
        <v>0</v>
      </c>
    </row>
    <row r="3897" spans="76:77" x14ac:dyDescent="0.2">
      <c r="BX3897" s="214" t="e">
        <f t="shared" si="136"/>
        <v>#DIV/0!</v>
      </c>
      <c r="BY3897" s="215">
        <f t="shared" si="137"/>
        <v>0</v>
      </c>
    </row>
    <row r="3898" spans="76:77" x14ac:dyDescent="0.2">
      <c r="BX3898" s="214" t="e">
        <f t="shared" si="136"/>
        <v>#DIV/0!</v>
      </c>
      <c r="BY3898" s="215">
        <f t="shared" si="137"/>
        <v>0</v>
      </c>
    </row>
    <row r="3899" spans="76:77" x14ac:dyDescent="0.2">
      <c r="BX3899" s="214" t="e">
        <f t="shared" si="136"/>
        <v>#DIV/0!</v>
      </c>
      <c r="BY3899" s="215">
        <f t="shared" si="137"/>
        <v>0</v>
      </c>
    </row>
    <row r="3900" spans="76:77" x14ac:dyDescent="0.2">
      <c r="BX3900" s="214" t="e">
        <f t="shared" si="136"/>
        <v>#DIV/0!</v>
      </c>
      <c r="BY3900" s="215">
        <f t="shared" si="137"/>
        <v>0</v>
      </c>
    </row>
    <row r="3901" spans="76:77" x14ac:dyDescent="0.2">
      <c r="BX3901" s="214" t="e">
        <f t="shared" si="136"/>
        <v>#DIV/0!</v>
      </c>
      <c r="BY3901" s="215">
        <f t="shared" si="137"/>
        <v>0</v>
      </c>
    </row>
    <row r="3902" spans="76:77" x14ac:dyDescent="0.2">
      <c r="BX3902" s="214" t="e">
        <f t="shared" si="136"/>
        <v>#DIV/0!</v>
      </c>
      <c r="BY3902" s="215">
        <f t="shared" si="137"/>
        <v>0</v>
      </c>
    </row>
    <row r="3903" spans="76:77" x14ac:dyDescent="0.2">
      <c r="BX3903" s="214" t="e">
        <f t="shared" si="136"/>
        <v>#DIV/0!</v>
      </c>
      <c r="BY3903" s="215">
        <f t="shared" si="137"/>
        <v>0</v>
      </c>
    </row>
    <row r="3904" spans="76:77" x14ac:dyDescent="0.2">
      <c r="BX3904" s="214" t="e">
        <f t="shared" si="136"/>
        <v>#DIV/0!</v>
      </c>
      <c r="BY3904" s="215">
        <f t="shared" si="137"/>
        <v>0</v>
      </c>
    </row>
    <row r="3905" spans="76:77" x14ac:dyDescent="0.2">
      <c r="BX3905" s="214" t="e">
        <f t="shared" si="136"/>
        <v>#DIV/0!</v>
      </c>
      <c r="BY3905" s="215">
        <f t="shared" si="137"/>
        <v>0</v>
      </c>
    </row>
    <row r="3906" spans="76:77" x14ac:dyDescent="0.2">
      <c r="BX3906" s="214" t="e">
        <f t="shared" si="136"/>
        <v>#DIV/0!</v>
      </c>
      <c r="BY3906" s="215">
        <f t="shared" si="137"/>
        <v>0</v>
      </c>
    </row>
    <row r="3907" spans="76:77" x14ac:dyDescent="0.2">
      <c r="BX3907" s="214" t="e">
        <f t="shared" si="136"/>
        <v>#DIV/0!</v>
      </c>
      <c r="BY3907" s="215">
        <f t="shared" si="137"/>
        <v>0</v>
      </c>
    </row>
    <row r="3908" spans="76:77" x14ac:dyDescent="0.2">
      <c r="BX3908" s="214" t="e">
        <f t="shared" si="136"/>
        <v>#DIV/0!</v>
      </c>
      <c r="BY3908" s="215">
        <f t="shared" si="137"/>
        <v>0</v>
      </c>
    </row>
    <row r="3909" spans="76:77" x14ac:dyDescent="0.2">
      <c r="BX3909" s="214" t="e">
        <f t="shared" si="136"/>
        <v>#DIV/0!</v>
      </c>
      <c r="BY3909" s="215">
        <f t="shared" si="137"/>
        <v>0</v>
      </c>
    </row>
    <row r="3910" spans="76:77" x14ac:dyDescent="0.2">
      <c r="BX3910" s="214" t="e">
        <f t="shared" si="136"/>
        <v>#DIV/0!</v>
      </c>
      <c r="BY3910" s="215">
        <f t="shared" si="137"/>
        <v>0</v>
      </c>
    </row>
    <row r="3911" spans="76:77" x14ac:dyDescent="0.2">
      <c r="BX3911" s="214" t="e">
        <f t="shared" si="136"/>
        <v>#DIV/0!</v>
      </c>
      <c r="BY3911" s="215">
        <f t="shared" si="137"/>
        <v>0</v>
      </c>
    </row>
    <row r="3912" spans="76:77" x14ac:dyDescent="0.2">
      <c r="BX3912" s="214" t="e">
        <f t="shared" si="136"/>
        <v>#DIV/0!</v>
      </c>
      <c r="BY3912" s="215">
        <f t="shared" si="137"/>
        <v>0</v>
      </c>
    </row>
    <row r="3913" spans="76:77" x14ac:dyDescent="0.2">
      <c r="BX3913" s="214" t="e">
        <f t="shared" si="136"/>
        <v>#DIV/0!</v>
      </c>
      <c r="BY3913" s="215">
        <f t="shared" si="137"/>
        <v>0</v>
      </c>
    </row>
    <row r="3914" spans="76:77" x14ac:dyDescent="0.2">
      <c r="BX3914" s="214" t="e">
        <f t="shared" si="136"/>
        <v>#DIV/0!</v>
      </c>
      <c r="BY3914" s="215">
        <f t="shared" si="137"/>
        <v>0</v>
      </c>
    </row>
    <row r="3915" spans="76:77" x14ac:dyDescent="0.2">
      <c r="BX3915" s="214" t="e">
        <f t="shared" si="136"/>
        <v>#DIV/0!</v>
      </c>
      <c r="BY3915" s="215">
        <f t="shared" si="137"/>
        <v>0</v>
      </c>
    </row>
    <row r="3916" spans="76:77" x14ac:dyDescent="0.2">
      <c r="BX3916" s="214" t="e">
        <f t="shared" si="136"/>
        <v>#DIV/0!</v>
      </c>
      <c r="BY3916" s="215">
        <f t="shared" si="137"/>
        <v>0</v>
      </c>
    </row>
    <row r="3917" spans="76:77" x14ac:dyDescent="0.2">
      <c r="BX3917" s="214" t="e">
        <f t="shared" ref="BX3917:BX3980" si="138">BY3917/BV3917</f>
        <v>#DIV/0!</v>
      </c>
      <c r="BY3917" s="215">
        <f t="shared" si="137"/>
        <v>0</v>
      </c>
    </row>
    <row r="3918" spans="76:77" x14ac:dyDescent="0.2">
      <c r="BX3918" s="214" t="e">
        <f t="shared" si="138"/>
        <v>#DIV/0!</v>
      </c>
      <c r="BY3918" s="215">
        <f t="shared" ref="BY3918:BY3981" si="139">BY3917+BW3918*(BV3918-BV3917)</f>
        <v>0</v>
      </c>
    </row>
    <row r="3919" spans="76:77" x14ac:dyDescent="0.2">
      <c r="BX3919" s="214" t="e">
        <f t="shared" si="138"/>
        <v>#DIV/0!</v>
      </c>
      <c r="BY3919" s="215">
        <f t="shared" si="139"/>
        <v>0</v>
      </c>
    </row>
    <row r="3920" spans="76:77" x14ac:dyDescent="0.2">
      <c r="BX3920" s="214" t="e">
        <f t="shared" si="138"/>
        <v>#DIV/0!</v>
      </c>
      <c r="BY3920" s="215">
        <f t="shared" si="139"/>
        <v>0</v>
      </c>
    </row>
    <row r="3921" spans="76:77" x14ac:dyDescent="0.2">
      <c r="BX3921" s="214" t="e">
        <f t="shared" si="138"/>
        <v>#DIV/0!</v>
      </c>
      <c r="BY3921" s="215">
        <f t="shared" si="139"/>
        <v>0</v>
      </c>
    </row>
    <row r="3922" spans="76:77" x14ac:dyDescent="0.2">
      <c r="BX3922" s="214" t="e">
        <f t="shared" si="138"/>
        <v>#DIV/0!</v>
      </c>
      <c r="BY3922" s="215">
        <f t="shared" si="139"/>
        <v>0</v>
      </c>
    </row>
    <row r="3923" spans="76:77" x14ac:dyDescent="0.2">
      <c r="BX3923" s="214" t="e">
        <f t="shared" si="138"/>
        <v>#DIV/0!</v>
      </c>
      <c r="BY3923" s="215">
        <f t="shared" si="139"/>
        <v>0</v>
      </c>
    </row>
    <row r="3924" spans="76:77" x14ac:dyDescent="0.2">
      <c r="BX3924" s="214" t="e">
        <f t="shared" si="138"/>
        <v>#DIV/0!</v>
      </c>
      <c r="BY3924" s="215">
        <f t="shared" si="139"/>
        <v>0</v>
      </c>
    </row>
    <row r="3925" spans="76:77" x14ac:dyDescent="0.2">
      <c r="BX3925" s="214" t="e">
        <f t="shared" si="138"/>
        <v>#DIV/0!</v>
      </c>
      <c r="BY3925" s="215">
        <f t="shared" si="139"/>
        <v>0</v>
      </c>
    </row>
    <row r="3926" spans="76:77" x14ac:dyDescent="0.2">
      <c r="BX3926" s="214" t="e">
        <f t="shared" si="138"/>
        <v>#DIV/0!</v>
      </c>
      <c r="BY3926" s="215">
        <f t="shared" si="139"/>
        <v>0</v>
      </c>
    </row>
    <row r="3927" spans="76:77" x14ac:dyDescent="0.2">
      <c r="BX3927" s="214" t="e">
        <f t="shared" si="138"/>
        <v>#DIV/0!</v>
      </c>
      <c r="BY3927" s="215">
        <f t="shared" si="139"/>
        <v>0</v>
      </c>
    </row>
    <row r="3928" spans="76:77" x14ac:dyDescent="0.2">
      <c r="BX3928" s="214" t="e">
        <f t="shared" si="138"/>
        <v>#DIV/0!</v>
      </c>
      <c r="BY3928" s="215">
        <f t="shared" si="139"/>
        <v>0</v>
      </c>
    </row>
    <row r="3929" spans="76:77" x14ac:dyDescent="0.2">
      <c r="BX3929" s="214" t="e">
        <f t="shared" si="138"/>
        <v>#DIV/0!</v>
      </c>
      <c r="BY3929" s="215">
        <f t="shared" si="139"/>
        <v>0</v>
      </c>
    </row>
    <row r="3930" spans="76:77" x14ac:dyDescent="0.2">
      <c r="BX3930" s="214" t="e">
        <f t="shared" si="138"/>
        <v>#DIV/0!</v>
      </c>
      <c r="BY3930" s="215">
        <f t="shared" si="139"/>
        <v>0</v>
      </c>
    </row>
    <row r="3931" spans="76:77" x14ac:dyDescent="0.2">
      <c r="BX3931" s="214" t="e">
        <f t="shared" si="138"/>
        <v>#DIV/0!</v>
      </c>
      <c r="BY3931" s="215">
        <f t="shared" si="139"/>
        <v>0</v>
      </c>
    </row>
    <row r="3932" spans="76:77" x14ac:dyDescent="0.2">
      <c r="BX3932" s="214" t="e">
        <f t="shared" si="138"/>
        <v>#DIV/0!</v>
      </c>
      <c r="BY3932" s="215">
        <f t="shared" si="139"/>
        <v>0</v>
      </c>
    </row>
    <row r="3933" spans="76:77" x14ac:dyDescent="0.2">
      <c r="BX3933" s="214" t="e">
        <f t="shared" si="138"/>
        <v>#DIV/0!</v>
      </c>
      <c r="BY3933" s="215">
        <f t="shared" si="139"/>
        <v>0</v>
      </c>
    </row>
    <row r="3934" spans="76:77" x14ac:dyDescent="0.2">
      <c r="BX3934" s="214" t="e">
        <f t="shared" si="138"/>
        <v>#DIV/0!</v>
      </c>
      <c r="BY3934" s="215">
        <f t="shared" si="139"/>
        <v>0</v>
      </c>
    </row>
    <row r="3935" spans="76:77" x14ac:dyDescent="0.2">
      <c r="BX3935" s="214" t="e">
        <f t="shared" si="138"/>
        <v>#DIV/0!</v>
      </c>
      <c r="BY3935" s="215">
        <f t="shared" si="139"/>
        <v>0</v>
      </c>
    </row>
    <row r="3936" spans="76:77" x14ac:dyDescent="0.2">
      <c r="BX3936" s="214" t="e">
        <f t="shared" si="138"/>
        <v>#DIV/0!</v>
      </c>
      <c r="BY3936" s="215">
        <f t="shared" si="139"/>
        <v>0</v>
      </c>
    </row>
    <row r="3937" spans="76:77" x14ac:dyDescent="0.2">
      <c r="BX3937" s="214" t="e">
        <f t="shared" si="138"/>
        <v>#DIV/0!</v>
      </c>
      <c r="BY3937" s="215">
        <f t="shared" si="139"/>
        <v>0</v>
      </c>
    </row>
    <row r="3938" spans="76:77" x14ac:dyDescent="0.2">
      <c r="BX3938" s="214" t="e">
        <f t="shared" si="138"/>
        <v>#DIV/0!</v>
      </c>
      <c r="BY3938" s="215">
        <f t="shared" si="139"/>
        <v>0</v>
      </c>
    </row>
    <row r="3939" spans="76:77" x14ac:dyDescent="0.2">
      <c r="BX3939" s="214" t="e">
        <f t="shared" si="138"/>
        <v>#DIV/0!</v>
      </c>
      <c r="BY3939" s="215">
        <f t="shared" si="139"/>
        <v>0</v>
      </c>
    </row>
    <row r="3940" spans="76:77" x14ac:dyDescent="0.2">
      <c r="BX3940" s="214" t="e">
        <f t="shared" si="138"/>
        <v>#DIV/0!</v>
      </c>
      <c r="BY3940" s="215">
        <f t="shared" si="139"/>
        <v>0</v>
      </c>
    </row>
    <row r="3941" spans="76:77" x14ac:dyDescent="0.2">
      <c r="BX3941" s="214" t="e">
        <f t="shared" si="138"/>
        <v>#DIV/0!</v>
      </c>
      <c r="BY3941" s="215">
        <f t="shared" si="139"/>
        <v>0</v>
      </c>
    </row>
    <row r="3942" spans="76:77" x14ac:dyDescent="0.2">
      <c r="BX3942" s="214" t="e">
        <f t="shared" si="138"/>
        <v>#DIV/0!</v>
      </c>
      <c r="BY3942" s="215">
        <f t="shared" si="139"/>
        <v>0</v>
      </c>
    </row>
    <row r="3943" spans="76:77" x14ac:dyDescent="0.2">
      <c r="BX3943" s="214" t="e">
        <f t="shared" si="138"/>
        <v>#DIV/0!</v>
      </c>
      <c r="BY3943" s="215">
        <f t="shared" si="139"/>
        <v>0</v>
      </c>
    </row>
    <row r="3944" spans="76:77" x14ac:dyDescent="0.2">
      <c r="BX3944" s="214" t="e">
        <f t="shared" si="138"/>
        <v>#DIV/0!</v>
      </c>
      <c r="BY3944" s="215">
        <f t="shared" si="139"/>
        <v>0</v>
      </c>
    </row>
    <row r="3945" spans="76:77" x14ac:dyDescent="0.2">
      <c r="BX3945" s="214" t="e">
        <f t="shared" si="138"/>
        <v>#DIV/0!</v>
      </c>
      <c r="BY3945" s="215">
        <f t="shared" si="139"/>
        <v>0</v>
      </c>
    </row>
    <row r="3946" spans="76:77" x14ac:dyDescent="0.2">
      <c r="BX3946" s="214" t="e">
        <f t="shared" si="138"/>
        <v>#DIV/0!</v>
      </c>
      <c r="BY3946" s="215">
        <f t="shared" si="139"/>
        <v>0</v>
      </c>
    </row>
    <row r="3947" spans="76:77" x14ac:dyDescent="0.2">
      <c r="BX3947" s="214" t="e">
        <f t="shared" si="138"/>
        <v>#DIV/0!</v>
      </c>
      <c r="BY3947" s="215">
        <f t="shared" si="139"/>
        <v>0</v>
      </c>
    </row>
    <row r="3948" spans="76:77" x14ac:dyDescent="0.2">
      <c r="BX3948" s="214" t="e">
        <f t="shared" si="138"/>
        <v>#DIV/0!</v>
      </c>
      <c r="BY3948" s="215">
        <f t="shared" si="139"/>
        <v>0</v>
      </c>
    </row>
    <row r="3949" spans="76:77" x14ac:dyDescent="0.2">
      <c r="BX3949" s="214" t="e">
        <f t="shared" si="138"/>
        <v>#DIV/0!</v>
      </c>
      <c r="BY3949" s="215">
        <f t="shared" si="139"/>
        <v>0</v>
      </c>
    </row>
    <row r="3950" spans="76:77" x14ac:dyDescent="0.2">
      <c r="BX3950" s="214" t="e">
        <f t="shared" si="138"/>
        <v>#DIV/0!</v>
      </c>
      <c r="BY3950" s="215">
        <f t="shared" si="139"/>
        <v>0</v>
      </c>
    </row>
    <row r="3951" spans="76:77" x14ac:dyDescent="0.2">
      <c r="BX3951" s="214" t="e">
        <f t="shared" si="138"/>
        <v>#DIV/0!</v>
      </c>
      <c r="BY3951" s="215">
        <f t="shared" si="139"/>
        <v>0</v>
      </c>
    </row>
    <row r="3952" spans="76:77" x14ac:dyDescent="0.2">
      <c r="BX3952" s="214" t="e">
        <f t="shared" si="138"/>
        <v>#DIV/0!</v>
      </c>
      <c r="BY3952" s="215">
        <f t="shared" si="139"/>
        <v>0</v>
      </c>
    </row>
    <row r="3953" spans="76:77" x14ac:dyDescent="0.2">
      <c r="BX3953" s="214" t="e">
        <f t="shared" si="138"/>
        <v>#DIV/0!</v>
      </c>
      <c r="BY3953" s="215">
        <f t="shared" si="139"/>
        <v>0</v>
      </c>
    </row>
    <row r="3954" spans="76:77" x14ac:dyDescent="0.2">
      <c r="BX3954" s="214" t="e">
        <f t="shared" si="138"/>
        <v>#DIV/0!</v>
      </c>
      <c r="BY3954" s="215">
        <f t="shared" si="139"/>
        <v>0</v>
      </c>
    </row>
    <row r="3955" spans="76:77" x14ac:dyDescent="0.2">
      <c r="BX3955" s="214" t="e">
        <f t="shared" si="138"/>
        <v>#DIV/0!</v>
      </c>
      <c r="BY3955" s="215">
        <f t="shared" si="139"/>
        <v>0</v>
      </c>
    </row>
    <row r="3956" spans="76:77" x14ac:dyDescent="0.2">
      <c r="BX3956" s="214" t="e">
        <f t="shared" si="138"/>
        <v>#DIV/0!</v>
      </c>
      <c r="BY3956" s="215">
        <f t="shared" si="139"/>
        <v>0</v>
      </c>
    </row>
    <row r="3957" spans="76:77" x14ac:dyDescent="0.2">
      <c r="BX3957" s="214" t="e">
        <f t="shared" si="138"/>
        <v>#DIV/0!</v>
      </c>
      <c r="BY3957" s="215">
        <f t="shared" si="139"/>
        <v>0</v>
      </c>
    </row>
    <row r="3958" spans="76:77" x14ac:dyDescent="0.2">
      <c r="BX3958" s="214" t="e">
        <f t="shared" si="138"/>
        <v>#DIV/0!</v>
      </c>
      <c r="BY3958" s="215">
        <f t="shared" si="139"/>
        <v>0</v>
      </c>
    </row>
    <row r="3959" spans="76:77" x14ac:dyDescent="0.2">
      <c r="BX3959" s="214" t="e">
        <f t="shared" si="138"/>
        <v>#DIV/0!</v>
      </c>
      <c r="BY3959" s="215">
        <f t="shared" si="139"/>
        <v>0</v>
      </c>
    </row>
    <row r="3960" spans="76:77" x14ac:dyDescent="0.2">
      <c r="BX3960" s="214" t="e">
        <f t="shared" si="138"/>
        <v>#DIV/0!</v>
      </c>
      <c r="BY3960" s="215">
        <f t="shared" si="139"/>
        <v>0</v>
      </c>
    </row>
    <row r="3961" spans="76:77" x14ac:dyDescent="0.2">
      <c r="BX3961" s="214" t="e">
        <f t="shared" si="138"/>
        <v>#DIV/0!</v>
      </c>
      <c r="BY3961" s="215">
        <f t="shared" si="139"/>
        <v>0</v>
      </c>
    </row>
    <row r="3962" spans="76:77" x14ac:dyDescent="0.2">
      <c r="BX3962" s="214" t="e">
        <f t="shared" si="138"/>
        <v>#DIV/0!</v>
      </c>
      <c r="BY3962" s="215">
        <f t="shared" si="139"/>
        <v>0</v>
      </c>
    </row>
    <row r="3963" spans="76:77" x14ac:dyDescent="0.2">
      <c r="BX3963" s="214" t="e">
        <f t="shared" si="138"/>
        <v>#DIV/0!</v>
      </c>
      <c r="BY3963" s="215">
        <f t="shared" si="139"/>
        <v>0</v>
      </c>
    </row>
    <row r="3964" spans="76:77" x14ac:dyDescent="0.2">
      <c r="BX3964" s="214" t="e">
        <f t="shared" si="138"/>
        <v>#DIV/0!</v>
      </c>
      <c r="BY3964" s="215">
        <f t="shared" si="139"/>
        <v>0</v>
      </c>
    </row>
    <row r="3965" spans="76:77" x14ac:dyDescent="0.2">
      <c r="BX3965" s="214" t="e">
        <f t="shared" si="138"/>
        <v>#DIV/0!</v>
      </c>
      <c r="BY3965" s="215">
        <f t="shared" si="139"/>
        <v>0</v>
      </c>
    </row>
    <row r="3966" spans="76:77" x14ac:dyDescent="0.2">
      <c r="BX3966" s="214" t="e">
        <f t="shared" si="138"/>
        <v>#DIV/0!</v>
      </c>
      <c r="BY3966" s="215">
        <f t="shared" si="139"/>
        <v>0</v>
      </c>
    </row>
    <row r="3967" spans="76:77" x14ac:dyDescent="0.2">
      <c r="BX3967" s="214" t="e">
        <f t="shared" si="138"/>
        <v>#DIV/0!</v>
      </c>
      <c r="BY3967" s="215">
        <f t="shared" si="139"/>
        <v>0</v>
      </c>
    </row>
    <row r="3968" spans="76:77" x14ac:dyDescent="0.2">
      <c r="BX3968" s="214" t="e">
        <f t="shared" si="138"/>
        <v>#DIV/0!</v>
      </c>
      <c r="BY3968" s="215">
        <f t="shared" si="139"/>
        <v>0</v>
      </c>
    </row>
    <row r="3969" spans="76:77" x14ac:dyDescent="0.2">
      <c r="BX3969" s="214" t="e">
        <f t="shared" si="138"/>
        <v>#DIV/0!</v>
      </c>
      <c r="BY3969" s="215">
        <f t="shared" si="139"/>
        <v>0</v>
      </c>
    </row>
    <row r="3970" spans="76:77" x14ac:dyDescent="0.2">
      <c r="BX3970" s="214" t="e">
        <f t="shared" si="138"/>
        <v>#DIV/0!</v>
      </c>
      <c r="BY3970" s="215">
        <f t="shared" si="139"/>
        <v>0</v>
      </c>
    </row>
    <row r="3971" spans="76:77" x14ac:dyDescent="0.2">
      <c r="BX3971" s="214" t="e">
        <f t="shared" si="138"/>
        <v>#DIV/0!</v>
      </c>
      <c r="BY3971" s="215">
        <f t="shared" si="139"/>
        <v>0</v>
      </c>
    </row>
    <row r="3972" spans="76:77" x14ac:dyDescent="0.2">
      <c r="BX3972" s="214" t="e">
        <f t="shared" si="138"/>
        <v>#DIV/0!</v>
      </c>
      <c r="BY3972" s="215">
        <f t="shared" si="139"/>
        <v>0</v>
      </c>
    </row>
    <row r="3973" spans="76:77" x14ac:dyDescent="0.2">
      <c r="BX3973" s="214" t="e">
        <f t="shared" si="138"/>
        <v>#DIV/0!</v>
      </c>
      <c r="BY3973" s="215">
        <f t="shared" si="139"/>
        <v>0</v>
      </c>
    </row>
    <row r="3974" spans="76:77" x14ac:dyDescent="0.2">
      <c r="BX3974" s="214" t="e">
        <f t="shared" si="138"/>
        <v>#DIV/0!</v>
      </c>
      <c r="BY3974" s="215">
        <f t="shared" si="139"/>
        <v>0</v>
      </c>
    </row>
    <row r="3975" spans="76:77" x14ac:dyDescent="0.2">
      <c r="BX3975" s="214" t="e">
        <f t="shared" si="138"/>
        <v>#DIV/0!</v>
      </c>
      <c r="BY3975" s="215">
        <f t="shared" si="139"/>
        <v>0</v>
      </c>
    </row>
    <row r="3976" spans="76:77" x14ac:dyDescent="0.2">
      <c r="BX3976" s="214" t="e">
        <f t="shared" si="138"/>
        <v>#DIV/0!</v>
      </c>
      <c r="BY3976" s="215">
        <f t="shared" si="139"/>
        <v>0</v>
      </c>
    </row>
    <row r="3977" spans="76:77" x14ac:dyDescent="0.2">
      <c r="BX3977" s="214" t="e">
        <f t="shared" si="138"/>
        <v>#DIV/0!</v>
      </c>
      <c r="BY3977" s="215">
        <f t="shared" si="139"/>
        <v>0</v>
      </c>
    </row>
    <row r="3978" spans="76:77" x14ac:dyDescent="0.2">
      <c r="BX3978" s="214" t="e">
        <f t="shared" si="138"/>
        <v>#DIV/0!</v>
      </c>
      <c r="BY3978" s="215">
        <f t="shared" si="139"/>
        <v>0</v>
      </c>
    </row>
    <row r="3979" spans="76:77" x14ac:dyDescent="0.2">
      <c r="BX3979" s="214" t="e">
        <f t="shared" si="138"/>
        <v>#DIV/0!</v>
      </c>
      <c r="BY3979" s="215">
        <f t="shared" si="139"/>
        <v>0</v>
      </c>
    </row>
    <row r="3980" spans="76:77" x14ac:dyDescent="0.2">
      <c r="BX3980" s="214" t="e">
        <f t="shared" si="138"/>
        <v>#DIV/0!</v>
      </c>
      <c r="BY3980" s="215">
        <f t="shared" si="139"/>
        <v>0</v>
      </c>
    </row>
    <row r="3981" spans="76:77" x14ac:dyDescent="0.2">
      <c r="BX3981" s="214" t="e">
        <f t="shared" ref="BX3981:BX4044" si="140">BY3981/BV3981</f>
        <v>#DIV/0!</v>
      </c>
      <c r="BY3981" s="215">
        <f t="shared" si="139"/>
        <v>0</v>
      </c>
    </row>
    <row r="3982" spans="76:77" x14ac:dyDescent="0.2">
      <c r="BX3982" s="214" t="e">
        <f t="shared" si="140"/>
        <v>#DIV/0!</v>
      </c>
      <c r="BY3982" s="215">
        <f t="shared" ref="BY3982:BY4045" si="141">BY3981+BW3982*(BV3982-BV3981)</f>
        <v>0</v>
      </c>
    </row>
    <row r="3983" spans="76:77" x14ac:dyDescent="0.2">
      <c r="BX3983" s="214" t="e">
        <f t="shared" si="140"/>
        <v>#DIV/0!</v>
      </c>
      <c r="BY3983" s="215">
        <f t="shared" si="141"/>
        <v>0</v>
      </c>
    </row>
    <row r="3984" spans="76:77" x14ac:dyDescent="0.2">
      <c r="BX3984" s="214" t="e">
        <f t="shared" si="140"/>
        <v>#DIV/0!</v>
      </c>
      <c r="BY3984" s="215">
        <f t="shared" si="141"/>
        <v>0</v>
      </c>
    </row>
    <row r="3985" spans="76:77" x14ac:dyDescent="0.2">
      <c r="BX3985" s="214" t="e">
        <f t="shared" si="140"/>
        <v>#DIV/0!</v>
      </c>
      <c r="BY3985" s="215">
        <f t="shared" si="141"/>
        <v>0</v>
      </c>
    </row>
    <row r="3986" spans="76:77" x14ac:dyDescent="0.2">
      <c r="BX3986" s="214" t="e">
        <f t="shared" si="140"/>
        <v>#DIV/0!</v>
      </c>
      <c r="BY3986" s="215">
        <f t="shared" si="141"/>
        <v>0</v>
      </c>
    </row>
    <row r="3987" spans="76:77" x14ac:dyDescent="0.2">
      <c r="BX3987" s="214" t="e">
        <f t="shared" si="140"/>
        <v>#DIV/0!</v>
      </c>
      <c r="BY3987" s="215">
        <f t="shared" si="141"/>
        <v>0</v>
      </c>
    </row>
    <row r="3988" spans="76:77" x14ac:dyDescent="0.2">
      <c r="BX3988" s="214" t="e">
        <f t="shared" si="140"/>
        <v>#DIV/0!</v>
      </c>
      <c r="BY3988" s="215">
        <f t="shared" si="141"/>
        <v>0</v>
      </c>
    </row>
    <row r="3989" spans="76:77" x14ac:dyDescent="0.2">
      <c r="BX3989" s="214" t="e">
        <f t="shared" si="140"/>
        <v>#DIV/0!</v>
      </c>
      <c r="BY3989" s="215">
        <f t="shared" si="141"/>
        <v>0</v>
      </c>
    </row>
    <row r="3990" spans="76:77" x14ac:dyDescent="0.2">
      <c r="BX3990" s="214" t="e">
        <f t="shared" si="140"/>
        <v>#DIV/0!</v>
      </c>
      <c r="BY3990" s="215">
        <f t="shared" si="141"/>
        <v>0</v>
      </c>
    </row>
    <row r="3991" spans="76:77" x14ac:dyDescent="0.2">
      <c r="BX3991" s="214" t="e">
        <f t="shared" si="140"/>
        <v>#DIV/0!</v>
      </c>
      <c r="BY3991" s="215">
        <f t="shared" si="141"/>
        <v>0</v>
      </c>
    </row>
    <row r="3992" spans="76:77" x14ac:dyDescent="0.2">
      <c r="BX3992" s="214" t="e">
        <f t="shared" si="140"/>
        <v>#DIV/0!</v>
      </c>
      <c r="BY3992" s="215">
        <f t="shared" si="141"/>
        <v>0</v>
      </c>
    </row>
    <row r="3993" spans="76:77" x14ac:dyDescent="0.2">
      <c r="BX3993" s="214" t="e">
        <f t="shared" si="140"/>
        <v>#DIV/0!</v>
      </c>
      <c r="BY3993" s="215">
        <f t="shared" si="141"/>
        <v>0</v>
      </c>
    </row>
    <row r="3994" spans="76:77" x14ac:dyDescent="0.2">
      <c r="BX3994" s="214" t="e">
        <f t="shared" si="140"/>
        <v>#DIV/0!</v>
      </c>
      <c r="BY3994" s="215">
        <f t="shared" si="141"/>
        <v>0</v>
      </c>
    </row>
    <row r="3995" spans="76:77" x14ac:dyDescent="0.2">
      <c r="BX3995" s="214" t="e">
        <f t="shared" si="140"/>
        <v>#DIV/0!</v>
      </c>
      <c r="BY3995" s="215">
        <f t="shared" si="141"/>
        <v>0</v>
      </c>
    </row>
    <row r="3996" spans="76:77" x14ac:dyDescent="0.2">
      <c r="BX3996" s="214" t="e">
        <f t="shared" si="140"/>
        <v>#DIV/0!</v>
      </c>
      <c r="BY3996" s="215">
        <f t="shared" si="141"/>
        <v>0</v>
      </c>
    </row>
    <row r="3997" spans="76:77" x14ac:dyDescent="0.2">
      <c r="BX3997" s="214" t="e">
        <f t="shared" si="140"/>
        <v>#DIV/0!</v>
      </c>
      <c r="BY3997" s="215">
        <f t="shared" si="141"/>
        <v>0</v>
      </c>
    </row>
    <row r="3998" spans="76:77" x14ac:dyDescent="0.2">
      <c r="BX3998" s="214" t="e">
        <f t="shared" si="140"/>
        <v>#DIV/0!</v>
      </c>
      <c r="BY3998" s="215">
        <f t="shared" si="141"/>
        <v>0</v>
      </c>
    </row>
    <row r="3999" spans="76:77" x14ac:dyDescent="0.2">
      <c r="BX3999" s="214" t="e">
        <f t="shared" si="140"/>
        <v>#DIV/0!</v>
      </c>
      <c r="BY3999" s="215">
        <f t="shared" si="141"/>
        <v>0</v>
      </c>
    </row>
    <row r="4000" spans="76:77" x14ac:dyDescent="0.2">
      <c r="BX4000" s="214" t="e">
        <f t="shared" si="140"/>
        <v>#DIV/0!</v>
      </c>
      <c r="BY4000" s="215">
        <f t="shared" si="141"/>
        <v>0</v>
      </c>
    </row>
    <row r="4001" spans="76:77" x14ac:dyDescent="0.2">
      <c r="BX4001" s="214" t="e">
        <f t="shared" si="140"/>
        <v>#DIV/0!</v>
      </c>
      <c r="BY4001" s="215">
        <f t="shared" si="141"/>
        <v>0</v>
      </c>
    </row>
    <row r="4002" spans="76:77" x14ac:dyDescent="0.2">
      <c r="BX4002" s="214" t="e">
        <f t="shared" si="140"/>
        <v>#DIV/0!</v>
      </c>
      <c r="BY4002" s="215">
        <f t="shared" si="141"/>
        <v>0</v>
      </c>
    </row>
    <row r="4003" spans="76:77" x14ac:dyDescent="0.2">
      <c r="BX4003" s="214" t="e">
        <f t="shared" si="140"/>
        <v>#DIV/0!</v>
      </c>
      <c r="BY4003" s="215">
        <f t="shared" si="141"/>
        <v>0</v>
      </c>
    </row>
    <row r="4004" spans="76:77" x14ac:dyDescent="0.2">
      <c r="BX4004" s="214" t="e">
        <f t="shared" si="140"/>
        <v>#DIV/0!</v>
      </c>
      <c r="BY4004" s="215">
        <f t="shared" si="141"/>
        <v>0</v>
      </c>
    </row>
    <row r="4005" spans="76:77" x14ac:dyDescent="0.2">
      <c r="BX4005" s="214" t="e">
        <f t="shared" si="140"/>
        <v>#DIV/0!</v>
      </c>
      <c r="BY4005" s="215">
        <f t="shared" si="141"/>
        <v>0</v>
      </c>
    </row>
    <row r="4006" spans="76:77" x14ac:dyDescent="0.2">
      <c r="BX4006" s="214" t="e">
        <f t="shared" si="140"/>
        <v>#DIV/0!</v>
      </c>
      <c r="BY4006" s="215">
        <f t="shared" si="141"/>
        <v>0</v>
      </c>
    </row>
    <row r="4007" spans="76:77" x14ac:dyDescent="0.2">
      <c r="BX4007" s="214" t="e">
        <f t="shared" si="140"/>
        <v>#DIV/0!</v>
      </c>
      <c r="BY4007" s="215">
        <f t="shared" si="141"/>
        <v>0</v>
      </c>
    </row>
    <row r="4008" spans="76:77" x14ac:dyDescent="0.2">
      <c r="BX4008" s="214" t="e">
        <f t="shared" si="140"/>
        <v>#DIV/0!</v>
      </c>
      <c r="BY4008" s="215">
        <f t="shared" si="141"/>
        <v>0</v>
      </c>
    </row>
    <row r="4009" spans="76:77" x14ac:dyDescent="0.2">
      <c r="BX4009" s="214" t="e">
        <f t="shared" si="140"/>
        <v>#DIV/0!</v>
      </c>
      <c r="BY4009" s="215">
        <f t="shared" si="141"/>
        <v>0</v>
      </c>
    </row>
    <row r="4010" spans="76:77" x14ac:dyDescent="0.2">
      <c r="BX4010" s="214" t="e">
        <f t="shared" si="140"/>
        <v>#DIV/0!</v>
      </c>
      <c r="BY4010" s="215">
        <f t="shared" si="141"/>
        <v>0</v>
      </c>
    </row>
    <row r="4011" spans="76:77" x14ac:dyDescent="0.2">
      <c r="BX4011" s="214" t="e">
        <f t="shared" si="140"/>
        <v>#DIV/0!</v>
      </c>
      <c r="BY4011" s="215">
        <f t="shared" si="141"/>
        <v>0</v>
      </c>
    </row>
    <row r="4012" spans="76:77" x14ac:dyDescent="0.2">
      <c r="BX4012" s="214" t="e">
        <f t="shared" si="140"/>
        <v>#DIV/0!</v>
      </c>
      <c r="BY4012" s="215">
        <f t="shared" si="141"/>
        <v>0</v>
      </c>
    </row>
    <row r="4013" spans="76:77" x14ac:dyDescent="0.2">
      <c r="BX4013" s="214" t="e">
        <f t="shared" si="140"/>
        <v>#DIV/0!</v>
      </c>
      <c r="BY4013" s="215">
        <f t="shared" si="141"/>
        <v>0</v>
      </c>
    </row>
    <row r="4014" spans="76:77" x14ac:dyDescent="0.2">
      <c r="BX4014" s="214" t="e">
        <f t="shared" si="140"/>
        <v>#DIV/0!</v>
      </c>
      <c r="BY4014" s="215">
        <f t="shared" si="141"/>
        <v>0</v>
      </c>
    </row>
    <row r="4015" spans="76:77" x14ac:dyDescent="0.2">
      <c r="BX4015" s="214" t="e">
        <f t="shared" si="140"/>
        <v>#DIV/0!</v>
      </c>
      <c r="BY4015" s="215">
        <f t="shared" si="141"/>
        <v>0</v>
      </c>
    </row>
    <row r="4016" spans="76:77" x14ac:dyDescent="0.2">
      <c r="BX4016" s="214" t="e">
        <f t="shared" si="140"/>
        <v>#DIV/0!</v>
      </c>
      <c r="BY4016" s="215">
        <f t="shared" si="141"/>
        <v>0</v>
      </c>
    </row>
    <row r="4017" spans="76:77" x14ac:dyDescent="0.2">
      <c r="BX4017" s="214" t="e">
        <f t="shared" si="140"/>
        <v>#DIV/0!</v>
      </c>
      <c r="BY4017" s="215">
        <f t="shared" si="141"/>
        <v>0</v>
      </c>
    </row>
    <row r="4018" spans="76:77" x14ac:dyDescent="0.2">
      <c r="BX4018" s="214" t="e">
        <f t="shared" si="140"/>
        <v>#DIV/0!</v>
      </c>
      <c r="BY4018" s="215">
        <f t="shared" si="141"/>
        <v>0</v>
      </c>
    </row>
    <row r="4019" spans="76:77" x14ac:dyDescent="0.2">
      <c r="BX4019" s="214" t="e">
        <f t="shared" si="140"/>
        <v>#DIV/0!</v>
      </c>
      <c r="BY4019" s="215">
        <f t="shared" si="141"/>
        <v>0</v>
      </c>
    </row>
    <row r="4020" spans="76:77" x14ac:dyDescent="0.2">
      <c r="BX4020" s="214" t="e">
        <f t="shared" si="140"/>
        <v>#DIV/0!</v>
      </c>
      <c r="BY4020" s="215">
        <f t="shared" si="141"/>
        <v>0</v>
      </c>
    </row>
    <row r="4021" spans="76:77" x14ac:dyDescent="0.2">
      <c r="BX4021" s="214" t="e">
        <f t="shared" si="140"/>
        <v>#DIV/0!</v>
      </c>
      <c r="BY4021" s="215">
        <f t="shared" si="141"/>
        <v>0</v>
      </c>
    </row>
    <row r="4022" spans="76:77" x14ac:dyDescent="0.2">
      <c r="BX4022" s="214" t="e">
        <f t="shared" si="140"/>
        <v>#DIV/0!</v>
      </c>
      <c r="BY4022" s="215">
        <f t="shared" si="141"/>
        <v>0</v>
      </c>
    </row>
    <row r="4023" spans="76:77" x14ac:dyDescent="0.2">
      <c r="BX4023" s="214" t="e">
        <f t="shared" si="140"/>
        <v>#DIV/0!</v>
      </c>
      <c r="BY4023" s="215">
        <f t="shared" si="141"/>
        <v>0</v>
      </c>
    </row>
    <row r="4024" spans="76:77" x14ac:dyDescent="0.2">
      <c r="BX4024" s="214" t="e">
        <f t="shared" si="140"/>
        <v>#DIV/0!</v>
      </c>
      <c r="BY4024" s="215">
        <f t="shared" si="141"/>
        <v>0</v>
      </c>
    </row>
    <row r="4025" spans="76:77" x14ac:dyDescent="0.2">
      <c r="BX4025" s="214" t="e">
        <f t="shared" si="140"/>
        <v>#DIV/0!</v>
      </c>
      <c r="BY4025" s="215">
        <f t="shared" si="141"/>
        <v>0</v>
      </c>
    </row>
    <row r="4026" spans="76:77" x14ac:dyDescent="0.2">
      <c r="BX4026" s="214" t="e">
        <f t="shared" si="140"/>
        <v>#DIV/0!</v>
      </c>
      <c r="BY4026" s="215">
        <f t="shared" si="141"/>
        <v>0</v>
      </c>
    </row>
    <row r="4027" spans="76:77" x14ac:dyDescent="0.2">
      <c r="BX4027" s="214" t="e">
        <f t="shared" si="140"/>
        <v>#DIV/0!</v>
      </c>
      <c r="BY4027" s="215">
        <f t="shared" si="141"/>
        <v>0</v>
      </c>
    </row>
    <row r="4028" spans="76:77" x14ac:dyDescent="0.2">
      <c r="BX4028" s="214" t="e">
        <f t="shared" si="140"/>
        <v>#DIV/0!</v>
      </c>
      <c r="BY4028" s="215">
        <f t="shared" si="141"/>
        <v>0</v>
      </c>
    </row>
    <row r="4029" spans="76:77" x14ac:dyDescent="0.2">
      <c r="BX4029" s="214" t="e">
        <f t="shared" si="140"/>
        <v>#DIV/0!</v>
      </c>
      <c r="BY4029" s="215">
        <f t="shared" si="141"/>
        <v>0</v>
      </c>
    </row>
    <row r="4030" spans="76:77" x14ac:dyDescent="0.2">
      <c r="BX4030" s="214" t="e">
        <f t="shared" si="140"/>
        <v>#DIV/0!</v>
      </c>
      <c r="BY4030" s="215">
        <f t="shared" si="141"/>
        <v>0</v>
      </c>
    </row>
    <row r="4031" spans="76:77" x14ac:dyDescent="0.2">
      <c r="BX4031" s="214" t="e">
        <f t="shared" si="140"/>
        <v>#DIV/0!</v>
      </c>
      <c r="BY4031" s="215">
        <f t="shared" si="141"/>
        <v>0</v>
      </c>
    </row>
    <row r="4032" spans="76:77" x14ac:dyDescent="0.2">
      <c r="BX4032" s="214" t="e">
        <f t="shared" si="140"/>
        <v>#DIV/0!</v>
      </c>
      <c r="BY4032" s="215">
        <f t="shared" si="141"/>
        <v>0</v>
      </c>
    </row>
    <row r="4033" spans="76:77" x14ac:dyDescent="0.2">
      <c r="BX4033" s="214" t="e">
        <f t="shared" si="140"/>
        <v>#DIV/0!</v>
      </c>
      <c r="BY4033" s="215">
        <f t="shared" si="141"/>
        <v>0</v>
      </c>
    </row>
    <row r="4034" spans="76:77" x14ac:dyDescent="0.2">
      <c r="BX4034" s="214" t="e">
        <f t="shared" si="140"/>
        <v>#DIV/0!</v>
      </c>
      <c r="BY4034" s="215">
        <f t="shared" si="141"/>
        <v>0</v>
      </c>
    </row>
    <row r="4035" spans="76:77" x14ac:dyDescent="0.2">
      <c r="BX4035" s="214" t="e">
        <f t="shared" si="140"/>
        <v>#DIV/0!</v>
      </c>
      <c r="BY4035" s="215">
        <f t="shared" si="141"/>
        <v>0</v>
      </c>
    </row>
    <row r="4036" spans="76:77" x14ac:dyDescent="0.2">
      <c r="BX4036" s="214" t="e">
        <f t="shared" si="140"/>
        <v>#DIV/0!</v>
      </c>
      <c r="BY4036" s="215">
        <f t="shared" si="141"/>
        <v>0</v>
      </c>
    </row>
    <row r="4037" spans="76:77" x14ac:dyDescent="0.2">
      <c r="BX4037" s="214" t="e">
        <f t="shared" si="140"/>
        <v>#DIV/0!</v>
      </c>
      <c r="BY4037" s="215">
        <f t="shared" si="141"/>
        <v>0</v>
      </c>
    </row>
    <row r="4038" spans="76:77" x14ac:dyDescent="0.2">
      <c r="BX4038" s="214" t="e">
        <f t="shared" si="140"/>
        <v>#DIV/0!</v>
      </c>
      <c r="BY4038" s="215">
        <f t="shared" si="141"/>
        <v>0</v>
      </c>
    </row>
    <row r="4039" spans="76:77" x14ac:dyDescent="0.2">
      <c r="BX4039" s="214" t="e">
        <f t="shared" si="140"/>
        <v>#DIV/0!</v>
      </c>
      <c r="BY4039" s="215">
        <f t="shared" si="141"/>
        <v>0</v>
      </c>
    </row>
    <row r="4040" spans="76:77" x14ac:dyDescent="0.2">
      <c r="BX4040" s="214" t="e">
        <f t="shared" si="140"/>
        <v>#DIV/0!</v>
      </c>
      <c r="BY4040" s="215">
        <f t="shared" si="141"/>
        <v>0</v>
      </c>
    </row>
    <row r="4041" spans="76:77" x14ac:dyDescent="0.2">
      <c r="BX4041" s="214" t="e">
        <f t="shared" si="140"/>
        <v>#DIV/0!</v>
      </c>
      <c r="BY4041" s="215">
        <f t="shared" si="141"/>
        <v>0</v>
      </c>
    </row>
    <row r="4042" spans="76:77" x14ac:dyDescent="0.2">
      <c r="BX4042" s="214" t="e">
        <f t="shared" si="140"/>
        <v>#DIV/0!</v>
      </c>
      <c r="BY4042" s="215">
        <f t="shared" si="141"/>
        <v>0</v>
      </c>
    </row>
    <row r="4043" spans="76:77" x14ac:dyDescent="0.2">
      <c r="BX4043" s="214" t="e">
        <f t="shared" si="140"/>
        <v>#DIV/0!</v>
      </c>
      <c r="BY4043" s="215">
        <f t="shared" si="141"/>
        <v>0</v>
      </c>
    </row>
    <row r="4044" spans="76:77" x14ac:dyDescent="0.2">
      <c r="BX4044" s="214" t="e">
        <f t="shared" si="140"/>
        <v>#DIV/0!</v>
      </c>
      <c r="BY4044" s="215">
        <f t="shared" si="141"/>
        <v>0</v>
      </c>
    </row>
    <row r="4045" spans="76:77" x14ac:dyDescent="0.2">
      <c r="BX4045" s="214" t="e">
        <f t="shared" ref="BX4045:BX4108" si="142">BY4045/BV4045</f>
        <v>#DIV/0!</v>
      </c>
      <c r="BY4045" s="215">
        <f t="shared" si="141"/>
        <v>0</v>
      </c>
    </row>
    <row r="4046" spans="76:77" x14ac:dyDescent="0.2">
      <c r="BX4046" s="214" t="e">
        <f t="shared" si="142"/>
        <v>#DIV/0!</v>
      </c>
      <c r="BY4046" s="215">
        <f t="shared" ref="BY4046:BY4109" si="143">BY4045+BW4046*(BV4046-BV4045)</f>
        <v>0</v>
      </c>
    </row>
    <row r="4047" spans="76:77" x14ac:dyDescent="0.2">
      <c r="BX4047" s="214" t="e">
        <f t="shared" si="142"/>
        <v>#DIV/0!</v>
      </c>
      <c r="BY4047" s="215">
        <f t="shared" si="143"/>
        <v>0</v>
      </c>
    </row>
    <row r="4048" spans="76:77" x14ac:dyDescent="0.2">
      <c r="BX4048" s="214" t="e">
        <f t="shared" si="142"/>
        <v>#DIV/0!</v>
      </c>
      <c r="BY4048" s="215">
        <f t="shared" si="143"/>
        <v>0</v>
      </c>
    </row>
    <row r="4049" spans="76:77" x14ac:dyDescent="0.2">
      <c r="BX4049" s="214" t="e">
        <f t="shared" si="142"/>
        <v>#DIV/0!</v>
      </c>
      <c r="BY4049" s="215">
        <f t="shared" si="143"/>
        <v>0</v>
      </c>
    </row>
    <row r="4050" spans="76:77" x14ac:dyDescent="0.2">
      <c r="BX4050" s="214" t="e">
        <f t="shared" si="142"/>
        <v>#DIV/0!</v>
      </c>
      <c r="BY4050" s="215">
        <f t="shared" si="143"/>
        <v>0</v>
      </c>
    </row>
    <row r="4051" spans="76:77" x14ac:dyDescent="0.2">
      <c r="BX4051" s="214" t="e">
        <f t="shared" si="142"/>
        <v>#DIV/0!</v>
      </c>
      <c r="BY4051" s="215">
        <f t="shared" si="143"/>
        <v>0</v>
      </c>
    </row>
    <row r="4052" spans="76:77" x14ac:dyDescent="0.2">
      <c r="BX4052" s="214" t="e">
        <f t="shared" si="142"/>
        <v>#DIV/0!</v>
      </c>
      <c r="BY4052" s="215">
        <f t="shared" si="143"/>
        <v>0</v>
      </c>
    </row>
    <row r="4053" spans="76:77" x14ac:dyDescent="0.2">
      <c r="BX4053" s="214" t="e">
        <f t="shared" si="142"/>
        <v>#DIV/0!</v>
      </c>
      <c r="BY4053" s="215">
        <f t="shared" si="143"/>
        <v>0</v>
      </c>
    </row>
    <row r="4054" spans="76:77" x14ac:dyDescent="0.2">
      <c r="BX4054" s="214" t="e">
        <f t="shared" si="142"/>
        <v>#DIV/0!</v>
      </c>
      <c r="BY4054" s="215">
        <f t="shared" si="143"/>
        <v>0</v>
      </c>
    </row>
    <row r="4055" spans="76:77" x14ac:dyDescent="0.2">
      <c r="BX4055" s="214" t="e">
        <f t="shared" si="142"/>
        <v>#DIV/0!</v>
      </c>
      <c r="BY4055" s="215">
        <f t="shared" si="143"/>
        <v>0</v>
      </c>
    </row>
    <row r="4056" spans="76:77" x14ac:dyDescent="0.2">
      <c r="BX4056" s="214" t="e">
        <f t="shared" si="142"/>
        <v>#DIV/0!</v>
      </c>
      <c r="BY4056" s="215">
        <f t="shared" si="143"/>
        <v>0</v>
      </c>
    </row>
    <row r="4057" spans="76:77" x14ac:dyDescent="0.2">
      <c r="BX4057" s="214" t="e">
        <f t="shared" si="142"/>
        <v>#DIV/0!</v>
      </c>
      <c r="BY4057" s="215">
        <f t="shared" si="143"/>
        <v>0</v>
      </c>
    </row>
    <row r="4058" spans="76:77" x14ac:dyDescent="0.2">
      <c r="BX4058" s="214" t="e">
        <f t="shared" si="142"/>
        <v>#DIV/0!</v>
      </c>
      <c r="BY4058" s="215">
        <f t="shared" si="143"/>
        <v>0</v>
      </c>
    </row>
    <row r="4059" spans="76:77" x14ac:dyDescent="0.2">
      <c r="BX4059" s="214" t="e">
        <f t="shared" si="142"/>
        <v>#DIV/0!</v>
      </c>
      <c r="BY4059" s="215">
        <f t="shared" si="143"/>
        <v>0</v>
      </c>
    </row>
    <row r="4060" spans="76:77" x14ac:dyDescent="0.2">
      <c r="BX4060" s="214" t="e">
        <f t="shared" si="142"/>
        <v>#DIV/0!</v>
      </c>
      <c r="BY4060" s="215">
        <f t="shared" si="143"/>
        <v>0</v>
      </c>
    </row>
    <row r="4061" spans="76:77" x14ac:dyDescent="0.2">
      <c r="BX4061" s="214" t="e">
        <f t="shared" si="142"/>
        <v>#DIV/0!</v>
      </c>
      <c r="BY4061" s="215">
        <f t="shared" si="143"/>
        <v>0</v>
      </c>
    </row>
    <row r="4062" spans="76:77" x14ac:dyDescent="0.2">
      <c r="BX4062" s="214" t="e">
        <f t="shared" si="142"/>
        <v>#DIV/0!</v>
      </c>
      <c r="BY4062" s="215">
        <f t="shared" si="143"/>
        <v>0</v>
      </c>
    </row>
    <row r="4063" spans="76:77" x14ac:dyDescent="0.2">
      <c r="BX4063" s="214" t="e">
        <f t="shared" si="142"/>
        <v>#DIV/0!</v>
      </c>
      <c r="BY4063" s="215">
        <f t="shared" si="143"/>
        <v>0</v>
      </c>
    </row>
    <row r="4064" spans="76:77" x14ac:dyDescent="0.2">
      <c r="BX4064" s="214" t="e">
        <f t="shared" si="142"/>
        <v>#DIV/0!</v>
      </c>
      <c r="BY4064" s="215">
        <f t="shared" si="143"/>
        <v>0</v>
      </c>
    </row>
    <row r="4065" spans="76:77" x14ac:dyDescent="0.2">
      <c r="BX4065" s="214" t="e">
        <f t="shared" si="142"/>
        <v>#DIV/0!</v>
      </c>
      <c r="BY4065" s="215">
        <f t="shared" si="143"/>
        <v>0</v>
      </c>
    </row>
    <row r="4066" spans="76:77" x14ac:dyDescent="0.2">
      <c r="BX4066" s="214" t="e">
        <f t="shared" si="142"/>
        <v>#DIV/0!</v>
      </c>
      <c r="BY4066" s="215">
        <f t="shared" si="143"/>
        <v>0</v>
      </c>
    </row>
    <row r="4067" spans="76:77" x14ac:dyDescent="0.2">
      <c r="BX4067" s="214" t="e">
        <f t="shared" si="142"/>
        <v>#DIV/0!</v>
      </c>
      <c r="BY4067" s="215">
        <f t="shared" si="143"/>
        <v>0</v>
      </c>
    </row>
    <row r="4068" spans="76:77" x14ac:dyDescent="0.2">
      <c r="BX4068" s="214" t="e">
        <f t="shared" si="142"/>
        <v>#DIV/0!</v>
      </c>
      <c r="BY4068" s="215">
        <f t="shared" si="143"/>
        <v>0</v>
      </c>
    </row>
    <row r="4069" spans="76:77" x14ac:dyDescent="0.2">
      <c r="BX4069" s="214" t="e">
        <f t="shared" si="142"/>
        <v>#DIV/0!</v>
      </c>
      <c r="BY4069" s="215">
        <f t="shared" si="143"/>
        <v>0</v>
      </c>
    </row>
    <row r="4070" spans="76:77" x14ac:dyDescent="0.2">
      <c r="BX4070" s="214" t="e">
        <f t="shared" si="142"/>
        <v>#DIV/0!</v>
      </c>
      <c r="BY4070" s="215">
        <f t="shared" si="143"/>
        <v>0</v>
      </c>
    </row>
    <row r="4071" spans="76:77" x14ac:dyDescent="0.2">
      <c r="BX4071" s="214" t="e">
        <f t="shared" si="142"/>
        <v>#DIV/0!</v>
      </c>
      <c r="BY4071" s="215">
        <f t="shared" si="143"/>
        <v>0</v>
      </c>
    </row>
    <row r="4072" spans="76:77" x14ac:dyDescent="0.2">
      <c r="BX4072" s="214" t="e">
        <f t="shared" si="142"/>
        <v>#DIV/0!</v>
      </c>
      <c r="BY4072" s="215">
        <f t="shared" si="143"/>
        <v>0</v>
      </c>
    </row>
    <row r="4073" spans="76:77" x14ac:dyDescent="0.2">
      <c r="BX4073" s="214" t="e">
        <f t="shared" si="142"/>
        <v>#DIV/0!</v>
      </c>
      <c r="BY4073" s="215">
        <f t="shared" si="143"/>
        <v>0</v>
      </c>
    </row>
    <row r="4074" spans="76:77" x14ac:dyDescent="0.2">
      <c r="BX4074" s="214" t="e">
        <f t="shared" si="142"/>
        <v>#DIV/0!</v>
      </c>
      <c r="BY4074" s="215">
        <f t="shared" si="143"/>
        <v>0</v>
      </c>
    </row>
    <row r="4075" spans="76:77" x14ac:dyDescent="0.2">
      <c r="BX4075" s="214" t="e">
        <f t="shared" si="142"/>
        <v>#DIV/0!</v>
      </c>
      <c r="BY4075" s="215">
        <f t="shared" si="143"/>
        <v>0</v>
      </c>
    </row>
    <row r="4076" spans="76:77" x14ac:dyDescent="0.2">
      <c r="BX4076" s="214" t="e">
        <f t="shared" si="142"/>
        <v>#DIV/0!</v>
      </c>
      <c r="BY4076" s="215">
        <f t="shared" si="143"/>
        <v>0</v>
      </c>
    </row>
    <row r="4077" spans="76:77" x14ac:dyDescent="0.2">
      <c r="BX4077" s="214" t="e">
        <f t="shared" si="142"/>
        <v>#DIV/0!</v>
      </c>
      <c r="BY4077" s="215">
        <f t="shared" si="143"/>
        <v>0</v>
      </c>
    </row>
    <row r="4078" spans="76:77" x14ac:dyDescent="0.2">
      <c r="BX4078" s="214" t="e">
        <f t="shared" si="142"/>
        <v>#DIV/0!</v>
      </c>
      <c r="BY4078" s="215">
        <f t="shared" si="143"/>
        <v>0</v>
      </c>
    </row>
    <row r="4079" spans="76:77" x14ac:dyDescent="0.2">
      <c r="BX4079" s="214" t="e">
        <f t="shared" si="142"/>
        <v>#DIV/0!</v>
      </c>
      <c r="BY4079" s="215">
        <f t="shared" si="143"/>
        <v>0</v>
      </c>
    </row>
    <row r="4080" spans="76:77" x14ac:dyDescent="0.2">
      <c r="BX4080" s="214" t="e">
        <f t="shared" si="142"/>
        <v>#DIV/0!</v>
      </c>
      <c r="BY4080" s="215">
        <f t="shared" si="143"/>
        <v>0</v>
      </c>
    </row>
    <row r="4081" spans="76:77" x14ac:dyDescent="0.2">
      <c r="BX4081" s="214" t="e">
        <f t="shared" si="142"/>
        <v>#DIV/0!</v>
      </c>
      <c r="BY4081" s="215">
        <f t="shared" si="143"/>
        <v>0</v>
      </c>
    </row>
    <row r="4082" spans="76:77" x14ac:dyDescent="0.2">
      <c r="BX4082" s="214" t="e">
        <f t="shared" si="142"/>
        <v>#DIV/0!</v>
      </c>
      <c r="BY4082" s="215">
        <f t="shared" si="143"/>
        <v>0</v>
      </c>
    </row>
    <row r="4083" spans="76:77" x14ac:dyDescent="0.2">
      <c r="BX4083" s="214" t="e">
        <f t="shared" si="142"/>
        <v>#DIV/0!</v>
      </c>
      <c r="BY4083" s="215">
        <f t="shared" si="143"/>
        <v>0</v>
      </c>
    </row>
    <row r="4084" spans="76:77" x14ac:dyDescent="0.2">
      <c r="BX4084" s="214" t="e">
        <f t="shared" si="142"/>
        <v>#DIV/0!</v>
      </c>
      <c r="BY4084" s="215">
        <f t="shared" si="143"/>
        <v>0</v>
      </c>
    </row>
    <row r="4085" spans="76:77" x14ac:dyDescent="0.2">
      <c r="BX4085" s="214" t="e">
        <f t="shared" si="142"/>
        <v>#DIV/0!</v>
      </c>
      <c r="BY4085" s="215">
        <f t="shared" si="143"/>
        <v>0</v>
      </c>
    </row>
    <row r="4086" spans="76:77" x14ac:dyDescent="0.2">
      <c r="BX4086" s="214" t="e">
        <f t="shared" si="142"/>
        <v>#DIV/0!</v>
      </c>
      <c r="BY4086" s="215">
        <f t="shared" si="143"/>
        <v>0</v>
      </c>
    </row>
    <row r="4087" spans="76:77" x14ac:dyDescent="0.2">
      <c r="BX4087" s="214" t="e">
        <f t="shared" si="142"/>
        <v>#DIV/0!</v>
      </c>
      <c r="BY4087" s="215">
        <f t="shared" si="143"/>
        <v>0</v>
      </c>
    </row>
    <row r="4088" spans="76:77" x14ac:dyDescent="0.2">
      <c r="BX4088" s="214" t="e">
        <f t="shared" si="142"/>
        <v>#DIV/0!</v>
      </c>
      <c r="BY4088" s="215">
        <f t="shared" si="143"/>
        <v>0</v>
      </c>
    </row>
    <row r="4089" spans="76:77" x14ac:dyDescent="0.2">
      <c r="BX4089" s="214" t="e">
        <f t="shared" si="142"/>
        <v>#DIV/0!</v>
      </c>
      <c r="BY4089" s="215">
        <f t="shared" si="143"/>
        <v>0</v>
      </c>
    </row>
    <row r="4090" spans="76:77" x14ac:dyDescent="0.2">
      <c r="BX4090" s="214" t="e">
        <f t="shared" si="142"/>
        <v>#DIV/0!</v>
      </c>
      <c r="BY4090" s="215">
        <f t="shared" si="143"/>
        <v>0</v>
      </c>
    </row>
    <row r="4091" spans="76:77" x14ac:dyDescent="0.2">
      <c r="BX4091" s="214" t="e">
        <f t="shared" si="142"/>
        <v>#DIV/0!</v>
      </c>
      <c r="BY4091" s="215">
        <f t="shared" si="143"/>
        <v>0</v>
      </c>
    </row>
    <row r="4092" spans="76:77" x14ac:dyDescent="0.2">
      <c r="BX4092" s="214" t="e">
        <f t="shared" si="142"/>
        <v>#DIV/0!</v>
      </c>
      <c r="BY4092" s="215">
        <f t="shared" si="143"/>
        <v>0</v>
      </c>
    </row>
    <row r="4093" spans="76:77" x14ac:dyDescent="0.2">
      <c r="BX4093" s="214" t="e">
        <f t="shared" si="142"/>
        <v>#DIV/0!</v>
      </c>
      <c r="BY4093" s="215">
        <f t="shared" si="143"/>
        <v>0</v>
      </c>
    </row>
    <row r="4094" spans="76:77" x14ac:dyDescent="0.2">
      <c r="BX4094" s="214" t="e">
        <f t="shared" si="142"/>
        <v>#DIV/0!</v>
      </c>
      <c r="BY4094" s="215">
        <f t="shared" si="143"/>
        <v>0</v>
      </c>
    </row>
    <row r="4095" spans="76:77" x14ac:dyDescent="0.2">
      <c r="BX4095" s="214" t="e">
        <f t="shared" si="142"/>
        <v>#DIV/0!</v>
      </c>
      <c r="BY4095" s="215">
        <f t="shared" si="143"/>
        <v>0</v>
      </c>
    </row>
    <row r="4096" spans="76:77" x14ac:dyDescent="0.2">
      <c r="BX4096" s="214" t="e">
        <f t="shared" si="142"/>
        <v>#DIV/0!</v>
      </c>
      <c r="BY4096" s="215">
        <f t="shared" si="143"/>
        <v>0</v>
      </c>
    </row>
    <row r="4097" spans="76:77" x14ac:dyDescent="0.2">
      <c r="BX4097" s="214" t="e">
        <f t="shared" si="142"/>
        <v>#DIV/0!</v>
      </c>
      <c r="BY4097" s="215">
        <f t="shared" si="143"/>
        <v>0</v>
      </c>
    </row>
    <row r="4098" spans="76:77" x14ac:dyDescent="0.2">
      <c r="BX4098" s="214" t="e">
        <f t="shared" si="142"/>
        <v>#DIV/0!</v>
      </c>
      <c r="BY4098" s="215">
        <f t="shared" si="143"/>
        <v>0</v>
      </c>
    </row>
    <row r="4099" spans="76:77" x14ac:dyDescent="0.2">
      <c r="BX4099" s="214" t="e">
        <f t="shared" si="142"/>
        <v>#DIV/0!</v>
      </c>
      <c r="BY4099" s="215">
        <f t="shared" si="143"/>
        <v>0</v>
      </c>
    </row>
    <row r="4100" spans="76:77" x14ac:dyDescent="0.2">
      <c r="BX4100" s="214" t="e">
        <f t="shared" si="142"/>
        <v>#DIV/0!</v>
      </c>
      <c r="BY4100" s="215">
        <f t="shared" si="143"/>
        <v>0</v>
      </c>
    </row>
    <row r="4101" spans="76:77" x14ac:dyDescent="0.2">
      <c r="BX4101" s="214" t="e">
        <f t="shared" si="142"/>
        <v>#DIV/0!</v>
      </c>
      <c r="BY4101" s="215">
        <f t="shared" si="143"/>
        <v>0</v>
      </c>
    </row>
    <row r="4102" spans="76:77" x14ac:dyDescent="0.2">
      <c r="BX4102" s="214" t="e">
        <f t="shared" si="142"/>
        <v>#DIV/0!</v>
      </c>
      <c r="BY4102" s="215">
        <f t="shared" si="143"/>
        <v>0</v>
      </c>
    </row>
    <row r="4103" spans="76:77" x14ac:dyDescent="0.2">
      <c r="BX4103" s="214" t="e">
        <f t="shared" si="142"/>
        <v>#DIV/0!</v>
      </c>
      <c r="BY4103" s="215">
        <f t="shared" si="143"/>
        <v>0</v>
      </c>
    </row>
    <row r="4104" spans="76:77" x14ac:dyDescent="0.2">
      <c r="BX4104" s="214" t="e">
        <f t="shared" si="142"/>
        <v>#DIV/0!</v>
      </c>
      <c r="BY4104" s="215">
        <f t="shared" si="143"/>
        <v>0</v>
      </c>
    </row>
    <row r="4105" spans="76:77" x14ac:dyDescent="0.2">
      <c r="BX4105" s="214" t="e">
        <f t="shared" si="142"/>
        <v>#DIV/0!</v>
      </c>
      <c r="BY4105" s="215">
        <f t="shared" si="143"/>
        <v>0</v>
      </c>
    </row>
    <row r="4106" spans="76:77" x14ac:dyDescent="0.2">
      <c r="BX4106" s="214" t="e">
        <f t="shared" si="142"/>
        <v>#DIV/0!</v>
      </c>
      <c r="BY4106" s="215">
        <f t="shared" si="143"/>
        <v>0</v>
      </c>
    </row>
    <row r="4107" spans="76:77" x14ac:dyDescent="0.2">
      <c r="BX4107" s="214" t="e">
        <f t="shared" si="142"/>
        <v>#DIV/0!</v>
      </c>
      <c r="BY4107" s="215">
        <f t="shared" si="143"/>
        <v>0</v>
      </c>
    </row>
    <row r="4108" spans="76:77" x14ac:dyDescent="0.2">
      <c r="BX4108" s="214" t="e">
        <f t="shared" si="142"/>
        <v>#DIV/0!</v>
      </c>
      <c r="BY4108" s="215">
        <f t="shared" si="143"/>
        <v>0</v>
      </c>
    </row>
    <row r="4109" spans="76:77" x14ac:dyDescent="0.2">
      <c r="BX4109" s="214" t="e">
        <f t="shared" ref="BX4109:BX4172" si="144">BY4109/BV4109</f>
        <v>#DIV/0!</v>
      </c>
      <c r="BY4109" s="215">
        <f t="shared" si="143"/>
        <v>0</v>
      </c>
    </row>
    <row r="4110" spans="76:77" x14ac:dyDescent="0.2">
      <c r="BX4110" s="214" t="e">
        <f t="shared" si="144"/>
        <v>#DIV/0!</v>
      </c>
      <c r="BY4110" s="215">
        <f t="shared" ref="BY4110:BY4173" si="145">BY4109+BW4110*(BV4110-BV4109)</f>
        <v>0</v>
      </c>
    </row>
    <row r="4111" spans="76:77" x14ac:dyDescent="0.2">
      <c r="BX4111" s="214" t="e">
        <f t="shared" si="144"/>
        <v>#DIV/0!</v>
      </c>
      <c r="BY4111" s="215">
        <f t="shared" si="145"/>
        <v>0</v>
      </c>
    </row>
    <row r="4112" spans="76:77" x14ac:dyDescent="0.2">
      <c r="BX4112" s="214" t="e">
        <f t="shared" si="144"/>
        <v>#DIV/0!</v>
      </c>
      <c r="BY4112" s="215">
        <f t="shared" si="145"/>
        <v>0</v>
      </c>
    </row>
    <row r="4113" spans="76:77" x14ac:dyDescent="0.2">
      <c r="BX4113" s="214" t="e">
        <f t="shared" si="144"/>
        <v>#DIV/0!</v>
      </c>
      <c r="BY4113" s="215">
        <f t="shared" si="145"/>
        <v>0</v>
      </c>
    </row>
    <row r="4114" spans="76:77" x14ac:dyDescent="0.2">
      <c r="BX4114" s="214" t="e">
        <f t="shared" si="144"/>
        <v>#DIV/0!</v>
      </c>
      <c r="BY4114" s="215">
        <f t="shared" si="145"/>
        <v>0</v>
      </c>
    </row>
    <row r="4115" spans="76:77" x14ac:dyDescent="0.2">
      <c r="BX4115" s="214" t="e">
        <f t="shared" si="144"/>
        <v>#DIV/0!</v>
      </c>
      <c r="BY4115" s="215">
        <f t="shared" si="145"/>
        <v>0</v>
      </c>
    </row>
    <row r="4116" spans="76:77" x14ac:dyDescent="0.2">
      <c r="BX4116" s="214" t="e">
        <f t="shared" si="144"/>
        <v>#DIV/0!</v>
      </c>
      <c r="BY4116" s="215">
        <f t="shared" si="145"/>
        <v>0</v>
      </c>
    </row>
    <row r="4117" spans="76:77" x14ac:dyDescent="0.2">
      <c r="BX4117" s="214" t="e">
        <f t="shared" si="144"/>
        <v>#DIV/0!</v>
      </c>
      <c r="BY4117" s="215">
        <f t="shared" si="145"/>
        <v>0</v>
      </c>
    </row>
    <row r="4118" spans="76:77" x14ac:dyDescent="0.2">
      <c r="BX4118" s="214" t="e">
        <f t="shared" si="144"/>
        <v>#DIV/0!</v>
      </c>
      <c r="BY4118" s="215">
        <f t="shared" si="145"/>
        <v>0</v>
      </c>
    </row>
    <row r="4119" spans="76:77" x14ac:dyDescent="0.2">
      <c r="BX4119" s="214" t="e">
        <f t="shared" si="144"/>
        <v>#DIV/0!</v>
      </c>
      <c r="BY4119" s="215">
        <f t="shared" si="145"/>
        <v>0</v>
      </c>
    </row>
    <row r="4120" spans="76:77" x14ac:dyDescent="0.2">
      <c r="BX4120" s="214" t="e">
        <f t="shared" si="144"/>
        <v>#DIV/0!</v>
      </c>
      <c r="BY4120" s="215">
        <f t="shared" si="145"/>
        <v>0</v>
      </c>
    </row>
    <row r="4121" spans="76:77" x14ac:dyDescent="0.2">
      <c r="BX4121" s="214" t="e">
        <f t="shared" si="144"/>
        <v>#DIV/0!</v>
      </c>
      <c r="BY4121" s="215">
        <f t="shared" si="145"/>
        <v>0</v>
      </c>
    </row>
    <row r="4122" spans="76:77" x14ac:dyDescent="0.2">
      <c r="BX4122" s="214" t="e">
        <f t="shared" si="144"/>
        <v>#DIV/0!</v>
      </c>
      <c r="BY4122" s="215">
        <f t="shared" si="145"/>
        <v>0</v>
      </c>
    </row>
    <row r="4123" spans="76:77" x14ac:dyDescent="0.2">
      <c r="BX4123" s="214" t="e">
        <f t="shared" si="144"/>
        <v>#DIV/0!</v>
      </c>
      <c r="BY4123" s="215">
        <f t="shared" si="145"/>
        <v>0</v>
      </c>
    </row>
    <row r="4124" spans="76:77" x14ac:dyDescent="0.2">
      <c r="BX4124" s="214" t="e">
        <f t="shared" si="144"/>
        <v>#DIV/0!</v>
      </c>
      <c r="BY4124" s="215">
        <f t="shared" si="145"/>
        <v>0</v>
      </c>
    </row>
    <row r="4125" spans="76:77" x14ac:dyDescent="0.2">
      <c r="BX4125" s="214" t="e">
        <f t="shared" si="144"/>
        <v>#DIV/0!</v>
      </c>
      <c r="BY4125" s="215">
        <f t="shared" si="145"/>
        <v>0</v>
      </c>
    </row>
    <row r="4126" spans="76:77" x14ac:dyDescent="0.2">
      <c r="BX4126" s="214" t="e">
        <f t="shared" si="144"/>
        <v>#DIV/0!</v>
      </c>
      <c r="BY4126" s="215">
        <f t="shared" si="145"/>
        <v>0</v>
      </c>
    </row>
    <row r="4127" spans="76:77" x14ac:dyDescent="0.2">
      <c r="BX4127" s="214" t="e">
        <f t="shared" si="144"/>
        <v>#DIV/0!</v>
      </c>
      <c r="BY4127" s="215">
        <f t="shared" si="145"/>
        <v>0</v>
      </c>
    </row>
    <row r="4128" spans="76:77" x14ac:dyDescent="0.2">
      <c r="BX4128" s="214" t="e">
        <f t="shared" si="144"/>
        <v>#DIV/0!</v>
      </c>
      <c r="BY4128" s="215">
        <f t="shared" si="145"/>
        <v>0</v>
      </c>
    </row>
    <row r="4129" spans="76:77" x14ac:dyDescent="0.2">
      <c r="BX4129" s="214" t="e">
        <f t="shared" si="144"/>
        <v>#DIV/0!</v>
      </c>
      <c r="BY4129" s="215">
        <f t="shared" si="145"/>
        <v>0</v>
      </c>
    </row>
    <row r="4130" spans="76:77" x14ac:dyDescent="0.2">
      <c r="BX4130" s="214" t="e">
        <f t="shared" si="144"/>
        <v>#DIV/0!</v>
      </c>
      <c r="BY4130" s="215">
        <f t="shared" si="145"/>
        <v>0</v>
      </c>
    </row>
    <row r="4131" spans="76:77" x14ac:dyDescent="0.2">
      <c r="BX4131" s="214" t="e">
        <f t="shared" si="144"/>
        <v>#DIV/0!</v>
      </c>
      <c r="BY4131" s="215">
        <f t="shared" si="145"/>
        <v>0</v>
      </c>
    </row>
    <row r="4132" spans="76:77" x14ac:dyDescent="0.2">
      <c r="BX4132" s="214" t="e">
        <f t="shared" si="144"/>
        <v>#DIV/0!</v>
      </c>
      <c r="BY4132" s="215">
        <f t="shared" si="145"/>
        <v>0</v>
      </c>
    </row>
    <row r="4133" spans="76:77" x14ac:dyDescent="0.2">
      <c r="BX4133" s="214" t="e">
        <f t="shared" si="144"/>
        <v>#DIV/0!</v>
      </c>
      <c r="BY4133" s="215">
        <f t="shared" si="145"/>
        <v>0</v>
      </c>
    </row>
    <row r="4134" spans="76:77" x14ac:dyDescent="0.2">
      <c r="BX4134" s="214" t="e">
        <f t="shared" si="144"/>
        <v>#DIV/0!</v>
      </c>
      <c r="BY4134" s="215">
        <f t="shared" si="145"/>
        <v>0</v>
      </c>
    </row>
    <row r="4135" spans="76:77" x14ac:dyDescent="0.2">
      <c r="BX4135" s="214" t="e">
        <f t="shared" si="144"/>
        <v>#DIV/0!</v>
      </c>
      <c r="BY4135" s="215">
        <f t="shared" si="145"/>
        <v>0</v>
      </c>
    </row>
    <row r="4136" spans="76:77" x14ac:dyDescent="0.2">
      <c r="BX4136" s="214" t="e">
        <f t="shared" si="144"/>
        <v>#DIV/0!</v>
      </c>
      <c r="BY4136" s="215">
        <f t="shared" si="145"/>
        <v>0</v>
      </c>
    </row>
    <row r="4137" spans="76:77" x14ac:dyDescent="0.2">
      <c r="BX4137" s="214" t="e">
        <f t="shared" si="144"/>
        <v>#DIV/0!</v>
      </c>
      <c r="BY4137" s="215">
        <f t="shared" si="145"/>
        <v>0</v>
      </c>
    </row>
    <row r="4138" spans="76:77" x14ac:dyDescent="0.2">
      <c r="BX4138" s="214" t="e">
        <f t="shared" si="144"/>
        <v>#DIV/0!</v>
      </c>
      <c r="BY4138" s="215">
        <f t="shared" si="145"/>
        <v>0</v>
      </c>
    </row>
    <row r="4139" spans="76:77" x14ac:dyDescent="0.2">
      <c r="BX4139" s="214" t="e">
        <f t="shared" si="144"/>
        <v>#DIV/0!</v>
      </c>
      <c r="BY4139" s="215">
        <f t="shared" si="145"/>
        <v>0</v>
      </c>
    </row>
    <row r="4140" spans="76:77" x14ac:dyDescent="0.2">
      <c r="BX4140" s="214" t="e">
        <f t="shared" si="144"/>
        <v>#DIV/0!</v>
      </c>
      <c r="BY4140" s="215">
        <f t="shared" si="145"/>
        <v>0</v>
      </c>
    </row>
    <row r="4141" spans="76:77" x14ac:dyDescent="0.2">
      <c r="BX4141" s="214" t="e">
        <f t="shared" si="144"/>
        <v>#DIV/0!</v>
      </c>
      <c r="BY4141" s="215">
        <f t="shared" si="145"/>
        <v>0</v>
      </c>
    </row>
    <row r="4142" spans="76:77" x14ac:dyDescent="0.2">
      <c r="BX4142" s="214" t="e">
        <f t="shared" si="144"/>
        <v>#DIV/0!</v>
      </c>
      <c r="BY4142" s="215">
        <f t="shared" si="145"/>
        <v>0</v>
      </c>
    </row>
    <row r="4143" spans="76:77" x14ac:dyDescent="0.2">
      <c r="BX4143" s="214" t="e">
        <f t="shared" si="144"/>
        <v>#DIV/0!</v>
      </c>
      <c r="BY4143" s="215">
        <f t="shared" si="145"/>
        <v>0</v>
      </c>
    </row>
    <row r="4144" spans="76:77" x14ac:dyDescent="0.2">
      <c r="BX4144" s="214" t="e">
        <f t="shared" si="144"/>
        <v>#DIV/0!</v>
      </c>
      <c r="BY4144" s="215">
        <f t="shared" si="145"/>
        <v>0</v>
      </c>
    </row>
    <row r="4145" spans="76:77" x14ac:dyDescent="0.2">
      <c r="BX4145" s="214" t="e">
        <f t="shared" si="144"/>
        <v>#DIV/0!</v>
      </c>
      <c r="BY4145" s="215">
        <f t="shared" si="145"/>
        <v>0</v>
      </c>
    </row>
    <row r="4146" spans="76:77" x14ac:dyDescent="0.2">
      <c r="BX4146" s="214" t="e">
        <f t="shared" si="144"/>
        <v>#DIV/0!</v>
      </c>
      <c r="BY4146" s="215">
        <f t="shared" si="145"/>
        <v>0</v>
      </c>
    </row>
    <row r="4147" spans="76:77" x14ac:dyDescent="0.2">
      <c r="BX4147" s="214" t="e">
        <f t="shared" si="144"/>
        <v>#DIV/0!</v>
      </c>
      <c r="BY4147" s="215">
        <f t="shared" si="145"/>
        <v>0</v>
      </c>
    </row>
    <row r="4148" spans="76:77" x14ac:dyDescent="0.2">
      <c r="BX4148" s="214" t="e">
        <f t="shared" si="144"/>
        <v>#DIV/0!</v>
      </c>
      <c r="BY4148" s="215">
        <f t="shared" si="145"/>
        <v>0</v>
      </c>
    </row>
    <row r="4149" spans="76:77" x14ac:dyDescent="0.2">
      <c r="BX4149" s="214" t="e">
        <f t="shared" si="144"/>
        <v>#DIV/0!</v>
      </c>
      <c r="BY4149" s="215">
        <f t="shared" si="145"/>
        <v>0</v>
      </c>
    </row>
    <row r="4150" spans="76:77" x14ac:dyDescent="0.2">
      <c r="BX4150" s="214" t="e">
        <f t="shared" si="144"/>
        <v>#DIV/0!</v>
      </c>
      <c r="BY4150" s="215">
        <f t="shared" si="145"/>
        <v>0</v>
      </c>
    </row>
    <row r="4151" spans="76:77" x14ac:dyDescent="0.2">
      <c r="BX4151" s="214" t="e">
        <f t="shared" si="144"/>
        <v>#DIV/0!</v>
      </c>
      <c r="BY4151" s="215">
        <f t="shared" si="145"/>
        <v>0</v>
      </c>
    </row>
    <row r="4152" spans="76:77" x14ac:dyDescent="0.2">
      <c r="BX4152" s="214" t="e">
        <f t="shared" si="144"/>
        <v>#DIV/0!</v>
      </c>
      <c r="BY4152" s="215">
        <f t="shared" si="145"/>
        <v>0</v>
      </c>
    </row>
    <row r="4153" spans="76:77" x14ac:dyDescent="0.2">
      <c r="BX4153" s="214" t="e">
        <f t="shared" si="144"/>
        <v>#DIV/0!</v>
      </c>
      <c r="BY4153" s="215">
        <f t="shared" si="145"/>
        <v>0</v>
      </c>
    </row>
    <row r="4154" spans="76:77" x14ac:dyDescent="0.2">
      <c r="BX4154" s="214" t="e">
        <f t="shared" si="144"/>
        <v>#DIV/0!</v>
      </c>
      <c r="BY4154" s="215">
        <f t="shared" si="145"/>
        <v>0</v>
      </c>
    </row>
    <row r="4155" spans="76:77" x14ac:dyDescent="0.2">
      <c r="BX4155" s="214" t="e">
        <f t="shared" si="144"/>
        <v>#DIV/0!</v>
      </c>
      <c r="BY4155" s="215">
        <f t="shared" si="145"/>
        <v>0</v>
      </c>
    </row>
    <row r="4156" spans="76:77" x14ac:dyDescent="0.2">
      <c r="BX4156" s="214" t="e">
        <f t="shared" si="144"/>
        <v>#DIV/0!</v>
      </c>
      <c r="BY4156" s="215">
        <f t="shared" si="145"/>
        <v>0</v>
      </c>
    </row>
    <row r="4157" spans="76:77" x14ac:dyDescent="0.2">
      <c r="BX4157" s="214" t="e">
        <f t="shared" si="144"/>
        <v>#DIV/0!</v>
      </c>
      <c r="BY4157" s="215">
        <f t="shared" si="145"/>
        <v>0</v>
      </c>
    </row>
    <row r="4158" spans="76:77" x14ac:dyDescent="0.2">
      <c r="BX4158" s="214" t="e">
        <f t="shared" si="144"/>
        <v>#DIV/0!</v>
      </c>
      <c r="BY4158" s="215">
        <f t="shared" si="145"/>
        <v>0</v>
      </c>
    </row>
    <row r="4159" spans="76:77" x14ac:dyDescent="0.2">
      <c r="BX4159" s="214" t="e">
        <f t="shared" si="144"/>
        <v>#DIV/0!</v>
      </c>
      <c r="BY4159" s="215">
        <f t="shared" si="145"/>
        <v>0</v>
      </c>
    </row>
    <row r="4160" spans="76:77" x14ac:dyDescent="0.2">
      <c r="BX4160" s="214" t="e">
        <f t="shared" si="144"/>
        <v>#DIV/0!</v>
      </c>
      <c r="BY4160" s="215">
        <f t="shared" si="145"/>
        <v>0</v>
      </c>
    </row>
    <row r="4161" spans="76:77" x14ac:dyDescent="0.2">
      <c r="BX4161" s="214" t="e">
        <f t="shared" si="144"/>
        <v>#DIV/0!</v>
      </c>
      <c r="BY4161" s="215">
        <f t="shared" si="145"/>
        <v>0</v>
      </c>
    </row>
    <row r="4162" spans="76:77" x14ac:dyDescent="0.2">
      <c r="BX4162" s="214" t="e">
        <f t="shared" si="144"/>
        <v>#DIV/0!</v>
      </c>
      <c r="BY4162" s="215">
        <f t="shared" si="145"/>
        <v>0</v>
      </c>
    </row>
    <row r="4163" spans="76:77" x14ac:dyDescent="0.2">
      <c r="BX4163" s="214" t="e">
        <f t="shared" si="144"/>
        <v>#DIV/0!</v>
      </c>
      <c r="BY4163" s="215">
        <f t="shared" si="145"/>
        <v>0</v>
      </c>
    </row>
    <row r="4164" spans="76:77" x14ac:dyDescent="0.2">
      <c r="BX4164" s="214" t="e">
        <f t="shared" si="144"/>
        <v>#DIV/0!</v>
      </c>
      <c r="BY4164" s="215">
        <f t="shared" si="145"/>
        <v>0</v>
      </c>
    </row>
    <row r="4165" spans="76:77" x14ac:dyDescent="0.2">
      <c r="BX4165" s="214" t="e">
        <f t="shared" si="144"/>
        <v>#DIV/0!</v>
      </c>
      <c r="BY4165" s="215">
        <f t="shared" si="145"/>
        <v>0</v>
      </c>
    </row>
    <row r="4166" spans="76:77" x14ac:dyDescent="0.2">
      <c r="BX4166" s="214" t="e">
        <f t="shared" si="144"/>
        <v>#DIV/0!</v>
      </c>
      <c r="BY4166" s="215">
        <f t="shared" si="145"/>
        <v>0</v>
      </c>
    </row>
    <row r="4167" spans="76:77" x14ac:dyDescent="0.2">
      <c r="BX4167" s="214" t="e">
        <f t="shared" si="144"/>
        <v>#DIV/0!</v>
      </c>
      <c r="BY4167" s="215">
        <f t="shared" si="145"/>
        <v>0</v>
      </c>
    </row>
    <row r="4168" spans="76:77" x14ac:dyDescent="0.2">
      <c r="BX4168" s="214" t="e">
        <f t="shared" si="144"/>
        <v>#DIV/0!</v>
      </c>
      <c r="BY4168" s="215">
        <f t="shared" si="145"/>
        <v>0</v>
      </c>
    </row>
    <row r="4169" spans="76:77" x14ac:dyDescent="0.2">
      <c r="BX4169" s="214" t="e">
        <f t="shared" si="144"/>
        <v>#DIV/0!</v>
      </c>
      <c r="BY4169" s="215">
        <f t="shared" si="145"/>
        <v>0</v>
      </c>
    </row>
    <row r="4170" spans="76:77" x14ac:dyDescent="0.2">
      <c r="BX4170" s="214" t="e">
        <f t="shared" si="144"/>
        <v>#DIV/0!</v>
      </c>
      <c r="BY4170" s="215">
        <f t="shared" si="145"/>
        <v>0</v>
      </c>
    </row>
    <row r="4171" spans="76:77" x14ac:dyDescent="0.2">
      <c r="BX4171" s="214" t="e">
        <f t="shared" si="144"/>
        <v>#DIV/0!</v>
      </c>
      <c r="BY4171" s="215">
        <f t="shared" si="145"/>
        <v>0</v>
      </c>
    </row>
    <row r="4172" spans="76:77" x14ac:dyDescent="0.2">
      <c r="BX4172" s="214" t="e">
        <f t="shared" si="144"/>
        <v>#DIV/0!</v>
      </c>
      <c r="BY4172" s="215">
        <f t="shared" si="145"/>
        <v>0</v>
      </c>
    </row>
    <row r="4173" spans="76:77" x14ac:dyDescent="0.2">
      <c r="BX4173" s="214" t="e">
        <f t="shared" ref="BX4173:BX4236" si="146">BY4173/BV4173</f>
        <v>#DIV/0!</v>
      </c>
      <c r="BY4173" s="215">
        <f t="shared" si="145"/>
        <v>0</v>
      </c>
    </row>
    <row r="4174" spans="76:77" x14ac:dyDescent="0.2">
      <c r="BX4174" s="214" t="e">
        <f t="shared" si="146"/>
        <v>#DIV/0!</v>
      </c>
      <c r="BY4174" s="215">
        <f t="shared" ref="BY4174:BY4237" si="147">BY4173+BW4174*(BV4174-BV4173)</f>
        <v>0</v>
      </c>
    </row>
    <row r="4175" spans="76:77" x14ac:dyDescent="0.2">
      <c r="BX4175" s="214" t="e">
        <f t="shared" si="146"/>
        <v>#DIV/0!</v>
      </c>
      <c r="BY4175" s="215">
        <f t="shared" si="147"/>
        <v>0</v>
      </c>
    </row>
    <row r="4176" spans="76:77" x14ac:dyDescent="0.2">
      <c r="BX4176" s="214" t="e">
        <f t="shared" si="146"/>
        <v>#DIV/0!</v>
      </c>
      <c r="BY4176" s="215">
        <f t="shared" si="147"/>
        <v>0</v>
      </c>
    </row>
    <row r="4177" spans="76:77" x14ac:dyDescent="0.2">
      <c r="BX4177" s="214" t="e">
        <f t="shared" si="146"/>
        <v>#DIV/0!</v>
      </c>
      <c r="BY4177" s="215">
        <f t="shared" si="147"/>
        <v>0</v>
      </c>
    </row>
    <row r="4178" spans="76:77" x14ac:dyDescent="0.2">
      <c r="BX4178" s="214" t="e">
        <f t="shared" si="146"/>
        <v>#DIV/0!</v>
      </c>
      <c r="BY4178" s="215">
        <f t="shared" si="147"/>
        <v>0</v>
      </c>
    </row>
    <row r="4179" spans="76:77" x14ac:dyDescent="0.2">
      <c r="BX4179" s="214" t="e">
        <f t="shared" si="146"/>
        <v>#DIV/0!</v>
      </c>
      <c r="BY4179" s="215">
        <f t="shared" si="147"/>
        <v>0</v>
      </c>
    </row>
    <row r="4180" spans="76:77" x14ac:dyDescent="0.2">
      <c r="BX4180" s="214" t="e">
        <f t="shared" si="146"/>
        <v>#DIV/0!</v>
      </c>
      <c r="BY4180" s="215">
        <f t="shared" si="147"/>
        <v>0</v>
      </c>
    </row>
    <row r="4181" spans="76:77" x14ac:dyDescent="0.2">
      <c r="BX4181" s="214" t="e">
        <f t="shared" si="146"/>
        <v>#DIV/0!</v>
      </c>
      <c r="BY4181" s="215">
        <f t="shared" si="147"/>
        <v>0</v>
      </c>
    </row>
    <row r="4182" spans="76:77" x14ac:dyDescent="0.2">
      <c r="BX4182" s="214" t="e">
        <f t="shared" si="146"/>
        <v>#DIV/0!</v>
      </c>
      <c r="BY4182" s="215">
        <f t="shared" si="147"/>
        <v>0</v>
      </c>
    </row>
    <row r="4183" spans="76:77" x14ac:dyDescent="0.2">
      <c r="BX4183" s="214" t="e">
        <f t="shared" si="146"/>
        <v>#DIV/0!</v>
      </c>
      <c r="BY4183" s="215">
        <f t="shared" si="147"/>
        <v>0</v>
      </c>
    </row>
    <row r="4184" spans="76:77" x14ac:dyDescent="0.2">
      <c r="BX4184" s="214" t="e">
        <f t="shared" si="146"/>
        <v>#DIV/0!</v>
      </c>
      <c r="BY4184" s="215">
        <f t="shared" si="147"/>
        <v>0</v>
      </c>
    </row>
    <row r="4185" spans="76:77" x14ac:dyDescent="0.2">
      <c r="BX4185" s="214" t="e">
        <f t="shared" si="146"/>
        <v>#DIV/0!</v>
      </c>
      <c r="BY4185" s="215">
        <f t="shared" si="147"/>
        <v>0</v>
      </c>
    </row>
    <row r="4186" spans="76:77" x14ac:dyDescent="0.2">
      <c r="BX4186" s="214" t="e">
        <f t="shared" si="146"/>
        <v>#DIV/0!</v>
      </c>
      <c r="BY4186" s="215">
        <f t="shared" si="147"/>
        <v>0</v>
      </c>
    </row>
    <row r="4187" spans="76:77" x14ac:dyDescent="0.2">
      <c r="BX4187" s="214" t="e">
        <f t="shared" si="146"/>
        <v>#DIV/0!</v>
      </c>
      <c r="BY4187" s="215">
        <f t="shared" si="147"/>
        <v>0</v>
      </c>
    </row>
    <row r="4188" spans="76:77" x14ac:dyDescent="0.2">
      <c r="BX4188" s="214" t="e">
        <f t="shared" si="146"/>
        <v>#DIV/0!</v>
      </c>
      <c r="BY4188" s="215">
        <f t="shared" si="147"/>
        <v>0</v>
      </c>
    </row>
    <row r="4189" spans="76:77" x14ac:dyDescent="0.2">
      <c r="BX4189" s="214" t="e">
        <f t="shared" si="146"/>
        <v>#DIV/0!</v>
      </c>
      <c r="BY4189" s="215">
        <f t="shared" si="147"/>
        <v>0</v>
      </c>
    </row>
    <row r="4190" spans="76:77" x14ac:dyDescent="0.2">
      <c r="BX4190" s="214" t="e">
        <f t="shared" si="146"/>
        <v>#DIV/0!</v>
      </c>
      <c r="BY4190" s="215">
        <f t="shared" si="147"/>
        <v>0</v>
      </c>
    </row>
    <row r="4191" spans="76:77" x14ac:dyDescent="0.2">
      <c r="BX4191" s="214" t="e">
        <f t="shared" si="146"/>
        <v>#DIV/0!</v>
      </c>
      <c r="BY4191" s="215">
        <f t="shared" si="147"/>
        <v>0</v>
      </c>
    </row>
    <row r="4192" spans="76:77" x14ac:dyDescent="0.2">
      <c r="BX4192" s="214" t="e">
        <f t="shared" si="146"/>
        <v>#DIV/0!</v>
      </c>
      <c r="BY4192" s="215">
        <f t="shared" si="147"/>
        <v>0</v>
      </c>
    </row>
    <row r="4193" spans="76:77" x14ac:dyDescent="0.2">
      <c r="BX4193" s="214" t="e">
        <f t="shared" si="146"/>
        <v>#DIV/0!</v>
      </c>
      <c r="BY4193" s="215">
        <f t="shared" si="147"/>
        <v>0</v>
      </c>
    </row>
    <row r="4194" spans="76:77" x14ac:dyDescent="0.2">
      <c r="BX4194" s="214" t="e">
        <f t="shared" si="146"/>
        <v>#DIV/0!</v>
      </c>
      <c r="BY4194" s="215">
        <f t="shared" si="147"/>
        <v>0</v>
      </c>
    </row>
    <row r="4195" spans="76:77" x14ac:dyDescent="0.2">
      <c r="BX4195" s="214" t="e">
        <f t="shared" si="146"/>
        <v>#DIV/0!</v>
      </c>
      <c r="BY4195" s="215">
        <f t="shared" si="147"/>
        <v>0</v>
      </c>
    </row>
    <row r="4196" spans="76:77" x14ac:dyDescent="0.2">
      <c r="BX4196" s="214" t="e">
        <f t="shared" si="146"/>
        <v>#DIV/0!</v>
      </c>
      <c r="BY4196" s="215">
        <f t="shared" si="147"/>
        <v>0</v>
      </c>
    </row>
    <row r="4197" spans="76:77" x14ac:dyDescent="0.2">
      <c r="BX4197" s="214" t="e">
        <f t="shared" si="146"/>
        <v>#DIV/0!</v>
      </c>
      <c r="BY4197" s="215">
        <f t="shared" si="147"/>
        <v>0</v>
      </c>
    </row>
    <row r="4198" spans="76:77" x14ac:dyDescent="0.2">
      <c r="BX4198" s="214" t="e">
        <f t="shared" si="146"/>
        <v>#DIV/0!</v>
      </c>
      <c r="BY4198" s="215">
        <f t="shared" si="147"/>
        <v>0</v>
      </c>
    </row>
    <row r="4199" spans="76:77" x14ac:dyDescent="0.2">
      <c r="BX4199" s="214" t="e">
        <f t="shared" si="146"/>
        <v>#DIV/0!</v>
      </c>
      <c r="BY4199" s="215">
        <f t="shared" si="147"/>
        <v>0</v>
      </c>
    </row>
    <row r="4200" spans="76:77" x14ac:dyDescent="0.2">
      <c r="BX4200" s="214" t="e">
        <f t="shared" si="146"/>
        <v>#DIV/0!</v>
      </c>
      <c r="BY4200" s="215">
        <f t="shared" si="147"/>
        <v>0</v>
      </c>
    </row>
    <row r="4201" spans="76:77" x14ac:dyDescent="0.2">
      <c r="BX4201" s="214" t="e">
        <f t="shared" si="146"/>
        <v>#DIV/0!</v>
      </c>
      <c r="BY4201" s="215">
        <f t="shared" si="147"/>
        <v>0</v>
      </c>
    </row>
    <row r="4202" spans="76:77" x14ac:dyDescent="0.2">
      <c r="BX4202" s="214" t="e">
        <f t="shared" si="146"/>
        <v>#DIV/0!</v>
      </c>
      <c r="BY4202" s="215">
        <f t="shared" si="147"/>
        <v>0</v>
      </c>
    </row>
    <row r="4203" spans="76:77" x14ac:dyDescent="0.2">
      <c r="BX4203" s="214" t="e">
        <f t="shared" si="146"/>
        <v>#DIV/0!</v>
      </c>
      <c r="BY4203" s="215">
        <f t="shared" si="147"/>
        <v>0</v>
      </c>
    </row>
    <row r="4204" spans="76:77" x14ac:dyDescent="0.2">
      <c r="BX4204" s="214" t="e">
        <f t="shared" si="146"/>
        <v>#DIV/0!</v>
      </c>
      <c r="BY4204" s="215">
        <f t="shared" si="147"/>
        <v>0</v>
      </c>
    </row>
    <row r="4205" spans="76:77" x14ac:dyDescent="0.2">
      <c r="BX4205" s="214" t="e">
        <f t="shared" si="146"/>
        <v>#DIV/0!</v>
      </c>
      <c r="BY4205" s="215">
        <f t="shared" si="147"/>
        <v>0</v>
      </c>
    </row>
    <row r="4206" spans="76:77" x14ac:dyDescent="0.2">
      <c r="BX4206" s="214" t="e">
        <f t="shared" si="146"/>
        <v>#DIV/0!</v>
      </c>
      <c r="BY4206" s="215">
        <f t="shared" si="147"/>
        <v>0</v>
      </c>
    </row>
    <row r="4207" spans="76:77" x14ac:dyDescent="0.2">
      <c r="BX4207" s="214" t="e">
        <f t="shared" si="146"/>
        <v>#DIV/0!</v>
      </c>
      <c r="BY4207" s="215">
        <f t="shared" si="147"/>
        <v>0</v>
      </c>
    </row>
    <row r="4208" spans="76:77" x14ac:dyDescent="0.2">
      <c r="BX4208" s="214" t="e">
        <f t="shared" si="146"/>
        <v>#DIV/0!</v>
      </c>
      <c r="BY4208" s="215">
        <f t="shared" si="147"/>
        <v>0</v>
      </c>
    </row>
    <row r="4209" spans="76:77" x14ac:dyDescent="0.2">
      <c r="BX4209" s="214" t="e">
        <f t="shared" si="146"/>
        <v>#DIV/0!</v>
      </c>
      <c r="BY4209" s="215">
        <f t="shared" si="147"/>
        <v>0</v>
      </c>
    </row>
    <row r="4210" spans="76:77" x14ac:dyDescent="0.2">
      <c r="BX4210" s="214" t="e">
        <f t="shared" si="146"/>
        <v>#DIV/0!</v>
      </c>
      <c r="BY4210" s="215">
        <f t="shared" si="147"/>
        <v>0</v>
      </c>
    </row>
    <row r="4211" spans="76:77" x14ac:dyDescent="0.2">
      <c r="BX4211" s="214" t="e">
        <f t="shared" si="146"/>
        <v>#DIV/0!</v>
      </c>
      <c r="BY4211" s="215">
        <f t="shared" si="147"/>
        <v>0</v>
      </c>
    </row>
    <row r="4212" spans="76:77" x14ac:dyDescent="0.2">
      <c r="BX4212" s="214" t="e">
        <f t="shared" si="146"/>
        <v>#DIV/0!</v>
      </c>
      <c r="BY4212" s="215">
        <f t="shared" si="147"/>
        <v>0</v>
      </c>
    </row>
    <row r="4213" spans="76:77" x14ac:dyDescent="0.2">
      <c r="BX4213" s="214" t="e">
        <f t="shared" si="146"/>
        <v>#DIV/0!</v>
      </c>
      <c r="BY4213" s="215">
        <f t="shared" si="147"/>
        <v>0</v>
      </c>
    </row>
    <row r="4214" spans="76:77" x14ac:dyDescent="0.2">
      <c r="BX4214" s="214" t="e">
        <f t="shared" si="146"/>
        <v>#DIV/0!</v>
      </c>
      <c r="BY4214" s="215">
        <f t="shared" si="147"/>
        <v>0</v>
      </c>
    </row>
    <row r="4215" spans="76:77" x14ac:dyDescent="0.2">
      <c r="BX4215" s="214" t="e">
        <f t="shared" si="146"/>
        <v>#DIV/0!</v>
      </c>
      <c r="BY4215" s="215">
        <f t="shared" si="147"/>
        <v>0</v>
      </c>
    </row>
    <row r="4216" spans="76:77" x14ac:dyDescent="0.2">
      <c r="BX4216" s="214" t="e">
        <f t="shared" si="146"/>
        <v>#DIV/0!</v>
      </c>
      <c r="BY4216" s="215">
        <f t="shared" si="147"/>
        <v>0</v>
      </c>
    </row>
    <row r="4217" spans="76:77" x14ac:dyDescent="0.2">
      <c r="BX4217" s="214" t="e">
        <f t="shared" si="146"/>
        <v>#DIV/0!</v>
      </c>
      <c r="BY4217" s="215">
        <f t="shared" si="147"/>
        <v>0</v>
      </c>
    </row>
    <row r="4218" spans="76:77" x14ac:dyDescent="0.2">
      <c r="BX4218" s="214" t="e">
        <f t="shared" si="146"/>
        <v>#DIV/0!</v>
      </c>
      <c r="BY4218" s="215">
        <f t="shared" si="147"/>
        <v>0</v>
      </c>
    </row>
    <row r="4219" spans="76:77" x14ac:dyDescent="0.2">
      <c r="BX4219" s="214" t="e">
        <f t="shared" si="146"/>
        <v>#DIV/0!</v>
      </c>
      <c r="BY4219" s="215">
        <f t="shared" si="147"/>
        <v>0</v>
      </c>
    </row>
    <row r="4220" spans="76:77" x14ac:dyDescent="0.2">
      <c r="BX4220" s="214" t="e">
        <f t="shared" si="146"/>
        <v>#DIV/0!</v>
      </c>
      <c r="BY4220" s="215">
        <f t="shared" si="147"/>
        <v>0</v>
      </c>
    </row>
    <row r="4221" spans="76:77" x14ac:dyDescent="0.2">
      <c r="BX4221" s="214" t="e">
        <f t="shared" si="146"/>
        <v>#DIV/0!</v>
      </c>
      <c r="BY4221" s="215">
        <f t="shared" si="147"/>
        <v>0</v>
      </c>
    </row>
    <row r="4222" spans="76:77" x14ac:dyDescent="0.2">
      <c r="BX4222" s="214" t="e">
        <f t="shared" si="146"/>
        <v>#DIV/0!</v>
      </c>
      <c r="BY4222" s="215">
        <f t="shared" si="147"/>
        <v>0</v>
      </c>
    </row>
    <row r="4223" spans="76:77" x14ac:dyDescent="0.2">
      <c r="BX4223" s="214" t="e">
        <f t="shared" si="146"/>
        <v>#DIV/0!</v>
      </c>
      <c r="BY4223" s="215">
        <f t="shared" si="147"/>
        <v>0</v>
      </c>
    </row>
    <row r="4224" spans="76:77" x14ac:dyDescent="0.2">
      <c r="BX4224" s="214" t="e">
        <f t="shared" si="146"/>
        <v>#DIV/0!</v>
      </c>
      <c r="BY4224" s="215">
        <f t="shared" si="147"/>
        <v>0</v>
      </c>
    </row>
    <row r="4225" spans="76:77" x14ac:dyDescent="0.2">
      <c r="BX4225" s="214" t="e">
        <f t="shared" si="146"/>
        <v>#DIV/0!</v>
      </c>
      <c r="BY4225" s="215">
        <f t="shared" si="147"/>
        <v>0</v>
      </c>
    </row>
    <row r="4226" spans="76:77" x14ac:dyDescent="0.2">
      <c r="BX4226" s="214" t="e">
        <f t="shared" si="146"/>
        <v>#DIV/0!</v>
      </c>
      <c r="BY4226" s="215">
        <f t="shared" si="147"/>
        <v>0</v>
      </c>
    </row>
    <row r="4227" spans="76:77" x14ac:dyDescent="0.2">
      <c r="BX4227" s="214" t="e">
        <f t="shared" si="146"/>
        <v>#DIV/0!</v>
      </c>
      <c r="BY4227" s="215">
        <f t="shared" si="147"/>
        <v>0</v>
      </c>
    </row>
    <row r="4228" spans="76:77" x14ac:dyDescent="0.2">
      <c r="BX4228" s="214" t="e">
        <f t="shared" si="146"/>
        <v>#DIV/0!</v>
      </c>
      <c r="BY4228" s="215">
        <f t="shared" si="147"/>
        <v>0</v>
      </c>
    </row>
    <row r="4229" spans="76:77" x14ac:dyDescent="0.2">
      <c r="BX4229" s="214" t="e">
        <f t="shared" si="146"/>
        <v>#DIV/0!</v>
      </c>
      <c r="BY4229" s="215">
        <f t="shared" si="147"/>
        <v>0</v>
      </c>
    </row>
    <row r="4230" spans="76:77" x14ac:dyDescent="0.2">
      <c r="BX4230" s="214" t="e">
        <f t="shared" si="146"/>
        <v>#DIV/0!</v>
      </c>
      <c r="BY4230" s="215">
        <f t="shared" si="147"/>
        <v>0</v>
      </c>
    </row>
    <row r="4231" spans="76:77" x14ac:dyDescent="0.2">
      <c r="BX4231" s="214" t="e">
        <f t="shared" si="146"/>
        <v>#DIV/0!</v>
      </c>
      <c r="BY4231" s="215">
        <f t="shared" si="147"/>
        <v>0</v>
      </c>
    </row>
    <row r="4232" spans="76:77" x14ac:dyDescent="0.2">
      <c r="BX4232" s="214" t="e">
        <f t="shared" si="146"/>
        <v>#DIV/0!</v>
      </c>
      <c r="BY4232" s="215">
        <f t="shared" si="147"/>
        <v>0</v>
      </c>
    </row>
    <row r="4233" spans="76:77" x14ac:dyDescent="0.2">
      <c r="BX4233" s="214" t="e">
        <f t="shared" si="146"/>
        <v>#DIV/0!</v>
      </c>
      <c r="BY4233" s="215">
        <f t="shared" si="147"/>
        <v>0</v>
      </c>
    </row>
    <row r="4234" spans="76:77" x14ac:dyDescent="0.2">
      <c r="BX4234" s="214" t="e">
        <f t="shared" si="146"/>
        <v>#DIV/0!</v>
      </c>
      <c r="BY4234" s="215">
        <f t="shared" si="147"/>
        <v>0</v>
      </c>
    </row>
    <row r="4235" spans="76:77" x14ac:dyDescent="0.2">
      <c r="BX4235" s="214" t="e">
        <f t="shared" si="146"/>
        <v>#DIV/0!</v>
      </c>
      <c r="BY4235" s="215">
        <f t="shared" si="147"/>
        <v>0</v>
      </c>
    </row>
    <row r="4236" spans="76:77" x14ac:dyDescent="0.2">
      <c r="BX4236" s="214" t="e">
        <f t="shared" si="146"/>
        <v>#DIV/0!</v>
      </c>
      <c r="BY4236" s="215">
        <f t="shared" si="147"/>
        <v>0</v>
      </c>
    </row>
    <row r="4237" spans="76:77" x14ac:dyDescent="0.2">
      <c r="BX4237" s="214" t="e">
        <f t="shared" ref="BX4237:BX4300" si="148">BY4237/BV4237</f>
        <v>#DIV/0!</v>
      </c>
      <c r="BY4237" s="215">
        <f t="shared" si="147"/>
        <v>0</v>
      </c>
    </row>
    <row r="4238" spans="76:77" x14ac:dyDescent="0.2">
      <c r="BX4238" s="214" t="e">
        <f t="shared" si="148"/>
        <v>#DIV/0!</v>
      </c>
      <c r="BY4238" s="215">
        <f t="shared" ref="BY4238:BY4301" si="149">BY4237+BW4238*(BV4238-BV4237)</f>
        <v>0</v>
      </c>
    </row>
    <row r="4239" spans="76:77" x14ac:dyDescent="0.2">
      <c r="BX4239" s="214" t="e">
        <f t="shared" si="148"/>
        <v>#DIV/0!</v>
      </c>
      <c r="BY4239" s="215">
        <f t="shared" si="149"/>
        <v>0</v>
      </c>
    </row>
    <row r="4240" spans="76:77" x14ac:dyDescent="0.2">
      <c r="BX4240" s="214" t="e">
        <f t="shared" si="148"/>
        <v>#DIV/0!</v>
      </c>
      <c r="BY4240" s="215">
        <f t="shared" si="149"/>
        <v>0</v>
      </c>
    </row>
    <row r="4241" spans="76:77" x14ac:dyDescent="0.2">
      <c r="BX4241" s="214" t="e">
        <f t="shared" si="148"/>
        <v>#DIV/0!</v>
      </c>
      <c r="BY4241" s="215">
        <f t="shared" si="149"/>
        <v>0</v>
      </c>
    </row>
    <row r="4242" spans="76:77" x14ac:dyDescent="0.2">
      <c r="BX4242" s="214" t="e">
        <f t="shared" si="148"/>
        <v>#DIV/0!</v>
      </c>
      <c r="BY4242" s="215">
        <f t="shared" si="149"/>
        <v>0</v>
      </c>
    </row>
    <row r="4243" spans="76:77" x14ac:dyDescent="0.2">
      <c r="BX4243" s="214" t="e">
        <f t="shared" si="148"/>
        <v>#DIV/0!</v>
      </c>
      <c r="BY4243" s="215">
        <f t="shared" si="149"/>
        <v>0</v>
      </c>
    </row>
    <row r="4244" spans="76:77" x14ac:dyDescent="0.2">
      <c r="BX4244" s="214" t="e">
        <f t="shared" si="148"/>
        <v>#DIV/0!</v>
      </c>
      <c r="BY4244" s="215">
        <f t="shared" si="149"/>
        <v>0</v>
      </c>
    </row>
    <row r="4245" spans="76:77" x14ac:dyDescent="0.2">
      <c r="BX4245" s="214" t="e">
        <f t="shared" si="148"/>
        <v>#DIV/0!</v>
      </c>
      <c r="BY4245" s="215">
        <f t="shared" si="149"/>
        <v>0</v>
      </c>
    </row>
    <row r="4246" spans="76:77" x14ac:dyDescent="0.2">
      <c r="BX4246" s="214" t="e">
        <f t="shared" si="148"/>
        <v>#DIV/0!</v>
      </c>
      <c r="BY4246" s="215">
        <f t="shared" si="149"/>
        <v>0</v>
      </c>
    </row>
    <row r="4247" spans="76:77" x14ac:dyDescent="0.2">
      <c r="BX4247" s="214" t="e">
        <f t="shared" si="148"/>
        <v>#DIV/0!</v>
      </c>
      <c r="BY4247" s="215">
        <f t="shared" si="149"/>
        <v>0</v>
      </c>
    </row>
    <row r="4248" spans="76:77" x14ac:dyDescent="0.2">
      <c r="BX4248" s="214" t="e">
        <f t="shared" si="148"/>
        <v>#DIV/0!</v>
      </c>
      <c r="BY4248" s="215">
        <f t="shared" si="149"/>
        <v>0</v>
      </c>
    </row>
    <row r="4249" spans="76:77" x14ac:dyDescent="0.2">
      <c r="BX4249" s="214" t="e">
        <f t="shared" si="148"/>
        <v>#DIV/0!</v>
      </c>
      <c r="BY4249" s="215">
        <f t="shared" si="149"/>
        <v>0</v>
      </c>
    </row>
    <row r="4250" spans="76:77" x14ac:dyDescent="0.2">
      <c r="BX4250" s="214" t="e">
        <f t="shared" si="148"/>
        <v>#DIV/0!</v>
      </c>
      <c r="BY4250" s="215">
        <f t="shared" si="149"/>
        <v>0</v>
      </c>
    </row>
    <row r="4251" spans="76:77" x14ac:dyDescent="0.2">
      <c r="BX4251" s="214" t="e">
        <f t="shared" si="148"/>
        <v>#DIV/0!</v>
      </c>
      <c r="BY4251" s="215">
        <f t="shared" si="149"/>
        <v>0</v>
      </c>
    </row>
    <row r="4252" spans="76:77" x14ac:dyDescent="0.2">
      <c r="BX4252" s="214" t="e">
        <f t="shared" si="148"/>
        <v>#DIV/0!</v>
      </c>
      <c r="BY4252" s="215">
        <f t="shared" si="149"/>
        <v>0</v>
      </c>
    </row>
    <row r="4253" spans="76:77" x14ac:dyDescent="0.2">
      <c r="BX4253" s="214" t="e">
        <f t="shared" si="148"/>
        <v>#DIV/0!</v>
      </c>
      <c r="BY4253" s="215">
        <f t="shared" si="149"/>
        <v>0</v>
      </c>
    </row>
    <row r="4254" spans="76:77" x14ac:dyDescent="0.2">
      <c r="BX4254" s="214" t="e">
        <f t="shared" si="148"/>
        <v>#DIV/0!</v>
      </c>
      <c r="BY4254" s="215">
        <f t="shared" si="149"/>
        <v>0</v>
      </c>
    </row>
    <row r="4255" spans="76:77" x14ac:dyDescent="0.2">
      <c r="BX4255" s="214" t="e">
        <f t="shared" si="148"/>
        <v>#DIV/0!</v>
      </c>
      <c r="BY4255" s="215">
        <f t="shared" si="149"/>
        <v>0</v>
      </c>
    </row>
    <row r="4256" spans="76:77" x14ac:dyDescent="0.2">
      <c r="BX4256" s="214" t="e">
        <f t="shared" si="148"/>
        <v>#DIV/0!</v>
      </c>
      <c r="BY4256" s="215">
        <f t="shared" si="149"/>
        <v>0</v>
      </c>
    </row>
    <row r="4257" spans="76:77" x14ac:dyDescent="0.2">
      <c r="BX4257" s="214" t="e">
        <f t="shared" si="148"/>
        <v>#DIV/0!</v>
      </c>
      <c r="BY4257" s="215">
        <f t="shared" si="149"/>
        <v>0</v>
      </c>
    </row>
    <row r="4258" spans="76:77" x14ac:dyDescent="0.2">
      <c r="BX4258" s="214" t="e">
        <f t="shared" si="148"/>
        <v>#DIV/0!</v>
      </c>
      <c r="BY4258" s="215">
        <f t="shared" si="149"/>
        <v>0</v>
      </c>
    </row>
    <row r="4259" spans="76:77" x14ac:dyDescent="0.2">
      <c r="BX4259" s="214" t="e">
        <f t="shared" si="148"/>
        <v>#DIV/0!</v>
      </c>
      <c r="BY4259" s="215">
        <f t="shared" si="149"/>
        <v>0</v>
      </c>
    </row>
    <row r="4260" spans="76:77" x14ac:dyDescent="0.2">
      <c r="BX4260" s="214" t="e">
        <f t="shared" si="148"/>
        <v>#DIV/0!</v>
      </c>
      <c r="BY4260" s="215">
        <f t="shared" si="149"/>
        <v>0</v>
      </c>
    </row>
    <row r="4261" spans="76:77" x14ac:dyDescent="0.2">
      <c r="BX4261" s="214" t="e">
        <f t="shared" si="148"/>
        <v>#DIV/0!</v>
      </c>
      <c r="BY4261" s="215">
        <f t="shared" si="149"/>
        <v>0</v>
      </c>
    </row>
    <row r="4262" spans="76:77" x14ac:dyDescent="0.2">
      <c r="BX4262" s="214" t="e">
        <f t="shared" si="148"/>
        <v>#DIV/0!</v>
      </c>
      <c r="BY4262" s="215">
        <f t="shared" si="149"/>
        <v>0</v>
      </c>
    </row>
    <row r="4263" spans="76:77" x14ac:dyDescent="0.2">
      <c r="BX4263" s="214" t="e">
        <f t="shared" si="148"/>
        <v>#DIV/0!</v>
      </c>
      <c r="BY4263" s="215">
        <f t="shared" si="149"/>
        <v>0</v>
      </c>
    </row>
    <row r="4264" spans="76:77" x14ac:dyDescent="0.2">
      <c r="BX4264" s="214" t="e">
        <f t="shared" si="148"/>
        <v>#DIV/0!</v>
      </c>
      <c r="BY4264" s="215">
        <f t="shared" si="149"/>
        <v>0</v>
      </c>
    </row>
    <row r="4265" spans="76:77" x14ac:dyDescent="0.2">
      <c r="BX4265" s="214" t="e">
        <f t="shared" si="148"/>
        <v>#DIV/0!</v>
      </c>
      <c r="BY4265" s="215">
        <f t="shared" si="149"/>
        <v>0</v>
      </c>
    </row>
    <row r="4266" spans="76:77" x14ac:dyDescent="0.2">
      <c r="BX4266" s="214" t="e">
        <f t="shared" si="148"/>
        <v>#DIV/0!</v>
      </c>
      <c r="BY4266" s="215">
        <f t="shared" si="149"/>
        <v>0</v>
      </c>
    </row>
    <row r="4267" spans="76:77" x14ac:dyDescent="0.2">
      <c r="BX4267" s="214" t="e">
        <f t="shared" si="148"/>
        <v>#DIV/0!</v>
      </c>
      <c r="BY4267" s="215">
        <f t="shared" si="149"/>
        <v>0</v>
      </c>
    </row>
    <row r="4268" spans="76:77" x14ac:dyDescent="0.2">
      <c r="BX4268" s="214" t="e">
        <f t="shared" si="148"/>
        <v>#DIV/0!</v>
      </c>
      <c r="BY4268" s="215">
        <f t="shared" si="149"/>
        <v>0</v>
      </c>
    </row>
    <row r="4269" spans="76:77" x14ac:dyDescent="0.2">
      <c r="BX4269" s="214" t="e">
        <f t="shared" si="148"/>
        <v>#DIV/0!</v>
      </c>
      <c r="BY4269" s="215">
        <f t="shared" si="149"/>
        <v>0</v>
      </c>
    </row>
    <row r="4270" spans="76:77" x14ac:dyDescent="0.2">
      <c r="BX4270" s="214" t="e">
        <f t="shared" si="148"/>
        <v>#DIV/0!</v>
      </c>
      <c r="BY4270" s="215">
        <f t="shared" si="149"/>
        <v>0</v>
      </c>
    </row>
    <row r="4271" spans="76:77" x14ac:dyDescent="0.2">
      <c r="BX4271" s="214" t="e">
        <f t="shared" si="148"/>
        <v>#DIV/0!</v>
      </c>
      <c r="BY4271" s="215">
        <f t="shared" si="149"/>
        <v>0</v>
      </c>
    </row>
    <row r="4272" spans="76:77" x14ac:dyDescent="0.2">
      <c r="BX4272" s="214" t="e">
        <f t="shared" si="148"/>
        <v>#DIV/0!</v>
      </c>
      <c r="BY4272" s="215">
        <f t="shared" si="149"/>
        <v>0</v>
      </c>
    </row>
    <row r="4273" spans="76:77" x14ac:dyDescent="0.2">
      <c r="BX4273" s="214" t="e">
        <f t="shared" si="148"/>
        <v>#DIV/0!</v>
      </c>
      <c r="BY4273" s="215">
        <f t="shared" si="149"/>
        <v>0</v>
      </c>
    </row>
    <row r="4274" spans="76:77" x14ac:dyDescent="0.2">
      <c r="BX4274" s="214" t="e">
        <f t="shared" si="148"/>
        <v>#DIV/0!</v>
      </c>
      <c r="BY4274" s="215">
        <f t="shared" si="149"/>
        <v>0</v>
      </c>
    </row>
    <row r="4275" spans="76:77" x14ac:dyDescent="0.2">
      <c r="BX4275" s="214" t="e">
        <f t="shared" si="148"/>
        <v>#DIV/0!</v>
      </c>
      <c r="BY4275" s="215">
        <f t="shared" si="149"/>
        <v>0</v>
      </c>
    </row>
    <row r="4276" spans="76:77" x14ac:dyDescent="0.2">
      <c r="BX4276" s="214" t="e">
        <f t="shared" si="148"/>
        <v>#DIV/0!</v>
      </c>
      <c r="BY4276" s="215">
        <f t="shared" si="149"/>
        <v>0</v>
      </c>
    </row>
    <row r="4277" spans="76:77" x14ac:dyDescent="0.2">
      <c r="BX4277" s="214" t="e">
        <f t="shared" si="148"/>
        <v>#DIV/0!</v>
      </c>
      <c r="BY4277" s="215">
        <f t="shared" si="149"/>
        <v>0</v>
      </c>
    </row>
    <row r="4278" spans="76:77" x14ac:dyDescent="0.2">
      <c r="BX4278" s="214" t="e">
        <f t="shared" si="148"/>
        <v>#DIV/0!</v>
      </c>
      <c r="BY4278" s="215">
        <f t="shared" si="149"/>
        <v>0</v>
      </c>
    </row>
    <row r="4279" spans="76:77" x14ac:dyDescent="0.2">
      <c r="BX4279" s="214" t="e">
        <f t="shared" si="148"/>
        <v>#DIV/0!</v>
      </c>
      <c r="BY4279" s="215">
        <f t="shared" si="149"/>
        <v>0</v>
      </c>
    </row>
    <row r="4280" spans="76:77" x14ac:dyDescent="0.2">
      <c r="BX4280" s="214" t="e">
        <f t="shared" si="148"/>
        <v>#DIV/0!</v>
      </c>
      <c r="BY4280" s="215">
        <f t="shared" si="149"/>
        <v>0</v>
      </c>
    </row>
    <row r="4281" spans="76:77" x14ac:dyDescent="0.2">
      <c r="BX4281" s="214" t="e">
        <f t="shared" si="148"/>
        <v>#DIV/0!</v>
      </c>
      <c r="BY4281" s="215">
        <f t="shared" si="149"/>
        <v>0</v>
      </c>
    </row>
    <row r="4282" spans="76:77" x14ac:dyDescent="0.2">
      <c r="BX4282" s="214" t="e">
        <f t="shared" si="148"/>
        <v>#DIV/0!</v>
      </c>
      <c r="BY4282" s="215">
        <f t="shared" si="149"/>
        <v>0</v>
      </c>
    </row>
    <row r="4283" spans="76:77" x14ac:dyDescent="0.2">
      <c r="BX4283" s="214" t="e">
        <f t="shared" si="148"/>
        <v>#DIV/0!</v>
      </c>
      <c r="BY4283" s="215">
        <f t="shared" si="149"/>
        <v>0</v>
      </c>
    </row>
    <row r="4284" spans="76:77" x14ac:dyDescent="0.2">
      <c r="BX4284" s="214" t="e">
        <f t="shared" si="148"/>
        <v>#DIV/0!</v>
      </c>
      <c r="BY4284" s="215">
        <f t="shared" si="149"/>
        <v>0</v>
      </c>
    </row>
    <row r="4285" spans="76:77" x14ac:dyDescent="0.2">
      <c r="BX4285" s="214" t="e">
        <f t="shared" si="148"/>
        <v>#DIV/0!</v>
      </c>
      <c r="BY4285" s="215">
        <f t="shared" si="149"/>
        <v>0</v>
      </c>
    </row>
    <row r="4286" spans="76:77" x14ac:dyDescent="0.2">
      <c r="BX4286" s="214" t="e">
        <f t="shared" si="148"/>
        <v>#DIV/0!</v>
      </c>
      <c r="BY4286" s="215">
        <f t="shared" si="149"/>
        <v>0</v>
      </c>
    </row>
    <row r="4287" spans="76:77" x14ac:dyDescent="0.2">
      <c r="BX4287" s="214" t="e">
        <f t="shared" si="148"/>
        <v>#DIV/0!</v>
      </c>
      <c r="BY4287" s="215">
        <f t="shared" si="149"/>
        <v>0</v>
      </c>
    </row>
    <row r="4288" spans="76:77" x14ac:dyDescent="0.2">
      <c r="BX4288" s="214" t="e">
        <f t="shared" si="148"/>
        <v>#DIV/0!</v>
      </c>
      <c r="BY4288" s="215">
        <f t="shared" si="149"/>
        <v>0</v>
      </c>
    </row>
    <row r="4289" spans="76:77" x14ac:dyDescent="0.2">
      <c r="BX4289" s="214" t="e">
        <f t="shared" si="148"/>
        <v>#DIV/0!</v>
      </c>
      <c r="BY4289" s="215">
        <f t="shared" si="149"/>
        <v>0</v>
      </c>
    </row>
    <row r="4290" spans="76:77" x14ac:dyDescent="0.2">
      <c r="BX4290" s="214" t="e">
        <f t="shared" si="148"/>
        <v>#DIV/0!</v>
      </c>
      <c r="BY4290" s="215">
        <f t="shared" si="149"/>
        <v>0</v>
      </c>
    </row>
    <row r="4291" spans="76:77" x14ac:dyDescent="0.2">
      <c r="BX4291" s="214" t="e">
        <f t="shared" si="148"/>
        <v>#DIV/0!</v>
      </c>
      <c r="BY4291" s="215">
        <f t="shared" si="149"/>
        <v>0</v>
      </c>
    </row>
    <row r="4292" spans="76:77" x14ac:dyDescent="0.2">
      <c r="BX4292" s="214" t="e">
        <f t="shared" si="148"/>
        <v>#DIV/0!</v>
      </c>
      <c r="BY4292" s="215">
        <f t="shared" si="149"/>
        <v>0</v>
      </c>
    </row>
    <row r="4293" spans="76:77" x14ac:dyDescent="0.2">
      <c r="BX4293" s="214" t="e">
        <f t="shared" si="148"/>
        <v>#DIV/0!</v>
      </c>
      <c r="BY4293" s="215">
        <f t="shared" si="149"/>
        <v>0</v>
      </c>
    </row>
    <row r="4294" spans="76:77" x14ac:dyDescent="0.2">
      <c r="BX4294" s="214" t="e">
        <f t="shared" si="148"/>
        <v>#DIV/0!</v>
      </c>
      <c r="BY4294" s="215">
        <f t="shared" si="149"/>
        <v>0</v>
      </c>
    </row>
    <row r="4295" spans="76:77" x14ac:dyDescent="0.2">
      <c r="BX4295" s="214" t="e">
        <f t="shared" si="148"/>
        <v>#DIV/0!</v>
      </c>
      <c r="BY4295" s="215">
        <f t="shared" si="149"/>
        <v>0</v>
      </c>
    </row>
    <row r="4296" spans="76:77" x14ac:dyDescent="0.2">
      <c r="BX4296" s="214" t="e">
        <f t="shared" si="148"/>
        <v>#DIV/0!</v>
      </c>
      <c r="BY4296" s="215">
        <f t="shared" si="149"/>
        <v>0</v>
      </c>
    </row>
    <row r="4297" spans="76:77" x14ac:dyDescent="0.2">
      <c r="BX4297" s="214" t="e">
        <f t="shared" si="148"/>
        <v>#DIV/0!</v>
      </c>
      <c r="BY4297" s="215">
        <f t="shared" si="149"/>
        <v>0</v>
      </c>
    </row>
    <row r="4298" spans="76:77" x14ac:dyDescent="0.2">
      <c r="BX4298" s="214" t="e">
        <f t="shared" si="148"/>
        <v>#DIV/0!</v>
      </c>
      <c r="BY4298" s="215">
        <f t="shared" si="149"/>
        <v>0</v>
      </c>
    </row>
    <row r="4299" spans="76:77" x14ac:dyDescent="0.2">
      <c r="BX4299" s="214" t="e">
        <f t="shared" si="148"/>
        <v>#DIV/0!</v>
      </c>
      <c r="BY4299" s="215">
        <f t="shared" si="149"/>
        <v>0</v>
      </c>
    </row>
    <row r="4300" spans="76:77" x14ac:dyDescent="0.2">
      <c r="BX4300" s="214" t="e">
        <f t="shared" si="148"/>
        <v>#DIV/0!</v>
      </c>
      <c r="BY4300" s="215">
        <f t="shared" si="149"/>
        <v>0</v>
      </c>
    </row>
    <row r="4301" spans="76:77" x14ac:dyDescent="0.2">
      <c r="BX4301" s="214" t="e">
        <f t="shared" ref="BX4301:BX4364" si="150">BY4301/BV4301</f>
        <v>#DIV/0!</v>
      </c>
      <c r="BY4301" s="215">
        <f t="shared" si="149"/>
        <v>0</v>
      </c>
    </row>
    <row r="4302" spans="76:77" x14ac:dyDescent="0.2">
      <c r="BX4302" s="214" t="e">
        <f t="shared" si="150"/>
        <v>#DIV/0!</v>
      </c>
      <c r="BY4302" s="215">
        <f t="shared" ref="BY4302:BY4365" si="151">BY4301+BW4302*(BV4302-BV4301)</f>
        <v>0</v>
      </c>
    </row>
    <row r="4303" spans="76:77" x14ac:dyDescent="0.2">
      <c r="BX4303" s="214" t="e">
        <f t="shared" si="150"/>
        <v>#DIV/0!</v>
      </c>
      <c r="BY4303" s="215">
        <f t="shared" si="151"/>
        <v>0</v>
      </c>
    </row>
    <row r="4304" spans="76:77" x14ac:dyDescent="0.2">
      <c r="BX4304" s="214" t="e">
        <f t="shared" si="150"/>
        <v>#DIV/0!</v>
      </c>
      <c r="BY4304" s="215">
        <f t="shared" si="151"/>
        <v>0</v>
      </c>
    </row>
    <row r="4305" spans="76:77" x14ac:dyDescent="0.2">
      <c r="BX4305" s="214" t="e">
        <f t="shared" si="150"/>
        <v>#DIV/0!</v>
      </c>
      <c r="BY4305" s="215">
        <f t="shared" si="151"/>
        <v>0</v>
      </c>
    </row>
    <row r="4306" spans="76:77" x14ac:dyDescent="0.2">
      <c r="BX4306" s="214" t="e">
        <f t="shared" si="150"/>
        <v>#DIV/0!</v>
      </c>
      <c r="BY4306" s="215">
        <f t="shared" si="151"/>
        <v>0</v>
      </c>
    </row>
    <row r="4307" spans="76:77" x14ac:dyDescent="0.2">
      <c r="BX4307" s="214" t="e">
        <f t="shared" si="150"/>
        <v>#DIV/0!</v>
      </c>
      <c r="BY4307" s="215">
        <f t="shared" si="151"/>
        <v>0</v>
      </c>
    </row>
    <row r="4308" spans="76:77" x14ac:dyDescent="0.2">
      <c r="BX4308" s="214" t="e">
        <f t="shared" si="150"/>
        <v>#DIV/0!</v>
      </c>
      <c r="BY4308" s="215">
        <f t="shared" si="151"/>
        <v>0</v>
      </c>
    </row>
    <row r="4309" spans="76:77" x14ac:dyDescent="0.2">
      <c r="BX4309" s="214" t="e">
        <f t="shared" si="150"/>
        <v>#DIV/0!</v>
      </c>
      <c r="BY4309" s="215">
        <f t="shared" si="151"/>
        <v>0</v>
      </c>
    </row>
    <row r="4310" spans="76:77" x14ac:dyDescent="0.2">
      <c r="BX4310" s="214" t="e">
        <f t="shared" si="150"/>
        <v>#DIV/0!</v>
      </c>
      <c r="BY4310" s="215">
        <f t="shared" si="151"/>
        <v>0</v>
      </c>
    </row>
    <row r="4311" spans="76:77" x14ac:dyDescent="0.2">
      <c r="BX4311" s="214" t="e">
        <f t="shared" si="150"/>
        <v>#DIV/0!</v>
      </c>
      <c r="BY4311" s="215">
        <f t="shared" si="151"/>
        <v>0</v>
      </c>
    </row>
    <row r="4312" spans="76:77" x14ac:dyDescent="0.2">
      <c r="BX4312" s="214" t="e">
        <f t="shared" si="150"/>
        <v>#DIV/0!</v>
      </c>
      <c r="BY4312" s="215">
        <f t="shared" si="151"/>
        <v>0</v>
      </c>
    </row>
    <row r="4313" spans="76:77" x14ac:dyDescent="0.2">
      <c r="BX4313" s="214" t="e">
        <f t="shared" si="150"/>
        <v>#DIV/0!</v>
      </c>
      <c r="BY4313" s="215">
        <f t="shared" si="151"/>
        <v>0</v>
      </c>
    </row>
    <row r="4314" spans="76:77" x14ac:dyDescent="0.2">
      <c r="BX4314" s="214" t="e">
        <f t="shared" si="150"/>
        <v>#DIV/0!</v>
      </c>
      <c r="BY4314" s="215">
        <f t="shared" si="151"/>
        <v>0</v>
      </c>
    </row>
    <row r="4315" spans="76:77" x14ac:dyDescent="0.2">
      <c r="BX4315" s="214" t="e">
        <f t="shared" si="150"/>
        <v>#DIV/0!</v>
      </c>
      <c r="BY4315" s="215">
        <f t="shared" si="151"/>
        <v>0</v>
      </c>
    </row>
    <row r="4316" spans="76:77" x14ac:dyDescent="0.2">
      <c r="BX4316" s="214" t="e">
        <f t="shared" si="150"/>
        <v>#DIV/0!</v>
      </c>
      <c r="BY4316" s="215">
        <f t="shared" si="151"/>
        <v>0</v>
      </c>
    </row>
    <row r="4317" spans="76:77" x14ac:dyDescent="0.2">
      <c r="BX4317" s="214" t="e">
        <f t="shared" si="150"/>
        <v>#DIV/0!</v>
      </c>
      <c r="BY4317" s="215">
        <f t="shared" si="151"/>
        <v>0</v>
      </c>
    </row>
    <row r="4318" spans="76:77" x14ac:dyDescent="0.2">
      <c r="BX4318" s="214" t="e">
        <f t="shared" si="150"/>
        <v>#DIV/0!</v>
      </c>
      <c r="BY4318" s="215">
        <f t="shared" si="151"/>
        <v>0</v>
      </c>
    </row>
    <row r="4319" spans="76:77" x14ac:dyDescent="0.2">
      <c r="BX4319" s="214" t="e">
        <f t="shared" si="150"/>
        <v>#DIV/0!</v>
      </c>
      <c r="BY4319" s="215">
        <f t="shared" si="151"/>
        <v>0</v>
      </c>
    </row>
    <row r="4320" spans="76:77" x14ac:dyDescent="0.2">
      <c r="BX4320" s="214" t="e">
        <f t="shared" si="150"/>
        <v>#DIV/0!</v>
      </c>
      <c r="BY4320" s="215">
        <f t="shared" si="151"/>
        <v>0</v>
      </c>
    </row>
    <row r="4321" spans="76:77" x14ac:dyDescent="0.2">
      <c r="BX4321" s="214" t="e">
        <f t="shared" si="150"/>
        <v>#DIV/0!</v>
      </c>
      <c r="BY4321" s="215">
        <f t="shared" si="151"/>
        <v>0</v>
      </c>
    </row>
    <row r="4322" spans="76:77" x14ac:dyDescent="0.2">
      <c r="BX4322" s="214" t="e">
        <f t="shared" si="150"/>
        <v>#DIV/0!</v>
      </c>
      <c r="BY4322" s="215">
        <f t="shared" si="151"/>
        <v>0</v>
      </c>
    </row>
    <row r="4323" spans="76:77" x14ac:dyDescent="0.2">
      <c r="BX4323" s="214" t="e">
        <f t="shared" si="150"/>
        <v>#DIV/0!</v>
      </c>
      <c r="BY4323" s="215">
        <f t="shared" si="151"/>
        <v>0</v>
      </c>
    </row>
    <row r="4324" spans="76:77" x14ac:dyDescent="0.2">
      <c r="BX4324" s="214" t="e">
        <f t="shared" si="150"/>
        <v>#DIV/0!</v>
      </c>
      <c r="BY4324" s="215">
        <f t="shared" si="151"/>
        <v>0</v>
      </c>
    </row>
    <row r="4325" spans="76:77" x14ac:dyDescent="0.2">
      <c r="BX4325" s="214" t="e">
        <f t="shared" si="150"/>
        <v>#DIV/0!</v>
      </c>
      <c r="BY4325" s="215">
        <f t="shared" si="151"/>
        <v>0</v>
      </c>
    </row>
    <row r="4326" spans="76:77" x14ac:dyDescent="0.2">
      <c r="BX4326" s="214" t="e">
        <f t="shared" si="150"/>
        <v>#DIV/0!</v>
      </c>
      <c r="BY4326" s="215">
        <f t="shared" si="151"/>
        <v>0</v>
      </c>
    </row>
    <row r="4327" spans="76:77" x14ac:dyDescent="0.2">
      <c r="BX4327" s="214" t="e">
        <f t="shared" si="150"/>
        <v>#DIV/0!</v>
      </c>
      <c r="BY4327" s="215">
        <f t="shared" si="151"/>
        <v>0</v>
      </c>
    </row>
    <row r="4328" spans="76:77" x14ac:dyDescent="0.2">
      <c r="BX4328" s="214" t="e">
        <f t="shared" si="150"/>
        <v>#DIV/0!</v>
      </c>
      <c r="BY4328" s="215">
        <f t="shared" si="151"/>
        <v>0</v>
      </c>
    </row>
    <row r="4329" spans="76:77" x14ac:dyDescent="0.2">
      <c r="BX4329" s="214" t="e">
        <f t="shared" si="150"/>
        <v>#DIV/0!</v>
      </c>
      <c r="BY4329" s="215">
        <f t="shared" si="151"/>
        <v>0</v>
      </c>
    </row>
    <row r="4330" spans="76:77" x14ac:dyDescent="0.2">
      <c r="BX4330" s="214" t="e">
        <f t="shared" si="150"/>
        <v>#DIV/0!</v>
      </c>
      <c r="BY4330" s="215">
        <f t="shared" si="151"/>
        <v>0</v>
      </c>
    </row>
    <row r="4331" spans="76:77" x14ac:dyDescent="0.2">
      <c r="BX4331" s="214" t="e">
        <f t="shared" si="150"/>
        <v>#DIV/0!</v>
      </c>
      <c r="BY4331" s="215">
        <f t="shared" si="151"/>
        <v>0</v>
      </c>
    </row>
    <row r="4332" spans="76:77" x14ac:dyDescent="0.2">
      <c r="BX4332" s="214" t="e">
        <f t="shared" si="150"/>
        <v>#DIV/0!</v>
      </c>
      <c r="BY4332" s="215">
        <f t="shared" si="151"/>
        <v>0</v>
      </c>
    </row>
    <row r="4333" spans="76:77" x14ac:dyDescent="0.2">
      <c r="BX4333" s="214" t="e">
        <f t="shared" si="150"/>
        <v>#DIV/0!</v>
      </c>
      <c r="BY4333" s="215">
        <f t="shared" si="151"/>
        <v>0</v>
      </c>
    </row>
    <row r="4334" spans="76:77" x14ac:dyDescent="0.2">
      <c r="BX4334" s="214" t="e">
        <f t="shared" si="150"/>
        <v>#DIV/0!</v>
      </c>
      <c r="BY4334" s="215">
        <f t="shared" si="151"/>
        <v>0</v>
      </c>
    </row>
    <row r="4335" spans="76:77" x14ac:dyDescent="0.2">
      <c r="BX4335" s="214" t="e">
        <f t="shared" si="150"/>
        <v>#DIV/0!</v>
      </c>
      <c r="BY4335" s="215">
        <f t="shared" si="151"/>
        <v>0</v>
      </c>
    </row>
    <row r="4336" spans="76:77" x14ac:dyDescent="0.2">
      <c r="BX4336" s="214" t="e">
        <f t="shared" si="150"/>
        <v>#DIV/0!</v>
      </c>
      <c r="BY4336" s="215">
        <f t="shared" si="151"/>
        <v>0</v>
      </c>
    </row>
    <row r="4337" spans="76:77" x14ac:dyDescent="0.2">
      <c r="BX4337" s="214" t="e">
        <f t="shared" si="150"/>
        <v>#DIV/0!</v>
      </c>
      <c r="BY4337" s="215">
        <f t="shared" si="151"/>
        <v>0</v>
      </c>
    </row>
    <row r="4338" spans="76:77" x14ac:dyDescent="0.2">
      <c r="BX4338" s="214" t="e">
        <f t="shared" si="150"/>
        <v>#DIV/0!</v>
      </c>
      <c r="BY4338" s="215">
        <f t="shared" si="151"/>
        <v>0</v>
      </c>
    </row>
    <row r="4339" spans="76:77" x14ac:dyDescent="0.2">
      <c r="BX4339" s="214" t="e">
        <f t="shared" si="150"/>
        <v>#DIV/0!</v>
      </c>
      <c r="BY4339" s="215">
        <f t="shared" si="151"/>
        <v>0</v>
      </c>
    </row>
    <row r="4340" spans="76:77" x14ac:dyDescent="0.2">
      <c r="BX4340" s="214" t="e">
        <f t="shared" si="150"/>
        <v>#DIV/0!</v>
      </c>
      <c r="BY4340" s="215">
        <f t="shared" si="151"/>
        <v>0</v>
      </c>
    </row>
    <row r="4341" spans="76:77" x14ac:dyDescent="0.2">
      <c r="BX4341" s="214" t="e">
        <f t="shared" si="150"/>
        <v>#DIV/0!</v>
      </c>
      <c r="BY4341" s="215">
        <f t="shared" si="151"/>
        <v>0</v>
      </c>
    </row>
    <row r="4342" spans="76:77" x14ac:dyDescent="0.2">
      <c r="BX4342" s="214" t="e">
        <f t="shared" si="150"/>
        <v>#DIV/0!</v>
      </c>
      <c r="BY4342" s="215">
        <f t="shared" si="151"/>
        <v>0</v>
      </c>
    </row>
    <row r="4343" spans="76:77" x14ac:dyDescent="0.2">
      <c r="BX4343" s="214" t="e">
        <f t="shared" si="150"/>
        <v>#DIV/0!</v>
      </c>
      <c r="BY4343" s="215">
        <f t="shared" si="151"/>
        <v>0</v>
      </c>
    </row>
    <row r="4344" spans="76:77" x14ac:dyDescent="0.2">
      <c r="BX4344" s="214" t="e">
        <f t="shared" si="150"/>
        <v>#DIV/0!</v>
      </c>
      <c r="BY4344" s="215">
        <f t="shared" si="151"/>
        <v>0</v>
      </c>
    </row>
    <row r="4345" spans="76:77" x14ac:dyDescent="0.2">
      <c r="BX4345" s="214" t="e">
        <f t="shared" si="150"/>
        <v>#DIV/0!</v>
      </c>
      <c r="BY4345" s="215">
        <f t="shared" si="151"/>
        <v>0</v>
      </c>
    </row>
    <row r="4346" spans="76:77" x14ac:dyDescent="0.2">
      <c r="BX4346" s="214" t="e">
        <f t="shared" si="150"/>
        <v>#DIV/0!</v>
      </c>
      <c r="BY4346" s="215">
        <f t="shared" si="151"/>
        <v>0</v>
      </c>
    </row>
    <row r="4347" spans="76:77" x14ac:dyDescent="0.2">
      <c r="BX4347" s="214" t="e">
        <f t="shared" si="150"/>
        <v>#DIV/0!</v>
      </c>
      <c r="BY4347" s="215">
        <f t="shared" si="151"/>
        <v>0</v>
      </c>
    </row>
    <row r="4348" spans="76:77" x14ac:dyDescent="0.2">
      <c r="BX4348" s="214" t="e">
        <f t="shared" si="150"/>
        <v>#DIV/0!</v>
      </c>
      <c r="BY4348" s="215">
        <f t="shared" si="151"/>
        <v>0</v>
      </c>
    </row>
    <row r="4349" spans="76:77" x14ac:dyDescent="0.2">
      <c r="BX4349" s="214" t="e">
        <f t="shared" si="150"/>
        <v>#DIV/0!</v>
      </c>
      <c r="BY4349" s="215">
        <f t="shared" si="151"/>
        <v>0</v>
      </c>
    </row>
    <row r="4350" spans="76:77" x14ac:dyDescent="0.2">
      <c r="BX4350" s="214" t="e">
        <f t="shared" si="150"/>
        <v>#DIV/0!</v>
      </c>
      <c r="BY4350" s="215">
        <f t="shared" si="151"/>
        <v>0</v>
      </c>
    </row>
    <row r="4351" spans="76:77" x14ac:dyDescent="0.2">
      <c r="BX4351" s="214" t="e">
        <f t="shared" si="150"/>
        <v>#DIV/0!</v>
      </c>
      <c r="BY4351" s="215">
        <f t="shared" si="151"/>
        <v>0</v>
      </c>
    </row>
    <row r="4352" spans="76:77" x14ac:dyDescent="0.2">
      <c r="BX4352" s="214" t="e">
        <f t="shared" si="150"/>
        <v>#DIV/0!</v>
      </c>
      <c r="BY4352" s="215">
        <f t="shared" si="151"/>
        <v>0</v>
      </c>
    </row>
    <row r="4353" spans="76:77" x14ac:dyDescent="0.2">
      <c r="BX4353" s="214" t="e">
        <f t="shared" si="150"/>
        <v>#DIV/0!</v>
      </c>
      <c r="BY4353" s="215">
        <f t="shared" si="151"/>
        <v>0</v>
      </c>
    </row>
    <row r="4354" spans="76:77" x14ac:dyDescent="0.2">
      <c r="BX4354" s="214" t="e">
        <f t="shared" si="150"/>
        <v>#DIV/0!</v>
      </c>
      <c r="BY4354" s="215">
        <f t="shared" si="151"/>
        <v>0</v>
      </c>
    </row>
    <row r="4355" spans="76:77" x14ac:dyDescent="0.2">
      <c r="BX4355" s="214" t="e">
        <f t="shared" si="150"/>
        <v>#DIV/0!</v>
      </c>
      <c r="BY4355" s="215">
        <f t="shared" si="151"/>
        <v>0</v>
      </c>
    </row>
    <row r="4356" spans="76:77" x14ac:dyDescent="0.2">
      <c r="BX4356" s="214" t="e">
        <f t="shared" si="150"/>
        <v>#DIV/0!</v>
      </c>
      <c r="BY4356" s="215">
        <f t="shared" si="151"/>
        <v>0</v>
      </c>
    </row>
    <row r="4357" spans="76:77" x14ac:dyDescent="0.2">
      <c r="BX4357" s="214" t="e">
        <f t="shared" si="150"/>
        <v>#DIV/0!</v>
      </c>
      <c r="BY4357" s="215">
        <f t="shared" si="151"/>
        <v>0</v>
      </c>
    </row>
    <row r="4358" spans="76:77" x14ac:dyDescent="0.2">
      <c r="BX4358" s="214" t="e">
        <f t="shared" si="150"/>
        <v>#DIV/0!</v>
      </c>
      <c r="BY4358" s="215">
        <f t="shared" si="151"/>
        <v>0</v>
      </c>
    </row>
    <row r="4359" spans="76:77" x14ac:dyDescent="0.2">
      <c r="BX4359" s="214" t="e">
        <f t="shared" si="150"/>
        <v>#DIV/0!</v>
      </c>
      <c r="BY4359" s="215">
        <f t="shared" si="151"/>
        <v>0</v>
      </c>
    </row>
    <row r="4360" spans="76:77" x14ac:dyDescent="0.2">
      <c r="BX4360" s="214" t="e">
        <f t="shared" si="150"/>
        <v>#DIV/0!</v>
      </c>
      <c r="BY4360" s="215">
        <f t="shared" si="151"/>
        <v>0</v>
      </c>
    </row>
    <row r="4361" spans="76:77" x14ac:dyDescent="0.2">
      <c r="BX4361" s="214" t="e">
        <f t="shared" si="150"/>
        <v>#DIV/0!</v>
      </c>
      <c r="BY4361" s="215">
        <f t="shared" si="151"/>
        <v>0</v>
      </c>
    </row>
    <row r="4362" spans="76:77" x14ac:dyDescent="0.2">
      <c r="BX4362" s="214" t="e">
        <f t="shared" si="150"/>
        <v>#DIV/0!</v>
      </c>
      <c r="BY4362" s="215">
        <f t="shared" si="151"/>
        <v>0</v>
      </c>
    </row>
    <row r="4363" spans="76:77" x14ac:dyDescent="0.2">
      <c r="BX4363" s="214" t="e">
        <f t="shared" si="150"/>
        <v>#DIV/0!</v>
      </c>
      <c r="BY4363" s="215">
        <f t="shared" si="151"/>
        <v>0</v>
      </c>
    </row>
    <row r="4364" spans="76:77" x14ac:dyDescent="0.2">
      <c r="BX4364" s="214" t="e">
        <f t="shared" si="150"/>
        <v>#DIV/0!</v>
      </c>
      <c r="BY4364" s="215">
        <f t="shared" si="151"/>
        <v>0</v>
      </c>
    </row>
    <row r="4365" spans="76:77" x14ac:dyDescent="0.2">
      <c r="BX4365" s="214" t="e">
        <f t="shared" ref="BX4365:BX4428" si="152">BY4365/BV4365</f>
        <v>#DIV/0!</v>
      </c>
      <c r="BY4365" s="215">
        <f t="shared" si="151"/>
        <v>0</v>
      </c>
    </row>
    <row r="4366" spans="76:77" x14ac:dyDescent="0.2">
      <c r="BX4366" s="214" t="e">
        <f t="shared" si="152"/>
        <v>#DIV/0!</v>
      </c>
      <c r="BY4366" s="215">
        <f t="shared" ref="BY4366:BY4429" si="153">BY4365+BW4366*(BV4366-BV4365)</f>
        <v>0</v>
      </c>
    </row>
    <row r="4367" spans="76:77" x14ac:dyDescent="0.2">
      <c r="BX4367" s="214" t="e">
        <f t="shared" si="152"/>
        <v>#DIV/0!</v>
      </c>
      <c r="BY4367" s="215">
        <f t="shared" si="153"/>
        <v>0</v>
      </c>
    </row>
    <row r="4368" spans="76:77" x14ac:dyDescent="0.2">
      <c r="BX4368" s="214" t="e">
        <f t="shared" si="152"/>
        <v>#DIV/0!</v>
      </c>
      <c r="BY4368" s="215">
        <f t="shared" si="153"/>
        <v>0</v>
      </c>
    </row>
    <row r="4369" spans="76:77" x14ac:dyDescent="0.2">
      <c r="BX4369" s="214" t="e">
        <f t="shared" si="152"/>
        <v>#DIV/0!</v>
      </c>
      <c r="BY4369" s="215">
        <f t="shared" si="153"/>
        <v>0</v>
      </c>
    </row>
    <row r="4370" spans="76:77" x14ac:dyDescent="0.2">
      <c r="BX4370" s="214" t="e">
        <f t="shared" si="152"/>
        <v>#DIV/0!</v>
      </c>
      <c r="BY4370" s="215">
        <f t="shared" si="153"/>
        <v>0</v>
      </c>
    </row>
    <row r="4371" spans="76:77" x14ac:dyDescent="0.2">
      <c r="BX4371" s="214" t="e">
        <f t="shared" si="152"/>
        <v>#DIV/0!</v>
      </c>
      <c r="BY4371" s="215">
        <f t="shared" si="153"/>
        <v>0</v>
      </c>
    </row>
    <row r="4372" spans="76:77" x14ac:dyDescent="0.2">
      <c r="BX4372" s="214" t="e">
        <f t="shared" si="152"/>
        <v>#DIV/0!</v>
      </c>
      <c r="BY4372" s="215">
        <f t="shared" si="153"/>
        <v>0</v>
      </c>
    </row>
    <row r="4373" spans="76:77" x14ac:dyDescent="0.2">
      <c r="BX4373" s="214" t="e">
        <f t="shared" si="152"/>
        <v>#DIV/0!</v>
      </c>
      <c r="BY4373" s="215">
        <f t="shared" si="153"/>
        <v>0</v>
      </c>
    </row>
    <row r="4374" spans="76:77" x14ac:dyDescent="0.2">
      <c r="BX4374" s="214" t="e">
        <f t="shared" si="152"/>
        <v>#DIV/0!</v>
      </c>
      <c r="BY4374" s="215">
        <f t="shared" si="153"/>
        <v>0</v>
      </c>
    </row>
    <row r="4375" spans="76:77" x14ac:dyDescent="0.2">
      <c r="BX4375" s="214" t="e">
        <f t="shared" si="152"/>
        <v>#DIV/0!</v>
      </c>
      <c r="BY4375" s="215">
        <f t="shared" si="153"/>
        <v>0</v>
      </c>
    </row>
    <row r="4376" spans="76:77" x14ac:dyDescent="0.2">
      <c r="BX4376" s="214" t="e">
        <f t="shared" si="152"/>
        <v>#DIV/0!</v>
      </c>
      <c r="BY4376" s="215">
        <f t="shared" si="153"/>
        <v>0</v>
      </c>
    </row>
    <row r="4377" spans="76:77" x14ac:dyDescent="0.2">
      <c r="BX4377" s="214" t="e">
        <f t="shared" si="152"/>
        <v>#DIV/0!</v>
      </c>
      <c r="BY4377" s="215">
        <f t="shared" si="153"/>
        <v>0</v>
      </c>
    </row>
    <row r="4378" spans="76:77" x14ac:dyDescent="0.2">
      <c r="BX4378" s="214" t="e">
        <f t="shared" si="152"/>
        <v>#DIV/0!</v>
      </c>
      <c r="BY4378" s="215">
        <f t="shared" si="153"/>
        <v>0</v>
      </c>
    </row>
    <row r="4379" spans="76:77" x14ac:dyDescent="0.2">
      <c r="BX4379" s="214" t="e">
        <f t="shared" si="152"/>
        <v>#DIV/0!</v>
      </c>
      <c r="BY4379" s="215">
        <f t="shared" si="153"/>
        <v>0</v>
      </c>
    </row>
    <row r="4380" spans="76:77" x14ac:dyDescent="0.2">
      <c r="BX4380" s="214" t="e">
        <f t="shared" si="152"/>
        <v>#DIV/0!</v>
      </c>
      <c r="BY4380" s="215">
        <f t="shared" si="153"/>
        <v>0</v>
      </c>
    </row>
    <row r="4381" spans="76:77" x14ac:dyDescent="0.2">
      <c r="BX4381" s="214" t="e">
        <f t="shared" si="152"/>
        <v>#DIV/0!</v>
      </c>
      <c r="BY4381" s="215">
        <f t="shared" si="153"/>
        <v>0</v>
      </c>
    </row>
    <row r="4382" spans="76:77" x14ac:dyDescent="0.2">
      <c r="BX4382" s="214" t="e">
        <f t="shared" si="152"/>
        <v>#DIV/0!</v>
      </c>
      <c r="BY4382" s="215">
        <f t="shared" si="153"/>
        <v>0</v>
      </c>
    </row>
    <row r="4383" spans="76:77" x14ac:dyDescent="0.2">
      <c r="BX4383" s="214" t="e">
        <f t="shared" si="152"/>
        <v>#DIV/0!</v>
      </c>
      <c r="BY4383" s="215">
        <f t="shared" si="153"/>
        <v>0</v>
      </c>
    </row>
    <row r="4384" spans="76:77" x14ac:dyDescent="0.2">
      <c r="BX4384" s="214" t="e">
        <f t="shared" si="152"/>
        <v>#DIV/0!</v>
      </c>
      <c r="BY4384" s="215">
        <f t="shared" si="153"/>
        <v>0</v>
      </c>
    </row>
    <row r="4385" spans="76:77" x14ac:dyDescent="0.2">
      <c r="BX4385" s="214" t="e">
        <f t="shared" si="152"/>
        <v>#DIV/0!</v>
      </c>
      <c r="BY4385" s="215">
        <f t="shared" si="153"/>
        <v>0</v>
      </c>
    </row>
    <row r="4386" spans="76:77" x14ac:dyDescent="0.2">
      <c r="BX4386" s="214" t="e">
        <f t="shared" si="152"/>
        <v>#DIV/0!</v>
      </c>
      <c r="BY4386" s="215">
        <f t="shared" si="153"/>
        <v>0</v>
      </c>
    </row>
    <row r="4387" spans="76:77" x14ac:dyDescent="0.2">
      <c r="BX4387" s="214" t="e">
        <f t="shared" si="152"/>
        <v>#DIV/0!</v>
      </c>
      <c r="BY4387" s="215">
        <f t="shared" si="153"/>
        <v>0</v>
      </c>
    </row>
    <row r="4388" spans="76:77" x14ac:dyDescent="0.2">
      <c r="BX4388" s="214" t="e">
        <f t="shared" si="152"/>
        <v>#DIV/0!</v>
      </c>
      <c r="BY4388" s="215">
        <f t="shared" si="153"/>
        <v>0</v>
      </c>
    </row>
    <row r="4389" spans="76:77" x14ac:dyDescent="0.2">
      <c r="BX4389" s="214" t="e">
        <f t="shared" si="152"/>
        <v>#DIV/0!</v>
      </c>
      <c r="BY4389" s="215">
        <f t="shared" si="153"/>
        <v>0</v>
      </c>
    </row>
    <row r="4390" spans="76:77" x14ac:dyDescent="0.2">
      <c r="BX4390" s="214" t="e">
        <f t="shared" si="152"/>
        <v>#DIV/0!</v>
      </c>
      <c r="BY4390" s="215">
        <f t="shared" si="153"/>
        <v>0</v>
      </c>
    </row>
    <row r="4391" spans="76:77" x14ac:dyDescent="0.2">
      <c r="BX4391" s="214" t="e">
        <f t="shared" si="152"/>
        <v>#DIV/0!</v>
      </c>
      <c r="BY4391" s="215">
        <f t="shared" si="153"/>
        <v>0</v>
      </c>
    </row>
    <row r="4392" spans="76:77" x14ac:dyDescent="0.2">
      <c r="BX4392" s="214" t="e">
        <f t="shared" si="152"/>
        <v>#DIV/0!</v>
      </c>
      <c r="BY4392" s="215">
        <f t="shared" si="153"/>
        <v>0</v>
      </c>
    </row>
    <row r="4393" spans="76:77" x14ac:dyDescent="0.2">
      <c r="BX4393" s="214" t="e">
        <f t="shared" si="152"/>
        <v>#DIV/0!</v>
      </c>
      <c r="BY4393" s="215">
        <f t="shared" si="153"/>
        <v>0</v>
      </c>
    </row>
    <row r="4394" spans="76:77" x14ac:dyDescent="0.2">
      <c r="BX4394" s="214" t="e">
        <f t="shared" si="152"/>
        <v>#DIV/0!</v>
      </c>
      <c r="BY4394" s="215">
        <f t="shared" si="153"/>
        <v>0</v>
      </c>
    </row>
    <row r="4395" spans="76:77" x14ac:dyDescent="0.2">
      <c r="BX4395" s="214" t="e">
        <f t="shared" si="152"/>
        <v>#DIV/0!</v>
      </c>
      <c r="BY4395" s="215">
        <f t="shared" si="153"/>
        <v>0</v>
      </c>
    </row>
    <row r="4396" spans="76:77" x14ac:dyDescent="0.2">
      <c r="BX4396" s="214" t="e">
        <f t="shared" si="152"/>
        <v>#DIV/0!</v>
      </c>
      <c r="BY4396" s="215">
        <f t="shared" si="153"/>
        <v>0</v>
      </c>
    </row>
    <row r="4397" spans="76:77" x14ac:dyDescent="0.2">
      <c r="BX4397" s="214" t="e">
        <f t="shared" si="152"/>
        <v>#DIV/0!</v>
      </c>
      <c r="BY4397" s="215">
        <f t="shared" si="153"/>
        <v>0</v>
      </c>
    </row>
    <row r="4398" spans="76:77" x14ac:dyDescent="0.2">
      <c r="BX4398" s="214" t="e">
        <f t="shared" si="152"/>
        <v>#DIV/0!</v>
      </c>
      <c r="BY4398" s="215">
        <f t="shared" si="153"/>
        <v>0</v>
      </c>
    </row>
    <row r="4399" spans="76:77" x14ac:dyDescent="0.2">
      <c r="BX4399" s="214" t="e">
        <f t="shared" si="152"/>
        <v>#DIV/0!</v>
      </c>
      <c r="BY4399" s="215">
        <f t="shared" si="153"/>
        <v>0</v>
      </c>
    </row>
    <row r="4400" spans="76:77" x14ac:dyDescent="0.2">
      <c r="BX4400" s="214" t="e">
        <f t="shared" si="152"/>
        <v>#DIV/0!</v>
      </c>
      <c r="BY4400" s="215">
        <f t="shared" si="153"/>
        <v>0</v>
      </c>
    </row>
    <row r="4401" spans="76:77" x14ac:dyDescent="0.2">
      <c r="BX4401" s="214" t="e">
        <f t="shared" si="152"/>
        <v>#DIV/0!</v>
      </c>
      <c r="BY4401" s="215">
        <f t="shared" si="153"/>
        <v>0</v>
      </c>
    </row>
    <row r="4402" spans="76:77" x14ac:dyDescent="0.2">
      <c r="BX4402" s="214" t="e">
        <f t="shared" si="152"/>
        <v>#DIV/0!</v>
      </c>
      <c r="BY4402" s="215">
        <f t="shared" si="153"/>
        <v>0</v>
      </c>
    </row>
    <row r="4403" spans="76:77" x14ac:dyDescent="0.2">
      <c r="BX4403" s="214" t="e">
        <f t="shared" si="152"/>
        <v>#DIV/0!</v>
      </c>
      <c r="BY4403" s="215">
        <f t="shared" si="153"/>
        <v>0</v>
      </c>
    </row>
    <row r="4404" spans="76:77" x14ac:dyDescent="0.2">
      <c r="BX4404" s="214" t="e">
        <f t="shared" si="152"/>
        <v>#DIV/0!</v>
      </c>
      <c r="BY4404" s="215">
        <f t="shared" si="153"/>
        <v>0</v>
      </c>
    </row>
    <row r="4405" spans="76:77" x14ac:dyDescent="0.2">
      <c r="BX4405" s="214" t="e">
        <f t="shared" si="152"/>
        <v>#DIV/0!</v>
      </c>
      <c r="BY4405" s="215">
        <f t="shared" si="153"/>
        <v>0</v>
      </c>
    </row>
    <row r="4406" spans="76:77" x14ac:dyDescent="0.2">
      <c r="BX4406" s="214" t="e">
        <f t="shared" si="152"/>
        <v>#DIV/0!</v>
      </c>
      <c r="BY4406" s="215">
        <f t="shared" si="153"/>
        <v>0</v>
      </c>
    </row>
    <row r="4407" spans="76:77" x14ac:dyDescent="0.2">
      <c r="BX4407" s="214" t="e">
        <f t="shared" si="152"/>
        <v>#DIV/0!</v>
      </c>
      <c r="BY4407" s="215">
        <f t="shared" si="153"/>
        <v>0</v>
      </c>
    </row>
    <row r="4408" spans="76:77" x14ac:dyDescent="0.2">
      <c r="BX4408" s="214" t="e">
        <f t="shared" si="152"/>
        <v>#DIV/0!</v>
      </c>
      <c r="BY4408" s="215">
        <f t="shared" si="153"/>
        <v>0</v>
      </c>
    </row>
    <row r="4409" spans="76:77" x14ac:dyDescent="0.2">
      <c r="BX4409" s="214" t="e">
        <f t="shared" si="152"/>
        <v>#DIV/0!</v>
      </c>
      <c r="BY4409" s="215">
        <f t="shared" si="153"/>
        <v>0</v>
      </c>
    </row>
    <row r="4410" spans="76:77" x14ac:dyDescent="0.2">
      <c r="BX4410" s="214" t="e">
        <f t="shared" si="152"/>
        <v>#DIV/0!</v>
      </c>
      <c r="BY4410" s="215">
        <f t="shared" si="153"/>
        <v>0</v>
      </c>
    </row>
    <row r="4411" spans="76:77" x14ac:dyDescent="0.2">
      <c r="BX4411" s="214" t="e">
        <f t="shared" si="152"/>
        <v>#DIV/0!</v>
      </c>
      <c r="BY4411" s="215">
        <f t="shared" si="153"/>
        <v>0</v>
      </c>
    </row>
    <row r="4412" spans="76:77" x14ac:dyDescent="0.2">
      <c r="BX4412" s="214" t="e">
        <f t="shared" si="152"/>
        <v>#DIV/0!</v>
      </c>
      <c r="BY4412" s="215">
        <f t="shared" si="153"/>
        <v>0</v>
      </c>
    </row>
    <row r="4413" spans="76:77" x14ac:dyDescent="0.2">
      <c r="BX4413" s="214" t="e">
        <f t="shared" si="152"/>
        <v>#DIV/0!</v>
      </c>
      <c r="BY4413" s="215">
        <f t="shared" si="153"/>
        <v>0</v>
      </c>
    </row>
    <row r="4414" spans="76:77" x14ac:dyDescent="0.2">
      <c r="BX4414" s="214" t="e">
        <f t="shared" si="152"/>
        <v>#DIV/0!</v>
      </c>
      <c r="BY4414" s="215">
        <f t="shared" si="153"/>
        <v>0</v>
      </c>
    </row>
    <row r="4415" spans="76:77" x14ac:dyDescent="0.2">
      <c r="BX4415" s="214" t="e">
        <f t="shared" si="152"/>
        <v>#DIV/0!</v>
      </c>
      <c r="BY4415" s="215">
        <f t="shared" si="153"/>
        <v>0</v>
      </c>
    </row>
    <row r="4416" spans="76:77" x14ac:dyDescent="0.2">
      <c r="BX4416" s="214" t="e">
        <f t="shared" si="152"/>
        <v>#DIV/0!</v>
      </c>
      <c r="BY4416" s="215">
        <f t="shared" si="153"/>
        <v>0</v>
      </c>
    </row>
    <row r="4417" spans="76:77" x14ac:dyDescent="0.2">
      <c r="BX4417" s="214" t="e">
        <f t="shared" si="152"/>
        <v>#DIV/0!</v>
      </c>
      <c r="BY4417" s="215">
        <f t="shared" si="153"/>
        <v>0</v>
      </c>
    </row>
    <row r="4418" spans="76:77" x14ac:dyDescent="0.2">
      <c r="BX4418" s="214" t="e">
        <f t="shared" si="152"/>
        <v>#DIV/0!</v>
      </c>
      <c r="BY4418" s="215">
        <f t="shared" si="153"/>
        <v>0</v>
      </c>
    </row>
    <row r="4419" spans="76:77" x14ac:dyDescent="0.2">
      <c r="BX4419" s="214" t="e">
        <f t="shared" si="152"/>
        <v>#DIV/0!</v>
      </c>
      <c r="BY4419" s="215">
        <f t="shared" si="153"/>
        <v>0</v>
      </c>
    </row>
    <row r="4420" spans="76:77" x14ac:dyDescent="0.2">
      <c r="BX4420" s="214" t="e">
        <f t="shared" si="152"/>
        <v>#DIV/0!</v>
      </c>
      <c r="BY4420" s="215">
        <f t="shared" si="153"/>
        <v>0</v>
      </c>
    </row>
    <row r="4421" spans="76:77" x14ac:dyDescent="0.2">
      <c r="BX4421" s="214" t="e">
        <f t="shared" si="152"/>
        <v>#DIV/0!</v>
      </c>
      <c r="BY4421" s="215">
        <f t="shared" si="153"/>
        <v>0</v>
      </c>
    </row>
    <row r="4422" spans="76:77" x14ac:dyDescent="0.2">
      <c r="BX4422" s="214" t="e">
        <f t="shared" si="152"/>
        <v>#DIV/0!</v>
      </c>
      <c r="BY4422" s="215">
        <f t="shared" si="153"/>
        <v>0</v>
      </c>
    </row>
    <row r="4423" spans="76:77" x14ac:dyDescent="0.2">
      <c r="BX4423" s="214" t="e">
        <f t="shared" si="152"/>
        <v>#DIV/0!</v>
      </c>
      <c r="BY4423" s="215">
        <f t="shared" si="153"/>
        <v>0</v>
      </c>
    </row>
    <row r="4424" spans="76:77" x14ac:dyDescent="0.2">
      <c r="BX4424" s="214" t="e">
        <f t="shared" si="152"/>
        <v>#DIV/0!</v>
      </c>
      <c r="BY4424" s="215">
        <f t="shared" si="153"/>
        <v>0</v>
      </c>
    </row>
    <row r="4425" spans="76:77" x14ac:dyDescent="0.2">
      <c r="BX4425" s="214" t="e">
        <f t="shared" si="152"/>
        <v>#DIV/0!</v>
      </c>
      <c r="BY4425" s="215">
        <f t="shared" si="153"/>
        <v>0</v>
      </c>
    </row>
    <row r="4426" spans="76:77" x14ac:dyDescent="0.2">
      <c r="BX4426" s="214" t="e">
        <f t="shared" si="152"/>
        <v>#DIV/0!</v>
      </c>
      <c r="BY4426" s="215">
        <f t="shared" si="153"/>
        <v>0</v>
      </c>
    </row>
    <row r="4427" spans="76:77" x14ac:dyDescent="0.2">
      <c r="BX4427" s="214" t="e">
        <f t="shared" si="152"/>
        <v>#DIV/0!</v>
      </c>
      <c r="BY4427" s="215">
        <f t="shared" si="153"/>
        <v>0</v>
      </c>
    </row>
    <row r="4428" spans="76:77" x14ac:dyDescent="0.2">
      <c r="BX4428" s="214" t="e">
        <f t="shared" si="152"/>
        <v>#DIV/0!</v>
      </c>
      <c r="BY4428" s="215">
        <f t="shared" si="153"/>
        <v>0</v>
      </c>
    </row>
    <row r="4429" spans="76:77" x14ac:dyDescent="0.2">
      <c r="BX4429" s="214" t="e">
        <f t="shared" ref="BX4429:BX4492" si="154">BY4429/BV4429</f>
        <v>#DIV/0!</v>
      </c>
      <c r="BY4429" s="215">
        <f t="shared" si="153"/>
        <v>0</v>
      </c>
    </row>
    <row r="4430" spans="76:77" x14ac:dyDescent="0.2">
      <c r="BX4430" s="214" t="e">
        <f t="shared" si="154"/>
        <v>#DIV/0!</v>
      </c>
      <c r="BY4430" s="215">
        <f t="shared" ref="BY4430:BY4493" si="155">BY4429+BW4430*(BV4430-BV4429)</f>
        <v>0</v>
      </c>
    </row>
    <row r="4431" spans="76:77" x14ac:dyDescent="0.2">
      <c r="BX4431" s="214" t="e">
        <f t="shared" si="154"/>
        <v>#DIV/0!</v>
      </c>
      <c r="BY4431" s="215">
        <f t="shared" si="155"/>
        <v>0</v>
      </c>
    </row>
    <row r="4432" spans="76:77" x14ac:dyDescent="0.2">
      <c r="BX4432" s="214" t="e">
        <f t="shared" si="154"/>
        <v>#DIV/0!</v>
      </c>
      <c r="BY4432" s="215">
        <f t="shared" si="155"/>
        <v>0</v>
      </c>
    </row>
    <row r="4433" spans="76:77" x14ac:dyDescent="0.2">
      <c r="BX4433" s="214" t="e">
        <f t="shared" si="154"/>
        <v>#DIV/0!</v>
      </c>
      <c r="BY4433" s="215">
        <f t="shared" si="155"/>
        <v>0</v>
      </c>
    </row>
    <row r="4434" spans="76:77" x14ac:dyDescent="0.2">
      <c r="BX4434" s="214" t="e">
        <f t="shared" si="154"/>
        <v>#DIV/0!</v>
      </c>
      <c r="BY4434" s="215">
        <f t="shared" si="155"/>
        <v>0</v>
      </c>
    </row>
    <row r="4435" spans="76:77" x14ac:dyDescent="0.2">
      <c r="BX4435" s="214" t="e">
        <f t="shared" si="154"/>
        <v>#DIV/0!</v>
      </c>
      <c r="BY4435" s="215">
        <f t="shared" si="155"/>
        <v>0</v>
      </c>
    </row>
    <row r="4436" spans="76:77" x14ac:dyDescent="0.2">
      <c r="BX4436" s="214" t="e">
        <f t="shared" si="154"/>
        <v>#DIV/0!</v>
      </c>
      <c r="BY4436" s="215">
        <f t="shared" si="155"/>
        <v>0</v>
      </c>
    </row>
    <row r="4437" spans="76:77" x14ac:dyDescent="0.2">
      <c r="BX4437" s="214" t="e">
        <f t="shared" si="154"/>
        <v>#DIV/0!</v>
      </c>
      <c r="BY4437" s="215">
        <f t="shared" si="155"/>
        <v>0</v>
      </c>
    </row>
    <row r="4438" spans="76:77" x14ac:dyDescent="0.2">
      <c r="BX4438" s="214" t="e">
        <f t="shared" si="154"/>
        <v>#DIV/0!</v>
      </c>
      <c r="BY4438" s="215">
        <f t="shared" si="155"/>
        <v>0</v>
      </c>
    </row>
    <row r="4439" spans="76:77" x14ac:dyDescent="0.2">
      <c r="BX4439" s="214" t="e">
        <f t="shared" si="154"/>
        <v>#DIV/0!</v>
      </c>
      <c r="BY4439" s="215">
        <f t="shared" si="155"/>
        <v>0</v>
      </c>
    </row>
    <row r="4440" spans="76:77" x14ac:dyDescent="0.2">
      <c r="BX4440" s="214" t="e">
        <f t="shared" si="154"/>
        <v>#DIV/0!</v>
      </c>
      <c r="BY4440" s="215">
        <f t="shared" si="155"/>
        <v>0</v>
      </c>
    </row>
    <row r="4441" spans="76:77" x14ac:dyDescent="0.2">
      <c r="BX4441" s="214" t="e">
        <f t="shared" si="154"/>
        <v>#DIV/0!</v>
      </c>
      <c r="BY4441" s="215">
        <f t="shared" si="155"/>
        <v>0</v>
      </c>
    </row>
    <row r="4442" spans="76:77" x14ac:dyDescent="0.2">
      <c r="BX4442" s="214" t="e">
        <f t="shared" si="154"/>
        <v>#DIV/0!</v>
      </c>
      <c r="BY4442" s="215">
        <f t="shared" si="155"/>
        <v>0</v>
      </c>
    </row>
    <row r="4443" spans="76:77" x14ac:dyDescent="0.2">
      <c r="BX4443" s="214" t="e">
        <f t="shared" si="154"/>
        <v>#DIV/0!</v>
      </c>
      <c r="BY4443" s="215">
        <f t="shared" si="155"/>
        <v>0</v>
      </c>
    </row>
    <row r="4444" spans="76:77" x14ac:dyDescent="0.2">
      <c r="BX4444" s="214" t="e">
        <f t="shared" si="154"/>
        <v>#DIV/0!</v>
      </c>
      <c r="BY4444" s="215">
        <f t="shared" si="155"/>
        <v>0</v>
      </c>
    </row>
    <row r="4445" spans="76:77" x14ac:dyDescent="0.2">
      <c r="BX4445" s="214" t="e">
        <f t="shared" si="154"/>
        <v>#DIV/0!</v>
      </c>
      <c r="BY4445" s="215">
        <f t="shared" si="155"/>
        <v>0</v>
      </c>
    </row>
    <row r="4446" spans="76:77" x14ac:dyDescent="0.2">
      <c r="BX4446" s="214" t="e">
        <f t="shared" si="154"/>
        <v>#DIV/0!</v>
      </c>
      <c r="BY4446" s="215">
        <f t="shared" si="155"/>
        <v>0</v>
      </c>
    </row>
    <row r="4447" spans="76:77" x14ac:dyDescent="0.2">
      <c r="BX4447" s="214" t="e">
        <f t="shared" si="154"/>
        <v>#DIV/0!</v>
      </c>
      <c r="BY4447" s="215">
        <f t="shared" si="155"/>
        <v>0</v>
      </c>
    </row>
    <row r="4448" spans="76:77" x14ac:dyDescent="0.2">
      <c r="BX4448" s="214" t="e">
        <f t="shared" si="154"/>
        <v>#DIV/0!</v>
      </c>
      <c r="BY4448" s="215">
        <f t="shared" si="155"/>
        <v>0</v>
      </c>
    </row>
    <row r="4449" spans="76:77" x14ac:dyDescent="0.2">
      <c r="BX4449" s="214" t="e">
        <f t="shared" si="154"/>
        <v>#DIV/0!</v>
      </c>
      <c r="BY4449" s="215">
        <f t="shared" si="155"/>
        <v>0</v>
      </c>
    </row>
    <row r="4450" spans="76:77" x14ac:dyDescent="0.2">
      <c r="BX4450" s="214" t="e">
        <f t="shared" si="154"/>
        <v>#DIV/0!</v>
      </c>
      <c r="BY4450" s="215">
        <f t="shared" si="155"/>
        <v>0</v>
      </c>
    </row>
    <row r="4451" spans="76:77" x14ac:dyDescent="0.2">
      <c r="BX4451" s="214" t="e">
        <f t="shared" si="154"/>
        <v>#DIV/0!</v>
      </c>
      <c r="BY4451" s="215">
        <f t="shared" si="155"/>
        <v>0</v>
      </c>
    </row>
    <row r="4452" spans="76:77" x14ac:dyDescent="0.2">
      <c r="BX4452" s="214" t="e">
        <f t="shared" si="154"/>
        <v>#DIV/0!</v>
      </c>
      <c r="BY4452" s="215">
        <f t="shared" si="155"/>
        <v>0</v>
      </c>
    </row>
    <row r="4453" spans="76:77" x14ac:dyDescent="0.2">
      <c r="BX4453" s="214" t="e">
        <f t="shared" si="154"/>
        <v>#DIV/0!</v>
      </c>
      <c r="BY4453" s="215">
        <f t="shared" si="155"/>
        <v>0</v>
      </c>
    </row>
    <row r="4454" spans="76:77" x14ac:dyDescent="0.2">
      <c r="BX4454" s="214" t="e">
        <f t="shared" si="154"/>
        <v>#DIV/0!</v>
      </c>
      <c r="BY4454" s="215">
        <f t="shared" si="155"/>
        <v>0</v>
      </c>
    </row>
    <row r="4455" spans="76:77" x14ac:dyDescent="0.2">
      <c r="BX4455" s="214" t="e">
        <f t="shared" si="154"/>
        <v>#DIV/0!</v>
      </c>
      <c r="BY4455" s="215">
        <f t="shared" si="155"/>
        <v>0</v>
      </c>
    </row>
    <row r="4456" spans="76:77" x14ac:dyDescent="0.2">
      <c r="BX4456" s="214" t="e">
        <f t="shared" si="154"/>
        <v>#DIV/0!</v>
      </c>
      <c r="BY4456" s="215">
        <f t="shared" si="155"/>
        <v>0</v>
      </c>
    </row>
    <row r="4457" spans="76:77" x14ac:dyDescent="0.2">
      <c r="BX4457" s="214" t="e">
        <f t="shared" si="154"/>
        <v>#DIV/0!</v>
      </c>
      <c r="BY4457" s="215">
        <f t="shared" si="155"/>
        <v>0</v>
      </c>
    </row>
    <row r="4458" spans="76:77" x14ac:dyDescent="0.2">
      <c r="BX4458" s="214" t="e">
        <f t="shared" si="154"/>
        <v>#DIV/0!</v>
      </c>
      <c r="BY4458" s="215">
        <f t="shared" si="155"/>
        <v>0</v>
      </c>
    </row>
    <row r="4459" spans="76:77" x14ac:dyDescent="0.2">
      <c r="BX4459" s="214" t="e">
        <f t="shared" si="154"/>
        <v>#DIV/0!</v>
      </c>
      <c r="BY4459" s="215">
        <f t="shared" si="155"/>
        <v>0</v>
      </c>
    </row>
    <row r="4460" spans="76:77" x14ac:dyDescent="0.2">
      <c r="BX4460" s="214" t="e">
        <f t="shared" si="154"/>
        <v>#DIV/0!</v>
      </c>
      <c r="BY4460" s="215">
        <f t="shared" si="155"/>
        <v>0</v>
      </c>
    </row>
    <row r="4461" spans="76:77" x14ac:dyDescent="0.2">
      <c r="BX4461" s="214" t="e">
        <f t="shared" si="154"/>
        <v>#DIV/0!</v>
      </c>
      <c r="BY4461" s="215">
        <f t="shared" si="155"/>
        <v>0</v>
      </c>
    </row>
    <row r="4462" spans="76:77" x14ac:dyDescent="0.2">
      <c r="BX4462" s="214" t="e">
        <f t="shared" si="154"/>
        <v>#DIV/0!</v>
      </c>
      <c r="BY4462" s="215">
        <f t="shared" si="155"/>
        <v>0</v>
      </c>
    </row>
    <row r="4463" spans="76:77" x14ac:dyDescent="0.2">
      <c r="BX4463" s="214" t="e">
        <f t="shared" si="154"/>
        <v>#DIV/0!</v>
      </c>
      <c r="BY4463" s="215">
        <f t="shared" si="155"/>
        <v>0</v>
      </c>
    </row>
    <row r="4464" spans="76:77" x14ac:dyDescent="0.2">
      <c r="BX4464" s="214" t="e">
        <f t="shared" si="154"/>
        <v>#DIV/0!</v>
      </c>
      <c r="BY4464" s="215">
        <f t="shared" si="155"/>
        <v>0</v>
      </c>
    </row>
    <row r="4465" spans="76:77" x14ac:dyDescent="0.2">
      <c r="BX4465" s="214" t="e">
        <f t="shared" si="154"/>
        <v>#DIV/0!</v>
      </c>
      <c r="BY4465" s="215">
        <f t="shared" si="155"/>
        <v>0</v>
      </c>
    </row>
    <row r="4466" spans="76:77" x14ac:dyDescent="0.2">
      <c r="BX4466" s="214" t="e">
        <f t="shared" si="154"/>
        <v>#DIV/0!</v>
      </c>
      <c r="BY4466" s="215">
        <f t="shared" si="155"/>
        <v>0</v>
      </c>
    </row>
    <row r="4467" spans="76:77" x14ac:dyDescent="0.2">
      <c r="BX4467" s="214" t="e">
        <f t="shared" si="154"/>
        <v>#DIV/0!</v>
      </c>
      <c r="BY4467" s="215">
        <f t="shared" si="155"/>
        <v>0</v>
      </c>
    </row>
    <row r="4468" spans="76:77" x14ac:dyDescent="0.2">
      <c r="BX4468" s="214" t="e">
        <f t="shared" si="154"/>
        <v>#DIV/0!</v>
      </c>
      <c r="BY4468" s="215">
        <f t="shared" si="155"/>
        <v>0</v>
      </c>
    </row>
    <row r="4469" spans="76:77" x14ac:dyDescent="0.2">
      <c r="BX4469" s="214" t="e">
        <f t="shared" si="154"/>
        <v>#DIV/0!</v>
      </c>
      <c r="BY4469" s="215">
        <f t="shared" si="155"/>
        <v>0</v>
      </c>
    </row>
    <row r="4470" spans="76:77" x14ac:dyDescent="0.2">
      <c r="BX4470" s="214" t="e">
        <f t="shared" si="154"/>
        <v>#DIV/0!</v>
      </c>
      <c r="BY4470" s="215">
        <f t="shared" si="155"/>
        <v>0</v>
      </c>
    </row>
    <row r="4471" spans="76:77" x14ac:dyDescent="0.2">
      <c r="BX4471" s="214" t="e">
        <f t="shared" si="154"/>
        <v>#DIV/0!</v>
      </c>
      <c r="BY4471" s="215">
        <f t="shared" si="155"/>
        <v>0</v>
      </c>
    </row>
    <row r="4472" spans="76:77" x14ac:dyDescent="0.2">
      <c r="BX4472" s="214" t="e">
        <f t="shared" si="154"/>
        <v>#DIV/0!</v>
      </c>
      <c r="BY4472" s="215">
        <f t="shared" si="155"/>
        <v>0</v>
      </c>
    </row>
    <row r="4473" spans="76:77" x14ac:dyDescent="0.2">
      <c r="BX4473" s="214" t="e">
        <f t="shared" si="154"/>
        <v>#DIV/0!</v>
      </c>
      <c r="BY4473" s="215">
        <f t="shared" si="155"/>
        <v>0</v>
      </c>
    </row>
    <row r="4474" spans="76:77" x14ac:dyDescent="0.2">
      <c r="BX4474" s="214" t="e">
        <f t="shared" si="154"/>
        <v>#DIV/0!</v>
      </c>
      <c r="BY4474" s="215">
        <f t="shared" si="155"/>
        <v>0</v>
      </c>
    </row>
    <row r="4475" spans="76:77" x14ac:dyDescent="0.2">
      <c r="BX4475" s="214" t="e">
        <f t="shared" si="154"/>
        <v>#DIV/0!</v>
      </c>
      <c r="BY4475" s="215">
        <f t="shared" si="155"/>
        <v>0</v>
      </c>
    </row>
    <row r="4476" spans="76:77" x14ac:dyDescent="0.2">
      <c r="BX4476" s="214" t="e">
        <f t="shared" si="154"/>
        <v>#DIV/0!</v>
      </c>
      <c r="BY4476" s="215">
        <f t="shared" si="155"/>
        <v>0</v>
      </c>
    </row>
    <row r="4477" spans="76:77" x14ac:dyDescent="0.2">
      <c r="BX4477" s="214" t="e">
        <f t="shared" si="154"/>
        <v>#DIV/0!</v>
      </c>
      <c r="BY4477" s="215">
        <f t="shared" si="155"/>
        <v>0</v>
      </c>
    </row>
    <row r="4478" spans="76:77" x14ac:dyDescent="0.2">
      <c r="BX4478" s="214" t="e">
        <f t="shared" si="154"/>
        <v>#DIV/0!</v>
      </c>
      <c r="BY4478" s="215">
        <f t="shared" si="155"/>
        <v>0</v>
      </c>
    </row>
    <row r="4479" spans="76:77" x14ac:dyDescent="0.2">
      <c r="BX4479" s="214" t="e">
        <f t="shared" si="154"/>
        <v>#DIV/0!</v>
      </c>
      <c r="BY4479" s="215">
        <f t="shared" si="155"/>
        <v>0</v>
      </c>
    </row>
    <row r="4480" spans="76:77" x14ac:dyDescent="0.2">
      <c r="BX4480" s="214" t="e">
        <f t="shared" si="154"/>
        <v>#DIV/0!</v>
      </c>
      <c r="BY4480" s="215">
        <f t="shared" si="155"/>
        <v>0</v>
      </c>
    </row>
    <row r="4481" spans="76:77" x14ac:dyDescent="0.2">
      <c r="BX4481" s="214" t="e">
        <f t="shared" si="154"/>
        <v>#DIV/0!</v>
      </c>
      <c r="BY4481" s="215">
        <f t="shared" si="155"/>
        <v>0</v>
      </c>
    </row>
    <row r="4482" spans="76:77" x14ac:dyDescent="0.2">
      <c r="BX4482" s="214" t="e">
        <f t="shared" si="154"/>
        <v>#DIV/0!</v>
      </c>
      <c r="BY4482" s="215">
        <f t="shared" si="155"/>
        <v>0</v>
      </c>
    </row>
    <row r="4483" spans="76:77" x14ac:dyDescent="0.2">
      <c r="BX4483" s="214" t="e">
        <f t="shared" si="154"/>
        <v>#DIV/0!</v>
      </c>
      <c r="BY4483" s="215">
        <f t="shared" si="155"/>
        <v>0</v>
      </c>
    </row>
    <row r="4484" spans="76:77" x14ac:dyDescent="0.2">
      <c r="BX4484" s="214" t="e">
        <f t="shared" si="154"/>
        <v>#DIV/0!</v>
      </c>
      <c r="BY4484" s="215">
        <f t="shared" si="155"/>
        <v>0</v>
      </c>
    </row>
    <row r="4485" spans="76:77" x14ac:dyDescent="0.2">
      <c r="BX4485" s="214" t="e">
        <f t="shared" si="154"/>
        <v>#DIV/0!</v>
      </c>
      <c r="BY4485" s="215">
        <f t="shared" si="155"/>
        <v>0</v>
      </c>
    </row>
    <row r="4486" spans="76:77" x14ac:dyDescent="0.2">
      <c r="BX4486" s="214" t="e">
        <f t="shared" si="154"/>
        <v>#DIV/0!</v>
      </c>
      <c r="BY4486" s="215">
        <f t="shared" si="155"/>
        <v>0</v>
      </c>
    </row>
    <row r="4487" spans="76:77" x14ac:dyDescent="0.2">
      <c r="BX4487" s="214" t="e">
        <f t="shared" si="154"/>
        <v>#DIV/0!</v>
      </c>
      <c r="BY4487" s="215">
        <f t="shared" si="155"/>
        <v>0</v>
      </c>
    </row>
    <row r="4488" spans="76:77" x14ac:dyDescent="0.2">
      <c r="BX4488" s="214" t="e">
        <f t="shared" si="154"/>
        <v>#DIV/0!</v>
      </c>
      <c r="BY4488" s="215">
        <f t="shared" si="155"/>
        <v>0</v>
      </c>
    </row>
    <row r="4489" spans="76:77" x14ac:dyDescent="0.2">
      <c r="BX4489" s="214" t="e">
        <f t="shared" si="154"/>
        <v>#DIV/0!</v>
      </c>
      <c r="BY4489" s="215">
        <f t="shared" si="155"/>
        <v>0</v>
      </c>
    </row>
    <row r="4490" spans="76:77" x14ac:dyDescent="0.2">
      <c r="BX4490" s="214" t="e">
        <f t="shared" si="154"/>
        <v>#DIV/0!</v>
      </c>
      <c r="BY4490" s="215">
        <f t="shared" si="155"/>
        <v>0</v>
      </c>
    </row>
    <row r="4491" spans="76:77" x14ac:dyDescent="0.2">
      <c r="BX4491" s="214" t="e">
        <f t="shared" si="154"/>
        <v>#DIV/0!</v>
      </c>
      <c r="BY4491" s="215">
        <f t="shared" si="155"/>
        <v>0</v>
      </c>
    </row>
    <row r="4492" spans="76:77" x14ac:dyDescent="0.2">
      <c r="BX4492" s="214" t="e">
        <f t="shared" si="154"/>
        <v>#DIV/0!</v>
      </c>
      <c r="BY4492" s="215">
        <f t="shared" si="155"/>
        <v>0</v>
      </c>
    </row>
    <row r="4493" spans="76:77" x14ac:dyDescent="0.2">
      <c r="BX4493" s="214" t="e">
        <f t="shared" ref="BX4493:BX4556" si="156">BY4493/BV4493</f>
        <v>#DIV/0!</v>
      </c>
      <c r="BY4493" s="215">
        <f t="shared" si="155"/>
        <v>0</v>
      </c>
    </row>
    <row r="4494" spans="76:77" x14ac:dyDescent="0.2">
      <c r="BX4494" s="214" t="e">
        <f t="shared" si="156"/>
        <v>#DIV/0!</v>
      </c>
      <c r="BY4494" s="215">
        <f t="shared" ref="BY4494:BY4557" si="157">BY4493+BW4494*(BV4494-BV4493)</f>
        <v>0</v>
      </c>
    </row>
    <row r="4495" spans="76:77" x14ac:dyDescent="0.2">
      <c r="BX4495" s="214" t="e">
        <f t="shared" si="156"/>
        <v>#DIV/0!</v>
      </c>
      <c r="BY4495" s="215">
        <f t="shared" si="157"/>
        <v>0</v>
      </c>
    </row>
    <row r="4496" spans="76:77" x14ac:dyDescent="0.2">
      <c r="BX4496" s="214" t="e">
        <f t="shared" si="156"/>
        <v>#DIV/0!</v>
      </c>
      <c r="BY4496" s="215">
        <f t="shared" si="157"/>
        <v>0</v>
      </c>
    </row>
    <row r="4497" spans="76:77" x14ac:dyDescent="0.2">
      <c r="BX4497" s="214" t="e">
        <f t="shared" si="156"/>
        <v>#DIV/0!</v>
      </c>
      <c r="BY4497" s="215">
        <f t="shared" si="157"/>
        <v>0</v>
      </c>
    </row>
    <row r="4498" spans="76:77" x14ac:dyDescent="0.2">
      <c r="BX4498" s="214" t="e">
        <f t="shared" si="156"/>
        <v>#DIV/0!</v>
      </c>
      <c r="BY4498" s="215">
        <f t="shared" si="157"/>
        <v>0</v>
      </c>
    </row>
    <row r="4499" spans="76:77" x14ac:dyDescent="0.2">
      <c r="BX4499" s="214" t="e">
        <f t="shared" si="156"/>
        <v>#DIV/0!</v>
      </c>
      <c r="BY4499" s="215">
        <f t="shared" si="157"/>
        <v>0</v>
      </c>
    </row>
    <row r="4500" spans="76:77" x14ac:dyDescent="0.2">
      <c r="BX4500" s="214" t="e">
        <f t="shared" si="156"/>
        <v>#DIV/0!</v>
      </c>
      <c r="BY4500" s="215">
        <f t="shared" si="157"/>
        <v>0</v>
      </c>
    </row>
    <row r="4501" spans="76:77" x14ac:dyDescent="0.2">
      <c r="BX4501" s="214" t="e">
        <f t="shared" si="156"/>
        <v>#DIV/0!</v>
      </c>
      <c r="BY4501" s="215">
        <f t="shared" si="157"/>
        <v>0</v>
      </c>
    </row>
    <row r="4502" spans="76:77" x14ac:dyDescent="0.2">
      <c r="BX4502" s="214" t="e">
        <f t="shared" si="156"/>
        <v>#DIV/0!</v>
      </c>
      <c r="BY4502" s="215">
        <f t="shared" si="157"/>
        <v>0</v>
      </c>
    </row>
    <row r="4503" spans="76:77" x14ac:dyDescent="0.2">
      <c r="BX4503" s="214" t="e">
        <f t="shared" si="156"/>
        <v>#DIV/0!</v>
      </c>
      <c r="BY4503" s="215">
        <f t="shared" si="157"/>
        <v>0</v>
      </c>
    </row>
    <row r="4504" spans="76:77" x14ac:dyDescent="0.2">
      <c r="BX4504" s="214" t="e">
        <f t="shared" si="156"/>
        <v>#DIV/0!</v>
      </c>
      <c r="BY4504" s="215">
        <f t="shared" si="157"/>
        <v>0</v>
      </c>
    </row>
    <row r="4505" spans="76:77" x14ac:dyDescent="0.2">
      <c r="BX4505" s="214" t="e">
        <f t="shared" si="156"/>
        <v>#DIV/0!</v>
      </c>
      <c r="BY4505" s="215">
        <f t="shared" si="157"/>
        <v>0</v>
      </c>
    </row>
    <row r="4506" spans="76:77" x14ac:dyDescent="0.2">
      <c r="BX4506" s="214" t="e">
        <f t="shared" si="156"/>
        <v>#DIV/0!</v>
      </c>
      <c r="BY4506" s="215">
        <f t="shared" si="157"/>
        <v>0</v>
      </c>
    </row>
    <row r="4507" spans="76:77" x14ac:dyDescent="0.2">
      <c r="BX4507" s="214" t="e">
        <f t="shared" si="156"/>
        <v>#DIV/0!</v>
      </c>
      <c r="BY4507" s="215">
        <f t="shared" si="157"/>
        <v>0</v>
      </c>
    </row>
    <row r="4508" spans="76:77" x14ac:dyDescent="0.2">
      <c r="BX4508" s="214" t="e">
        <f t="shared" si="156"/>
        <v>#DIV/0!</v>
      </c>
      <c r="BY4508" s="215">
        <f t="shared" si="157"/>
        <v>0</v>
      </c>
    </row>
    <row r="4509" spans="76:77" x14ac:dyDescent="0.2">
      <c r="BX4509" s="214" t="e">
        <f t="shared" si="156"/>
        <v>#DIV/0!</v>
      </c>
      <c r="BY4509" s="215">
        <f t="shared" si="157"/>
        <v>0</v>
      </c>
    </row>
    <row r="4510" spans="76:77" x14ac:dyDescent="0.2">
      <c r="BX4510" s="214" t="e">
        <f t="shared" si="156"/>
        <v>#DIV/0!</v>
      </c>
      <c r="BY4510" s="215">
        <f t="shared" si="157"/>
        <v>0</v>
      </c>
    </row>
    <row r="4511" spans="76:77" x14ac:dyDescent="0.2">
      <c r="BX4511" s="214" t="e">
        <f t="shared" si="156"/>
        <v>#DIV/0!</v>
      </c>
      <c r="BY4511" s="215">
        <f t="shared" si="157"/>
        <v>0</v>
      </c>
    </row>
    <row r="4512" spans="76:77" x14ac:dyDescent="0.2">
      <c r="BX4512" s="214" t="e">
        <f t="shared" si="156"/>
        <v>#DIV/0!</v>
      </c>
      <c r="BY4512" s="215">
        <f t="shared" si="157"/>
        <v>0</v>
      </c>
    </row>
    <row r="4513" spans="76:77" x14ac:dyDescent="0.2">
      <c r="BX4513" s="214" t="e">
        <f t="shared" si="156"/>
        <v>#DIV/0!</v>
      </c>
      <c r="BY4513" s="215">
        <f t="shared" si="157"/>
        <v>0</v>
      </c>
    </row>
    <row r="4514" spans="76:77" x14ac:dyDescent="0.2">
      <c r="BX4514" s="214" t="e">
        <f t="shared" si="156"/>
        <v>#DIV/0!</v>
      </c>
      <c r="BY4514" s="215">
        <f t="shared" si="157"/>
        <v>0</v>
      </c>
    </row>
    <row r="4515" spans="76:77" x14ac:dyDescent="0.2">
      <c r="BX4515" s="214" t="e">
        <f t="shared" si="156"/>
        <v>#DIV/0!</v>
      </c>
      <c r="BY4515" s="215">
        <f t="shared" si="157"/>
        <v>0</v>
      </c>
    </row>
    <row r="4516" spans="76:77" x14ac:dyDescent="0.2">
      <c r="BX4516" s="214" t="e">
        <f t="shared" si="156"/>
        <v>#DIV/0!</v>
      </c>
      <c r="BY4516" s="215">
        <f t="shared" si="157"/>
        <v>0</v>
      </c>
    </row>
    <row r="4517" spans="76:77" x14ac:dyDescent="0.2">
      <c r="BX4517" s="214" t="e">
        <f t="shared" si="156"/>
        <v>#DIV/0!</v>
      </c>
      <c r="BY4517" s="215">
        <f t="shared" si="157"/>
        <v>0</v>
      </c>
    </row>
    <row r="4518" spans="76:77" x14ac:dyDescent="0.2">
      <c r="BX4518" s="214" t="e">
        <f t="shared" si="156"/>
        <v>#DIV/0!</v>
      </c>
      <c r="BY4518" s="215">
        <f t="shared" si="157"/>
        <v>0</v>
      </c>
    </row>
    <row r="4519" spans="76:77" x14ac:dyDescent="0.2">
      <c r="BX4519" s="214" t="e">
        <f t="shared" si="156"/>
        <v>#DIV/0!</v>
      </c>
      <c r="BY4519" s="215">
        <f t="shared" si="157"/>
        <v>0</v>
      </c>
    </row>
    <row r="4520" spans="76:77" x14ac:dyDescent="0.2">
      <c r="BX4520" s="214" t="e">
        <f t="shared" si="156"/>
        <v>#DIV/0!</v>
      </c>
      <c r="BY4520" s="215">
        <f t="shared" si="157"/>
        <v>0</v>
      </c>
    </row>
    <row r="4521" spans="76:77" x14ac:dyDescent="0.2">
      <c r="BX4521" s="214" t="e">
        <f t="shared" si="156"/>
        <v>#DIV/0!</v>
      </c>
      <c r="BY4521" s="215">
        <f t="shared" si="157"/>
        <v>0</v>
      </c>
    </row>
    <row r="4522" spans="76:77" x14ac:dyDescent="0.2">
      <c r="BX4522" s="214" t="e">
        <f t="shared" si="156"/>
        <v>#DIV/0!</v>
      </c>
      <c r="BY4522" s="215">
        <f t="shared" si="157"/>
        <v>0</v>
      </c>
    </row>
    <row r="4523" spans="76:77" x14ac:dyDescent="0.2">
      <c r="BX4523" s="214" t="e">
        <f t="shared" si="156"/>
        <v>#DIV/0!</v>
      </c>
      <c r="BY4523" s="215">
        <f t="shared" si="157"/>
        <v>0</v>
      </c>
    </row>
    <row r="4524" spans="76:77" x14ac:dyDescent="0.2">
      <c r="BX4524" s="214" t="e">
        <f t="shared" si="156"/>
        <v>#DIV/0!</v>
      </c>
      <c r="BY4524" s="215">
        <f t="shared" si="157"/>
        <v>0</v>
      </c>
    </row>
    <row r="4525" spans="76:77" x14ac:dyDescent="0.2">
      <c r="BX4525" s="214" t="e">
        <f t="shared" si="156"/>
        <v>#DIV/0!</v>
      </c>
      <c r="BY4525" s="215">
        <f t="shared" si="157"/>
        <v>0</v>
      </c>
    </row>
    <row r="4526" spans="76:77" x14ac:dyDescent="0.2">
      <c r="BX4526" s="214" t="e">
        <f t="shared" si="156"/>
        <v>#DIV/0!</v>
      </c>
      <c r="BY4526" s="215">
        <f t="shared" si="157"/>
        <v>0</v>
      </c>
    </row>
    <row r="4527" spans="76:77" x14ac:dyDescent="0.2">
      <c r="BX4527" s="214" t="e">
        <f t="shared" si="156"/>
        <v>#DIV/0!</v>
      </c>
      <c r="BY4527" s="215">
        <f t="shared" si="157"/>
        <v>0</v>
      </c>
    </row>
    <row r="4528" spans="76:77" x14ac:dyDescent="0.2">
      <c r="BX4528" s="214" t="e">
        <f t="shared" si="156"/>
        <v>#DIV/0!</v>
      </c>
      <c r="BY4528" s="215">
        <f t="shared" si="157"/>
        <v>0</v>
      </c>
    </row>
    <row r="4529" spans="76:77" x14ac:dyDescent="0.2">
      <c r="BX4529" s="214" t="e">
        <f t="shared" si="156"/>
        <v>#DIV/0!</v>
      </c>
      <c r="BY4529" s="215">
        <f t="shared" si="157"/>
        <v>0</v>
      </c>
    </row>
    <row r="4530" spans="76:77" x14ac:dyDescent="0.2">
      <c r="BX4530" s="214" t="e">
        <f t="shared" si="156"/>
        <v>#DIV/0!</v>
      </c>
      <c r="BY4530" s="215">
        <f t="shared" si="157"/>
        <v>0</v>
      </c>
    </row>
    <row r="4531" spans="76:77" x14ac:dyDescent="0.2">
      <c r="BX4531" s="214" t="e">
        <f t="shared" si="156"/>
        <v>#DIV/0!</v>
      </c>
      <c r="BY4531" s="215">
        <f t="shared" si="157"/>
        <v>0</v>
      </c>
    </row>
    <row r="4532" spans="76:77" x14ac:dyDescent="0.2">
      <c r="BX4532" s="214" t="e">
        <f t="shared" si="156"/>
        <v>#DIV/0!</v>
      </c>
      <c r="BY4532" s="215">
        <f t="shared" si="157"/>
        <v>0</v>
      </c>
    </row>
    <row r="4533" spans="76:77" x14ac:dyDescent="0.2">
      <c r="BX4533" s="214" t="e">
        <f t="shared" si="156"/>
        <v>#DIV/0!</v>
      </c>
      <c r="BY4533" s="215">
        <f t="shared" si="157"/>
        <v>0</v>
      </c>
    </row>
    <row r="4534" spans="76:77" x14ac:dyDescent="0.2">
      <c r="BX4534" s="214" t="e">
        <f t="shared" si="156"/>
        <v>#DIV/0!</v>
      </c>
      <c r="BY4534" s="215">
        <f t="shared" si="157"/>
        <v>0</v>
      </c>
    </row>
    <row r="4535" spans="76:77" x14ac:dyDescent="0.2">
      <c r="BX4535" s="214" t="e">
        <f t="shared" si="156"/>
        <v>#DIV/0!</v>
      </c>
      <c r="BY4535" s="215">
        <f t="shared" si="157"/>
        <v>0</v>
      </c>
    </row>
    <row r="4536" spans="76:77" x14ac:dyDescent="0.2">
      <c r="BX4536" s="214" t="e">
        <f t="shared" si="156"/>
        <v>#DIV/0!</v>
      </c>
      <c r="BY4536" s="215">
        <f t="shared" si="157"/>
        <v>0</v>
      </c>
    </row>
    <row r="4537" spans="76:77" x14ac:dyDescent="0.2">
      <c r="BX4537" s="214" t="e">
        <f t="shared" si="156"/>
        <v>#DIV/0!</v>
      </c>
      <c r="BY4537" s="215">
        <f t="shared" si="157"/>
        <v>0</v>
      </c>
    </row>
    <row r="4538" spans="76:77" x14ac:dyDescent="0.2">
      <c r="BX4538" s="214" t="e">
        <f t="shared" si="156"/>
        <v>#DIV/0!</v>
      </c>
      <c r="BY4538" s="215">
        <f t="shared" si="157"/>
        <v>0</v>
      </c>
    </row>
    <row r="4539" spans="76:77" x14ac:dyDescent="0.2">
      <c r="BX4539" s="214" t="e">
        <f t="shared" si="156"/>
        <v>#DIV/0!</v>
      </c>
      <c r="BY4539" s="215">
        <f t="shared" si="157"/>
        <v>0</v>
      </c>
    </row>
    <row r="4540" spans="76:77" x14ac:dyDescent="0.2">
      <c r="BX4540" s="214" t="e">
        <f t="shared" si="156"/>
        <v>#DIV/0!</v>
      </c>
      <c r="BY4540" s="215">
        <f t="shared" si="157"/>
        <v>0</v>
      </c>
    </row>
    <row r="4541" spans="76:77" x14ac:dyDescent="0.2">
      <c r="BX4541" s="214" t="e">
        <f t="shared" si="156"/>
        <v>#DIV/0!</v>
      </c>
      <c r="BY4541" s="215">
        <f t="shared" si="157"/>
        <v>0</v>
      </c>
    </row>
    <row r="4542" spans="76:77" x14ac:dyDescent="0.2">
      <c r="BX4542" s="214" t="e">
        <f t="shared" si="156"/>
        <v>#DIV/0!</v>
      </c>
      <c r="BY4542" s="215">
        <f t="shared" si="157"/>
        <v>0</v>
      </c>
    </row>
    <row r="4543" spans="76:77" x14ac:dyDescent="0.2">
      <c r="BX4543" s="214" t="e">
        <f t="shared" si="156"/>
        <v>#DIV/0!</v>
      </c>
      <c r="BY4543" s="215">
        <f t="shared" si="157"/>
        <v>0</v>
      </c>
    </row>
    <row r="4544" spans="76:77" x14ac:dyDescent="0.2">
      <c r="BX4544" s="214" t="e">
        <f t="shared" si="156"/>
        <v>#DIV/0!</v>
      </c>
      <c r="BY4544" s="215">
        <f t="shared" si="157"/>
        <v>0</v>
      </c>
    </row>
    <row r="4545" spans="76:77" x14ac:dyDescent="0.2">
      <c r="BX4545" s="214" t="e">
        <f t="shared" si="156"/>
        <v>#DIV/0!</v>
      </c>
      <c r="BY4545" s="215">
        <f t="shared" si="157"/>
        <v>0</v>
      </c>
    </row>
    <row r="4546" spans="76:77" x14ac:dyDescent="0.2">
      <c r="BX4546" s="214" t="e">
        <f t="shared" si="156"/>
        <v>#DIV/0!</v>
      </c>
      <c r="BY4546" s="215">
        <f t="shared" si="157"/>
        <v>0</v>
      </c>
    </row>
    <row r="4547" spans="76:77" x14ac:dyDescent="0.2">
      <c r="BX4547" s="214" t="e">
        <f t="shared" si="156"/>
        <v>#DIV/0!</v>
      </c>
      <c r="BY4547" s="215">
        <f t="shared" si="157"/>
        <v>0</v>
      </c>
    </row>
    <row r="4548" spans="76:77" x14ac:dyDescent="0.2">
      <c r="BX4548" s="214" t="e">
        <f t="shared" si="156"/>
        <v>#DIV/0!</v>
      </c>
      <c r="BY4548" s="215">
        <f t="shared" si="157"/>
        <v>0</v>
      </c>
    </row>
    <row r="4549" spans="76:77" x14ac:dyDescent="0.2">
      <c r="BX4549" s="214" t="e">
        <f t="shared" si="156"/>
        <v>#DIV/0!</v>
      </c>
      <c r="BY4549" s="215">
        <f t="shared" si="157"/>
        <v>0</v>
      </c>
    </row>
    <row r="4550" spans="76:77" x14ac:dyDescent="0.2">
      <c r="BX4550" s="214" t="e">
        <f t="shared" si="156"/>
        <v>#DIV/0!</v>
      </c>
      <c r="BY4550" s="215">
        <f t="shared" si="157"/>
        <v>0</v>
      </c>
    </row>
    <row r="4551" spans="76:77" x14ac:dyDescent="0.2">
      <c r="BX4551" s="214" t="e">
        <f t="shared" si="156"/>
        <v>#DIV/0!</v>
      </c>
      <c r="BY4551" s="215">
        <f t="shared" si="157"/>
        <v>0</v>
      </c>
    </row>
    <row r="4552" spans="76:77" x14ac:dyDescent="0.2">
      <c r="BX4552" s="214" t="e">
        <f t="shared" si="156"/>
        <v>#DIV/0!</v>
      </c>
      <c r="BY4552" s="215">
        <f t="shared" si="157"/>
        <v>0</v>
      </c>
    </row>
    <row r="4553" spans="76:77" x14ac:dyDescent="0.2">
      <c r="BX4553" s="214" t="e">
        <f t="shared" si="156"/>
        <v>#DIV/0!</v>
      </c>
      <c r="BY4553" s="215">
        <f t="shared" si="157"/>
        <v>0</v>
      </c>
    </row>
    <row r="4554" spans="76:77" x14ac:dyDescent="0.2">
      <c r="BX4554" s="214" t="e">
        <f t="shared" si="156"/>
        <v>#DIV/0!</v>
      </c>
      <c r="BY4554" s="215">
        <f t="shared" si="157"/>
        <v>0</v>
      </c>
    </row>
    <row r="4555" spans="76:77" x14ac:dyDescent="0.2">
      <c r="BX4555" s="214" t="e">
        <f t="shared" si="156"/>
        <v>#DIV/0!</v>
      </c>
      <c r="BY4555" s="215">
        <f t="shared" si="157"/>
        <v>0</v>
      </c>
    </row>
    <row r="4556" spans="76:77" x14ac:dyDescent="0.2">
      <c r="BX4556" s="214" t="e">
        <f t="shared" si="156"/>
        <v>#DIV/0!</v>
      </c>
      <c r="BY4556" s="215">
        <f t="shared" si="157"/>
        <v>0</v>
      </c>
    </row>
    <row r="4557" spans="76:77" x14ac:dyDescent="0.2">
      <c r="BX4557" s="214" t="e">
        <f t="shared" ref="BX4557:BX4620" si="158">BY4557/BV4557</f>
        <v>#DIV/0!</v>
      </c>
      <c r="BY4557" s="215">
        <f t="shared" si="157"/>
        <v>0</v>
      </c>
    </row>
    <row r="4558" spans="76:77" x14ac:dyDescent="0.2">
      <c r="BX4558" s="214" t="e">
        <f t="shared" si="158"/>
        <v>#DIV/0!</v>
      </c>
      <c r="BY4558" s="215">
        <f t="shared" ref="BY4558:BY4621" si="159">BY4557+BW4558*(BV4558-BV4557)</f>
        <v>0</v>
      </c>
    </row>
    <row r="4559" spans="76:77" x14ac:dyDescent="0.2">
      <c r="BX4559" s="214" t="e">
        <f t="shared" si="158"/>
        <v>#DIV/0!</v>
      </c>
      <c r="BY4559" s="215">
        <f t="shared" si="159"/>
        <v>0</v>
      </c>
    </row>
    <row r="4560" spans="76:77" x14ac:dyDescent="0.2">
      <c r="BX4560" s="214" t="e">
        <f t="shared" si="158"/>
        <v>#DIV/0!</v>
      </c>
      <c r="BY4560" s="215">
        <f t="shared" si="159"/>
        <v>0</v>
      </c>
    </row>
    <row r="4561" spans="76:77" x14ac:dyDescent="0.2">
      <c r="BX4561" s="214" t="e">
        <f t="shared" si="158"/>
        <v>#DIV/0!</v>
      </c>
      <c r="BY4561" s="215">
        <f t="shared" si="159"/>
        <v>0</v>
      </c>
    </row>
    <row r="4562" spans="76:77" x14ac:dyDescent="0.2">
      <c r="BX4562" s="214" t="e">
        <f t="shared" si="158"/>
        <v>#DIV/0!</v>
      </c>
      <c r="BY4562" s="215">
        <f t="shared" si="159"/>
        <v>0</v>
      </c>
    </row>
    <row r="4563" spans="76:77" x14ac:dyDescent="0.2">
      <c r="BX4563" s="214" t="e">
        <f t="shared" si="158"/>
        <v>#DIV/0!</v>
      </c>
      <c r="BY4563" s="215">
        <f t="shared" si="159"/>
        <v>0</v>
      </c>
    </row>
    <row r="4564" spans="76:77" x14ac:dyDescent="0.2">
      <c r="BX4564" s="214" t="e">
        <f t="shared" si="158"/>
        <v>#DIV/0!</v>
      </c>
      <c r="BY4564" s="215">
        <f t="shared" si="159"/>
        <v>0</v>
      </c>
    </row>
    <row r="4565" spans="76:77" x14ac:dyDescent="0.2">
      <c r="BX4565" s="214" t="e">
        <f t="shared" si="158"/>
        <v>#DIV/0!</v>
      </c>
      <c r="BY4565" s="215">
        <f t="shared" si="159"/>
        <v>0</v>
      </c>
    </row>
    <row r="4566" spans="76:77" x14ac:dyDescent="0.2">
      <c r="BX4566" s="214" t="e">
        <f t="shared" si="158"/>
        <v>#DIV/0!</v>
      </c>
      <c r="BY4566" s="215">
        <f t="shared" si="159"/>
        <v>0</v>
      </c>
    </row>
    <row r="4567" spans="76:77" x14ac:dyDescent="0.2">
      <c r="BX4567" s="214" t="e">
        <f t="shared" si="158"/>
        <v>#DIV/0!</v>
      </c>
      <c r="BY4567" s="215">
        <f t="shared" si="159"/>
        <v>0</v>
      </c>
    </row>
    <row r="4568" spans="76:77" x14ac:dyDescent="0.2">
      <c r="BX4568" s="214" t="e">
        <f t="shared" si="158"/>
        <v>#DIV/0!</v>
      </c>
      <c r="BY4568" s="215">
        <f t="shared" si="159"/>
        <v>0</v>
      </c>
    </row>
    <row r="4569" spans="76:77" x14ac:dyDescent="0.2">
      <c r="BX4569" s="214" t="e">
        <f t="shared" si="158"/>
        <v>#DIV/0!</v>
      </c>
      <c r="BY4569" s="215">
        <f t="shared" si="159"/>
        <v>0</v>
      </c>
    </row>
    <row r="4570" spans="76:77" x14ac:dyDescent="0.2">
      <c r="BX4570" s="214" t="e">
        <f t="shared" si="158"/>
        <v>#DIV/0!</v>
      </c>
      <c r="BY4570" s="215">
        <f t="shared" si="159"/>
        <v>0</v>
      </c>
    </row>
    <row r="4571" spans="76:77" x14ac:dyDescent="0.2">
      <c r="BX4571" s="214" t="e">
        <f t="shared" si="158"/>
        <v>#DIV/0!</v>
      </c>
      <c r="BY4571" s="215">
        <f t="shared" si="159"/>
        <v>0</v>
      </c>
    </row>
    <row r="4572" spans="76:77" x14ac:dyDescent="0.2">
      <c r="BX4572" s="214" t="e">
        <f t="shared" si="158"/>
        <v>#DIV/0!</v>
      </c>
      <c r="BY4572" s="215">
        <f t="shared" si="159"/>
        <v>0</v>
      </c>
    </row>
    <row r="4573" spans="76:77" x14ac:dyDescent="0.2">
      <c r="BX4573" s="214" t="e">
        <f t="shared" si="158"/>
        <v>#DIV/0!</v>
      </c>
      <c r="BY4573" s="215">
        <f t="shared" si="159"/>
        <v>0</v>
      </c>
    </row>
    <row r="4574" spans="76:77" x14ac:dyDescent="0.2">
      <c r="BX4574" s="214" t="e">
        <f t="shared" si="158"/>
        <v>#DIV/0!</v>
      </c>
      <c r="BY4574" s="215">
        <f t="shared" si="159"/>
        <v>0</v>
      </c>
    </row>
    <row r="4575" spans="76:77" x14ac:dyDescent="0.2">
      <c r="BX4575" s="214" t="e">
        <f t="shared" si="158"/>
        <v>#DIV/0!</v>
      </c>
      <c r="BY4575" s="215">
        <f t="shared" si="159"/>
        <v>0</v>
      </c>
    </row>
    <row r="4576" spans="76:77" x14ac:dyDescent="0.2">
      <c r="BX4576" s="214" t="e">
        <f t="shared" si="158"/>
        <v>#DIV/0!</v>
      </c>
      <c r="BY4576" s="215">
        <f t="shared" si="159"/>
        <v>0</v>
      </c>
    </row>
    <row r="4577" spans="76:77" x14ac:dyDescent="0.2">
      <c r="BX4577" s="214" t="e">
        <f t="shared" si="158"/>
        <v>#DIV/0!</v>
      </c>
      <c r="BY4577" s="215">
        <f t="shared" si="159"/>
        <v>0</v>
      </c>
    </row>
    <row r="4578" spans="76:77" x14ac:dyDescent="0.2">
      <c r="BX4578" s="214" t="e">
        <f t="shared" si="158"/>
        <v>#DIV/0!</v>
      </c>
      <c r="BY4578" s="215">
        <f t="shared" si="159"/>
        <v>0</v>
      </c>
    </row>
    <row r="4579" spans="76:77" x14ac:dyDescent="0.2">
      <c r="BX4579" s="214" t="e">
        <f t="shared" si="158"/>
        <v>#DIV/0!</v>
      </c>
      <c r="BY4579" s="215">
        <f t="shared" si="159"/>
        <v>0</v>
      </c>
    </row>
    <row r="4580" spans="76:77" x14ac:dyDescent="0.2">
      <c r="BX4580" s="214" t="e">
        <f t="shared" si="158"/>
        <v>#DIV/0!</v>
      </c>
      <c r="BY4580" s="215">
        <f t="shared" si="159"/>
        <v>0</v>
      </c>
    </row>
    <row r="4581" spans="76:77" x14ac:dyDescent="0.2">
      <c r="BX4581" s="214" t="e">
        <f t="shared" si="158"/>
        <v>#DIV/0!</v>
      </c>
      <c r="BY4581" s="215">
        <f t="shared" si="159"/>
        <v>0</v>
      </c>
    </row>
    <row r="4582" spans="76:77" x14ac:dyDescent="0.2">
      <c r="BX4582" s="214" t="e">
        <f t="shared" si="158"/>
        <v>#DIV/0!</v>
      </c>
      <c r="BY4582" s="215">
        <f t="shared" si="159"/>
        <v>0</v>
      </c>
    </row>
    <row r="4583" spans="76:77" x14ac:dyDescent="0.2">
      <c r="BX4583" s="214" t="e">
        <f t="shared" si="158"/>
        <v>#DIV/0!</v>
      </c>
      <c r="BY4583" s="215">
        <f t="shared" si="159"/>
        <v>0</v>
      </c>
    </row>
    <row r="4584" spans="76:77" x14ac:dyDescent="0.2">
      <c r="BX4584" s="214" t="e">
        <f t="shared" si="158"/>
        <v>#DIV/0!</v>
      </c>
      <c r="BY4584" s="215">
        <f t="shared" si="159"/>
        <v>0</v>
      </c>
    </row>
    <row r="4585" spans="76:77" x14ac:dyDescent="0.2">
      <c r="BX4585" s="214" t="e">
        <f t="shared" si="158"/>
        <v>#DIV/0!</v>
      </c>
      <c r="BY4585" s="215">
        <f t="shared" si="159"/>
        <v>0</v>
      </c>
    </row>
    <row r="4586" spans="76:77" x14ac:dyDescent="0.2">
      <c r="BX4586" s="214" t="e">
        <f t="shared" si="158"/>
        <v>#DIV/0!</v>
      </c>
      <c r="BY4586" s="215">
        <f t="shared" si="159"/>
        <v>0</v>
      </c>
    </row>
    <row r="4587" spans="76:77" x14ac:dyDescent="0.2">
      <c r="BX4587" s="214" t="e">
        <f t="shared" si="158"/>
        <v>#DIV/0!</v>
      </c>
      <c r="BY4587" s="215">
        <f t="shared" si="159"/>
        <v>0</v>
      </c>
    </row>
    <row r="4588" spans="76:77" x14ac:dyDescent="0.2">
      <c r="BX4588" s="214" t="e">
        <f t="shared" si="158"/>
        <v>#DIV/0!</v>
      </c>
      <c r="BY4588" s="215">
        <f t="shared" si="159"/>
        <v>0</v>
      </c>
    </row>
    <row r="4589" spans="76:77" x14ac:dyDescent="0.2">
      <c r="BX4589" s="214" t="e">
        <f t="shared" si="158"/>
        <v>#DIV/0!</v>
      </c>
      <c r="BY4589" s="215">
        <f t="shared" si="159"/>
        <v>0</v>
      </c>
    </row>
    <row r="4590" spans="76:77" x14ac:dyDescent="0.2">
      <c r="BX4590" s="214" t="e">
        <f t="shared" si="158"/>
        <v>#DIV/0!</v>
      </c>
      <c r="BY4590" s="215">
        <f t="shared" si="159"/>
        <v>0</v>
      </c>
    </row>
    <row r="4591" spans="76:77" x14ac:dyDescent="0.2">
      <c r="BX4591" s="214" t="e">
        <f t="shared" si="158"/>
        <v>#DIV/0!</v>
      </c>
      <c r="BY4591" s="215">
        <f t="shared" si="159"/>
        <v>0</v>
      </c>
    </row>
    <row r="4592" spans="76:77" x14ac:dyDescent="0.2">
      <c r="BX4592" s="214" t="e">
        <f t="shared" si="158"/>
        <v>#DIV/0!</v>
      </c>
      <c r="BY4592" s="215">
        <f t="shared" si="159"/>
        <v>0</v>
      </c>
    </row>
    <row r="4593" spans="76:77" x14ac:dyDescent="0.2">
      <c r="BX4593" s="214" t="e">
        <f t="shared" si="158"/>
        <v>#DIV/0!</v>
      </c>
      <c r="BY4593" s="215">
        <f t="shared" si="159"/>
        <v>0</v>
      </c>
    </row>
    <row r="4594" spans="76:77" x14ac:dyDescent="0.2">
      <c r="BX4594" s="214" t="e">
        <f t="shared" si="158"/>
        <v>#DIV/0!</v>
      </c>
      <c r="BY4594" s="215">
        <f t="shared" si="159"/>
        <v>0</v>
      </c>
    </row>
    <row r="4595" spans="76:77" x14ac:dyDescent="0.2">
      <c r="BX4595" s="214" t="e">
        <f t="shared" si="158"/>
        <v>#DIV/0!</v>
      </c>
      <c r="BY4595" s="215">
        <f t="shared" si="159"/>
        <v>0</v>
      </c>
    </row>
    <row r="4596" spans="76:77" x14ac:dyDescent="0.2">
      <c r="BX4596" s="214" t="e">
        <f t="shared" si="158"/>
        <v>#DIV/0!</v>
      </c>
      <c r="BY4596" s="215">
        <f t="shared" si="159"/>
        <v>0</v>
      </c>
    </row>
    <row r="4597" spans="76:77" x14ac:dyDescent="0.2">
      <c r="BX4597" s="214" t="e">
        <f t="shared" si="158"/>
        <v>#DIV/0!</v>
      </c>
      <c r="BY4597" s="215">
        <f t="shared" si="159"/>
        <v>0</v>
      </c>
    </row>
    <row r="4598" spans="76:77" x14ac:dyDescent="0.2">
      <c r="BX4598" s="214" t="e">
        <f t="shared" si="158"/>
        <v>#DIV/0!</v>
      </c>
      <c r="BY4598" s="215">
        <f t="shared" si="159"/>
        <v>0</v>
      </c>
    </row>
    <row r="4599" spans="76:77" x14ac:dyDescent="0.2">
      <c r="BX4599" s="214" t="e">
        <f t="shared" si="158"/>
        <v>#DIV/0!</v>
      </c>
      <c r="BY4599" s="215">
        <f t="shared" si="159"/>
        <v>0</v>
      </c>
    </row>
    <row r="4600" spans="76:77" x14ac:dyDescent="0.2">
      <c r="BX4600" s="214" t="e">
        <f t="shared" si="158"/>
        <v>#DIV/0!</v>
      </c>
      <c r="BY4600" s="215">
        <f t="shared" si="159"/>
        <v>0</v>
      </c>
    </row>
    <row r="4601" spans="76:77" x14ac:dyDescent="0.2">
      <c r="BX4601" s="214" t="e">
        <f t="shared" si="158"/>
        <v>#DIV/0!</v>
      </c>
      <c r="BY4601" s="215">
        <f t="shared" si="159"/>
        <v>0</v>
      </c>
    </row>
    <row r="4602" spans="76:77" x14ac:dyDescent="0.2">
      <c r="BX4602" s="214" t="e">
        <f t="shared" si="158"/>
        <v>#DIV/0!</v>
      </c>
      <c r="BY4602" s="215">
        <f t="shared" si="159"/>
        <v>0</v>
      </c>
    </row>
    <row r="4603" spans="76:77" x14ac:dyDescent="0.2">
      <c r="BX4603" s="214" t="e">
        <f t="shared" si="158"/>
        <v>#DIV/0!</v>
      </c>
      <c r="BY4603" s="215">
        <f t="shared" si="159"/>
        <v>0</v>
      </c>
    </row>
    <row r="4604" spans="76:77" x14ac:dyDescent="0.2">
      <c r="BX4604" s="214" t="e">
        <f t="shared" si="158"/>
        <v>#DIV/0!</v>
      </c>
      <c r="BY4604" s="215">
        <f t="shared" si="159"/>
        <v>0</v>
      </c>
    </row>
    <row r="4605" spans="76:77" x14ac:dyDescent="0.2">
      <c r="BX4605" s="214" t="e">
        <f t="shared" si="158"/>
        <v>#DIV/0!</v>
      </c>
      <c r="BY4605" s="215">
        <f t="shared" si="159"/>
        <v>0</v>
      </c>
    </row>
    <row r="4606" spans="76:77" x14ac:dyDescent="0.2">
      <c r="BX4606" s="214" t="e">
        <f t="shared" si="158"/>
        <v>#DIV/0!</v>
      </c>
      <c r="BY4606" s="215">
        <f t="shared" si="159"/>
        <v>0</v>
      </c>
    </row>
    <row r="4607" spans="76:77" x14ac:dyDescent="0.2">
      <c r="BX4607" s="214" t="e">
        <f t="shared" si="158"/>
        <v>#DIV/0!</v>
      </c>
      <c r="BY4607" s="215">
        <f t="shared" si="159"/>
        <v>0</v>
      </c>
    </row>
    <row r="4608" spans="76:77" x14ac:dyDescent="0.2">
      <c r="BX4608" s="214" t="e">
        <f t="shared" si="158"/>
        <v>#DIV/0!</v>
      </c>
      <c r="BY4608" s="215">
        <f t="shared" si="159"/>
        <v>0</v>
      </c>
    </row>
    <row r="4609" spans="76:77" x14ac:dyDescent="0.2">
      <c r="BX4609" s="214" t="e">
        <f t="shared" si="158"/>
        <v>#DIV/0!</v>
      </c>
      <c r="BY4609" s="215">
        <f t="shared" si="159"/>
        <v>0</v>
      </c>
    </row>
    <row r="4610" spans="76:77" x14ac:dyDescent="0.2">
      <c r="BX4610" s="214" t="e">
        <f t="shared" si="158"/>
        <v>#DIV/0!</v>
      </c>
      <c r="BY4610" s="215">
        <f t="shared" si="159"/>
        <v>0</v>
      </c>
    </row>
    <row r="4611" spans="76:77" x14ac:dyDescent="0.2">
      <c r="BX4611" s="214" t="e">
        <f t="shared" si="158"/>
        <v>#DIV/0!</v>
      </c>
      <c r="BY4611" s="215">
        <f t="shared" si="159"/>
        <v>0</v>
      </c>
    </row>
    <row r="4612" spans="76:77" x14ac:dyDescent="0.2">
      <c r="BX4612" s="214" t="e">
        <f t="shared" si="158"/>
        <v>#DIV/0!</v>
      </c>
      <c r="BY4612" s="215">
        <f t="shared" si="159"/>
        <v>0</v>
      </c>
    </row>
    <row r="4613" spans="76:77" x14ac:dyDescent="0.2">
      <c r="BX4613" s="214" t="e">
        <f t="shared" si="158"/>
        <v>#DIV/0!</v>
      </c>
      <c r="BY4613" s="215">
        <f t="shared" si="159"/>
        <v>0</v>
      </c>
    </row>
    <row r="4614" spans="76:77" x14ac:dyDescent="0.2">
      <c r="BX4614" s="214" t="e">
        <f t="shared" si="158"/>
        <v>#DIV/0!</v>
      </c>
      <c r="BY4614" s="215">
        <f t="shared" si="159"/>
        <v>0</v>
      </c>
    </row>
    <row r="4615" spans="76:77" x14ac:dyDescent="0.2">
      <c r="BX4615" s="214" t="e">
        <f t="shared" si="158"/>
        <v>#DIV/0!</v>
      </c>
      <c r="BY4615" s="215">
        <f t="shared" si="159"/>
        <v>0</v>
      </c>
    </row>
    <row r="4616" spans="76:77" x14ac:dyDescent="0.2">
      <c r="BX4616" s="214" t="e">
        <f t="shared" si="158"/>
        <v>#DIV/0!</v>
      </c>
      <c r="BY4616" s="215">
        <f t="shared" si="159"/>
        <v>0</v>
      </c>
    </row>
    <row r="4617" spans="76:77" x14ac:dyDescent="0.2">
      <c r="BX4617" s="214" t="e">
        <f t="shared" si="158"/>
        <v>#DIV/0!</v>
      </c>
      <c r="BY4617" s="215">
        <f t="shared" si="159"/>
        <v>0</v>
      </c>
    </row>
    <row r="4618" spans="76:77" x14ac:dyDescent="0.2">
      <c r="BX4618" s="214" t="e">
        <f t="shared" si="158"/>
        <v>#DIV/0!</v>
      </c>
      <c r="BY4618" s="215">
        <f t="shared" si="159"/>
        <v>0</v>
      </c>
    </row>
    <row r="4619" spans="76:77" x14ac:dyDescent="0.2">
      <c r="BX4619" s="214" t="e">
        <f t="shared" si="158"/>
        <v>#DIV/0!</v>
      </c>
      <c r="BY4619" s="215">
        <f t="shared" si="159"/>
        <v>0</v>
      </c>
    </row>
    <row r="4620" spans="76:77" x14ac:dyDescent="0.2">
      <c r="BX4620" s="214" t="e">
        <f t="shared" si="158"/>
        <v>#DIV/0!</v>
      </c>
      <c r="BY4620" s="215">
        <f t="shared" si="159"/>
        <v>0</v>
      </c>
    </row>
    <row r="4621" spans="76:77" x14ac:dyDescent="0.2">
      <c r="BX4621" s="214" t="e">
        <f t="shared" ref="BX4621:BX4684" si="160">BY4621/BV4621</f>
        <v>#DIV/0!</v>
      </c>
      <c r="BY4621" s="215">
        <f t="shared" si="159"/>
        <v>0</v>
      </c>
    </row>
    <row r="4622" spans="76:77" x14ac:dyDescent="0.2">
      <c r="BX4622" s="214" t="e">
        <f t="shared" si="160"/>
        <v>#DIV/0!</v>
      </c>
      <c r="BY4622" s="215">
        <f t="shared" ref="BY4622:BY4685" si="161">BY4621+BW4622*(BV4622-BV4621)</f>
        <v>0</v>
      </c>
    </row>
    <row r="4623" spans="76:77" x14ac:dyDescent="0.2">
      <c r="BX4623" s="214" t="e">
        <f t="shared" si="160"/>
        <v>#DIV/0!</v>
      </c>
      <c r="BY4623" s="215">
        <f t="shared" si="161"/>
        <v>0</v>
      </c>
    </row>
    <row r="4624" spans="76:77" x14ac:dyDescent="0.2">
      <c r="BX4624" s="214" t="e">
        <f t="shared" si="160"/>
        <v>#DIV/0!</v>
      </c>
      <c r="BY4624" s="215">
        <f t="shared" si="161"/>
        <v>0</v>
      </c>
    </row>
    <row r="4625" spans="76:77" x14ac:dyDescent="0.2">
      <c r="BX4625" s="214" t="e">
        <f t="shared" si="160"/>
        <v>#DIV/0!</v>
      </c>
      <c r="BY4625" s="215">
        <f t="shared" si="161"/>
        <v>0</v>
      </c>
    </row>
    <row r="4626" spans="76:77" x14ac:dyDescent="0.2">
      <c r="BX4626" s="214" t="e">
        <f t="shared" si="160"/>
        <v>#DIV/0!</v>
      </c>
      <c r="BY4626" s="215">
        <f t="shared" si="161"/>
        <v>0</v>
      </c>
    </row>
    <row r="4627" spans="76:77" x14ac:dyDescent="0.2">
      <c r="BX4627" s="214" t="e">
        <f t="shared" si="160"/>
        <v>#DIV/0!</v>
      </c>
      <c r="BY4627" s="215">
        <f t="shared" si="161"/>
        <v>0</v>
      </c>
    </row>
    <row r="4628" spans="76:77" x14ac:dyDescent="0.2">
      <c r="BX4628" s="214" t="e">
        <f t="shared" si="160"/>
        <v>#DIV/0!</v>
      </c>
      <c r="BY4628" s="215">
        <f t="shared" si="161"/>
        <v>0</v>
      </c>
    </row>
    <row r="4629" spans="76:77" x14ac:dyDescent="0.2">
      <c r="BX4629" s="214" t="e">
        <f t="shared" si="160"/>
        <v>#DIV/0!</v>
      </c>
      <c r="BY4629" s="215">
        <f t="shared" si="161"/>
        <v>0</v>
      </c>
    </row>
    <row r="4630" spans="76:77" x14ac:dyDescent="0.2">
      <c r="BX4630" s="214" t="e">
        <f t="shared" si="160"/>
        <v>#DIV/0!</v>
      </c>
      <c r="BY4630" s="215">
        <f t="shared" si="161"/>
        <v>0</v>
      </c>
    </row>
    <row r="4631" spans="76:77" x14ac:dyDescent="0.2">
      <c r="BX4631" s="214" t="e">
        <f t="shared" si="160"/>
        <v>#DIV/0!</v>
      </c>
      <c r="BY4631" s="215">
        <f t="shared" si="161"/>
        <v>0</v>
      </c>
    </row>
    <row r="4632" spans="76:77" x14ac:dyDescent="0.2">
      <c r="BX4632" s="214" t="e">
        <f t="shared" si="160"/>
        <v>#DIV/0!</v>
      </c>
      <c r="BY4632" s="215">
        <f t="shared" si="161"/>
        <v>0</v>
      </c>
    </row>
    <row r="4633" spans="76:77" x14ac:dyDescent="0.2">
      <c r="BX4633" s="214" t="e">
        <f t="shared" si="160"/>
        <v>#DIV/0!</v>
      </c>
      <c r="BY4633" s="215">
        <f t="shared" si="161"/>
        <v>0</v>
      </c>
    </row>
    <row r="4634" spans="76:77" x14ac:dyDescent="0.2">
      <c r="BX4634" s="214" t="e">
        <f t="shared" si="160"/>
        <v>#DIV/0!</v>
      </c>
      <c r="BY4634" s="215">
        <f t="shared" si="161"/>
        <v>0</v>
      </c>
    </row>
    <row r="4635" spans="76:77" x14ac:dyDescent="0.2">
      <c r="BX4635" s="214" t="e">
        <f t="shared" si="160"/>
        <v>#DIV/0!</v>
      </c>
      <c r="BY4635" s="215">
        <f t="shared" si="161"/>
        <v>0</v>
      </c>
    </row>
    <row r="4636" spans="76:77" x14ac:dyDescent="0.2">
      <c r="BX4636" s="214" t="e">
        <f t="shared" si="160"/>
        <v>#DIV/0!</v>
      </c>
      <c r="BY4636" s="215">
        <f t="shared" si="161"/>
        <v>0</v>
      </c>
    </row>
    <row r="4637" spans="76:77" x14ac:dyDescent="0.2">
      <c r="BX4637" s="214" t="e">
        <f t="shared" si="160"/>
        <v>#DIV/0!</v>
      </c>
      <c r="BY4637" s="215">
        <f t="shared" si="161"/>
        <v>0</v>
      </c>
    </row>
    <row r="4638" spans="76:77" x14ac:dyDescent="0.2">
      <c r="BX4638" s="214" t="e">
        <f t="shared" si="160"/>
        <v>#DIV/0!</v>
      </c>
      <c r="BY4638" s="215">
        <f t="shared" si="161"/>
        <v>0</v>
      </c>
    </row>
    <row r="4639" spans="76:77" x14ac:dyDescent="0.2">
      <c r="BX4639" s="214" t="e">
        <f t="shared" si="160"/>
        <v>#DIV/0!</v>
      </c>
      <c r="BY4639" s="215">
        <f t="shared" si="161"/>
        <v>0</v>
      </c>
    </row>
    <row r="4640" spans="76:77" x14ac:dyDescent="0.2">
      <c r="BX4640" s="214" t="e">
        <f t="shared" si="160"/>
        <v>#DIV/0!</v>
      </c>
      <c r="BY4640" s="215">
        <f t="shared" si="161"/>
        <v>0</v>
      </c>
    </row>
    <row r="4641" spans="76:77" x14ac:dyDescent="0.2">
      <c r="BX4641" s="214" t="e">
        <f t="shared" si="160"/>
        <v>#DIV/0!</v>
      </c>
      <c r="BY4641" s="215">
        <f t="shared" si="161"/>
        <v>0</v>
      </c>
    </row>
    <row r="4642" spans="76:77" x14ac:dyDescent="0.2">
      <c r="BX4642" s="214" t="e">
        <f t="shared" si="160"/>
        <v>#DIV/0!</v>
      </c>
      <c r="BY4642" s="215">
        <f t="shared" si="161"/>
        <v>0</v>
      </c>
    </row>
    <row r="4643" spans="76:77" x14ac:dyDescent="0.2">
      <c r="BX4643" s="214" t="e">
        <f t="shared" si="160"/>
        <v>#DIV/0!</v>
      </c>
      <c r="BY4643" s="215">
        <f t="shared" si="161"/>
        <v>0</v>
      </c>
    </row>
    <row r="4644" spans="76:77" x14ac:dyDescent="0.2">
      <c r="BX4644" s="214" t="e">
        <f t="shared" si="160"/>
        <v>#DIV/0!</v>
      </c>
      <c r="BY4644" s="215">
        <f t="shared" si="161"/>
        <v>0</v>
      </c>
    </row>
    <row r="4645" spans="76:77" x14ac:dyDescent="0.2">
      <c r="BX4645" s="214" t="e">
        <f t="shared" si="160"/>
        <v>#DIV/0!</v>
      </c>
      <c r="BY4645" s="215">
        <f t="shared" si="161"/>
        <v>0</v>
      </c>
    </row>
    <row r="4646" spans="76:77" x14ac:dyDescent="0.2">
      <c r="BX4646" s="214" t="e">
        <f t="shared" si="160"/>
        <v>#DIV/0!</v>
      </c>
      <c r="BY4646" s="215">
        <f t="shared" si="161"/>
        <v>0</v>
      </c>
    </row>
    <row r="4647" spans="76:77" x14ac:dyDescent="0.2">
      <c r="BX4647" s="214" t="e">
        <f t="shared" si="160"/>
        <v>#DIV/0!</v>
      </c>
      <c r="BY4647" s="215">
        <f t="shared" si="161"/>
        <v>0</v>
      </c>
    </row>
    <row r="4648" spans="76:77" x14ac:dyDescent="0.2">
      <c r="BX4648" s="214" t="e">
        <f t="shared" si="160"/>
        <v>#DIV/0!</v>
      </c>
      <c r="BY4648" s="215">
        <f t="shared" si="161"/>
        <v>0</v>
      </c>
    </row>
    <row r="4649" spans="76:77" x14ac:dyDescent="0.2">
      <c r="BX4649" s="214" t="e">
        <f t="shared" si="160"/>
        <v>#DIV/0!</v>
      </c>
      <c r="BY4649" s="215">
        <f t="shared" si="161"/>
        <v>0</v>
      </c>
    </row>
    <row r="4650" spans="76:77" x14ac:dyDescent="0.2">
      <c r="BX4650" s="214" t="e">
        <f t="shared" si="160"/>
        <v>#DIV/0!</v>
      </c>
      <c r="BY4650" s="215">
        <f t="shared" si="161"/>
        <v>0</v>
      </c>
    </row>
    <row r="4651" spans="76:77" x14ac:dyDescent="0.2">
      <c r="BX4651" s="214" t="e">
        <f t="shared" si="160"/>
        <v>#DIV/0!</v>
      </c>
      <c r="BY4651" s="215">
        <f t="shared" si="161"/>
        <v>0</v>
      </c>
    </row>
    <row r="4652" spans="76:77" x14ac:dyDescent="0.2">
      <c r="BX4652" s="214" t="e">
        <f t="shared" si="160"/>
        <v>#DIV/0!</v>
      </c>
      <c r="BY4652" s="215">
        <f t="shared" si="161"/>
        <v>0</v>
      </c>
    </row>
    <row r="4653" spans="76:77" x14ac:dyDescent="0.2">
      <c r="BX4653" s="214" t="e">
        <f t="shared" si="160"/>
        <v>#DIV/0!</v>
      </c>
      <c r="BY4653" s="215">
        <f t="shared" si="161"/>
        <v>0</v>
      </c>
    </row>
    <row r="4654" spans="76:77" x14ac:dyDescent="0.2">
      <c r="BX4654" s="214" t="e">
        <f t="shared" si="160"/>
        <v>#DIV/0!</v>
      </c>
      <c r="BY4654" s="215">
        <f t="shared" si="161"/>
        <v>0</v>
      </c>
    </row>
    <row r="4655" spans="76:77" x14ac:dyDescent="0.2">
      <c r="BX4655" s="214" t="e">
        <f t="shared" si="160"/>
        <v>#DIV/0!</v>
      </c>
      <c r="BY4655" s="215">
        <f t="shared" si="161"/>
        <v>0</v>
      </c>
    </row>
    <row r="4656" spans="76:77" x14ac:dyDescent="0.2">
      <c r="BX4656" s="214" t="e">
        <f t="shared" si="160"/>
        <v>#DIV/0!</v>
      </c>
      <c r="BY4656" s="215">
        <f t="shared" si="161"/>
        <v>0</v>
      </c>
    </row>
    <row r="4657" spans="76:77" x14ac:dyDescent="0.2">
      <c r="BX4657" s="214" t="e">
        <f t="shared" si="160"/>
        <v>#DIV/0!</v>
      </c>
      <c r="BY4657" s="215">
        <f t="shared" si="161"/>
        <v>0</v>
      </c>
    </row>
    <row r="4658" spans="76:77" x14ac:dyDescent="0.2">
      <c r="BX4658" s="214" t="e">
        <f t="shared" si="160"/>
        <v>#DIV/0!</v>
      </c>
      <c r="BY4658" s="215">
        <f t="shared" si="161"/>
        <v>0</v>
      </c>
    </row>
    <row r="4659" spans="76:77" x14ac:dyDescent="0.2">
      <c r="BX4659" s="214" t="e">
        <f t="shared" si="160"/>
        <v>#DIV/0!</v>
      </c>
      <c r="BY4659" s="215">
        <f t="shared" si="161"/>
        <v>0</v>
      </c>
    </row>
    <row r="4660" spans="76:77" x14ac:dyDescent="0.2">
      <c r="BX4660" s="214" t="e">
        <f t="shared" si="160"/>
        <v>#DIV/0!</v>
      </c>
      <c r="BY4660" s="215">
        <f t="shared" si="161"/>
        <v>0</v>
      </c>
    </row>
    <row r="4661" spans="76:77" x14ac:dyDescent="0.2">
      <c r="BX4661" s="214" t="e">
        <f t="shared" si="160"/>
        <v>#DIV/0!</v>
      </c>
      <c r="BY4661" s="215">
        <f t="shared" si="161"/>
        <v>0</v>
      </c>
    </row>
    <row r="4662" spans="76:77" x14ac:dyDescent="0.2">
      <c r="BX4662" s="214" t="e">
        <f t="shared" si="160"/>
        <v>#DIV/0!</v>
      </c>
      <c r="BY4662" s="215">
        <f t="shared" si="161"/>
        <v>0</v>
      </c>
    </row>
    <row r="4663" spans="76:77" x14ac:dyDescent="0.2">
      <c r="BX4663" s="214" t="e">
        <f t="shared" si="160"/>
        <v>#DIV/0!</v>
      </c>
      <c r="BY4663" s="215">
        <f t="shared" si="161"/>
        <v>0</v>
      </c>
    </row>
    <row r="4664" spans="76:77" x14ac:dyDescent="0.2">
      <c r="BX4664" s="214" t="e">
        <f t="shared" si="160"/>
        <v>#DIV/0!</v>
      </c>
      <c r="BY4664" s="215">
        <f t="shared" si="161"/>
        <v>0</v>
      </c>
    </row>
    <row r="4665" spans="76:77" x14ac:dyDescent="0.2">
      <c r="BX4665" s="214" t="e">
        <f t="shared" si="160"/>
        <v>#DIV/0!</v>
      </c>
      <c r="BY4665" s="215">
        <f t="shared" si="161"/>
        <v>0</v>
      </c>
    </row>
    <row r="4666" spans="76:77" x14ac:dyDescent="0.2">
      <c r="BX4666" s="214" t="e">
        <f t="shared" si="160"/>
        <v>#DIV/0!</v>
      </c>
      <c r="BY4666" s="215">
        <f t="shared" si="161"/>
        <v>0</v>
      </c>
    </row>
    <row r="4667" spans="76:77" x14ac:dyDescent="0.2">
      <c r="BX4667" s="214" t="e">
        <f t="shared" si="160"/>
        <v>#DIV/0!</v>
      </c>
      <c r="BY4667" s="215">
        <f t="shared" si="161"/>
        <v>0</v>
      </c>
    </row>
    <row r="4668" spans="76:77" x14ac:dyDescent="0.2">
      <c r="BX4668" s="214" t="e">
        <f t="shared" si="160"/>
        <v>#DIV/0!</v>
      </c>
      <c r="BY4668" s="215">
        <f t="shared" si="161"/>
        <v>0</v>
      </c>
    </row>
    <row r="4669" spans="76:77" x14ac:dyDescent="0.2">
      <c r="BX4669" s="214" t="e">
        <f t="shared" si="160"/>
        <v>#DIV/0!</v>
      </c>
      <c r="BY4669" s="215">
        <f t="shared" si="161"/>
        <v>0</v>
      </c>
    </row>
    <row r="4670" spans="76:77" x14ac:dyDescent="0.2">
      <c r="BX4670" s="214" t="e">
        <f t="shared" si="160"/>
        <v>#DIV/0!</v>
      </c>
      <c r="BY4670" s="215">
        <f t="shared" si="161"/>
        <v>0</v>
      </c>
    </row>
    <row r="4671" spans="76:77" x14ac:dyDescent="0.2">
      <c r="BX4671" s="214" t="e">
        <f t="shared" si="160"/>
        <v>#DIV/0!</v>
      </c>
      <c r="BY4671" s="215">
        <f t="shared" si="161"/>
        <v>0</v>
      </c>
    </row>
    <row r="4672" spans="76:77" x14ac:dyDescent="0.2">
      <c r="BX4672" s="214" t="e">
        <f t="shared" si="160"/>
        <v>#DIV/0!</v>
      </c>
      <c r="BY4672" s="215">
        <f t="shared" si="161"/>
        <v>0</v>
      </c>
    </row>
    <row r="4673" spans="76:77" x14ac:dyDescent="0.2">
      <c r="BX4673" s="214" t="e">
        <f t="shared" si="160"/>
        <v>#DIV/0!</v>
      </c>
      <c r="BY4673" s="215">
        <f t="shared" si="161"/>
        <v>0</v>
      </c>
    </row>
    <row r="4674" spans="76:77" x14ac:dyDescent="0.2">
      <c r="BX4674" s="214" t="e">
        <f t="shared" si="160"/>
        <v>#DIV/0!</v>
      </c>
      <c r="BY4674" s="215">
        <f t="shared" si="161"/>
        <v>0</v>
      </c>
    </row>
    <row r="4675" spans="76:77" x14ac:dyDescent="0.2">
      <c r="BX4675" s="214" t="e">
        <f t="shared" si="160"/>
        <v>#DIV/0!</v>
      </c>
      <c r="BY4675" s="215">
        <f t="shared" si="161"/>
        <v>0</v>
      </c>
    </row>
    <row r="4676" spans="76:77" x14ac:dyDescent="0.2">
      <c r="BX4676" s="214" t="e">
        <f t="shared" si="160"/>
        <v>#DIV/0!</v>
      </c>
      <c r="BY4676" s="215">
        <f t="shared" si="161"/>
        <v>0</v>
      </c>
    </row>
    <row r="4677" spans="76:77" x14ac:dyDescent="0.2">
      <c r="BX4677" s="214" t="e">
        <f t="shared" si="160"/>
        <v>#DIV/0!</v>
      </c>
      <c r="BY4677" s="215">
        <f t="shared" si="161"/>
        <v>0</v>
      </c>
    </row>
    <row r="4678" spans="76:77" x14ac:dyDescent="0.2">
      <c r="BX4678" s="214" t="e">
        <f t="shared" si="160"/>
        <v>#DIV/0!</v>
      </c>
      <c r="BY4678" s="215">
        <f t="shared" si="161"/>
        <v>0</v>
      </c>
    </row>
    <row r="4679" spans="76:77" x14ac:dyDescent="0.2">
      <c r="BX4679" s="214" t="e">
        <f t="shared" si="160"/>
        <v>#DIV/0!</v>
      </c>
      <c r="BY4679" s="215">
        <f t="shared" si="161"/>
        <v>0</v>
      </c>
    </row>
    <row r="4680" spans="76:77" x14ac:dyDescent="0.2">
      <c r="BX4680" s="214" t="e">
        <f t="shared" si="160"/>
        <v>#DIV/0!</v>
      </c>
      <c r="BY4680" s="215">
        <f t="shared" si="161"/>
        <v>0</v>
      </c>
    </row>
    <row r="4681" spans="76:77" x14ac:dyDescent="0.2">
      <c r="BX4681" s="214" t="e">
        <f t="shared" si="160"/>
        <v>#DIV/0!</v>
      </c>
      <c r="BY4681" s="215">
        <f t="shared" si="161"/>
        <v>0</v>
      </c>
    </row>
    <row r="4682" spans="76:77" x14ac:dyDescent="0.2">
      <c r="BX4682" s="214" t="e">
        <f t="shared" si="160"/>
        <v>#DIV/0!</v>
      </c>
      <c r="BY4682" s="215">
        <f t="shared" si="161"/>
        <v>0</v>
      </c>
    </row>
    <row r="4683" spans="76:77" x14ac:dyDescent="0.2">
      <c r="BX4683" s="214" t="e">
        <f t="shared" si="160"/>
        <v>#DIV/0!</v>
      </c>
      <c r="BY4683" s="215">
        <f t="shared" si="161"/>
        <v>0</v>
      </c>
    </row>
    <row r="4684" spans="76:77" x14ac:dyDescent="0.2">
      <c r="BX4684" s="214" t="e">
        <f t="shared" si="160"/>
        <v>#DIV/0!</v>
      </c>
      <c r="BY4684" s="215">
        <f t="shared" si="161"/>
        <v>0</v>
      </c>
    </row>
    <row r="4685" spans="76:77" x14ac:dyDescent="0.2">
      <c r="BX4685" s="214" t="e">
        <f t="shared" ref="BX4685:BX4748" si="162">BY4685/BV4685</f>
        <v>#DIV/0!</v>
      </c>
      <c r="BY4685" s="215">
        <f t="shared" si="161"/>
        <v>0</v>
      </c>
    </row>
    <row r="4686" spans="76:77" x14ac:dyDescent="0.2">
      <c r="BX4686" s="214" t="e">
        <f t="shared" si="162"/>
        <v>#DIV/0!</v>
      </c>
      <c r="BY4686" s="215">
        <f t="shared" ref="BY4686:BY4749" si="163">BY4685+BW4686*(BV4686-BV4685)</f>
        <v>0</v>
      </c>
    </row>
    <row r="4687" spans="76:77" x14ac:dyDescent="0.2">
      <c r="BX4687" s="214" t="e">
        <f t="shared" si="162"/>
        <v>#DIV/0!</v>
      </c>
      <c r="BY4687" s="215">
        <f t="shared" si="163"/>
        <v>0</v>
      </c>
    </row>
    <row r="4688" spans="76:77" x14ac:dyDescent="0.2">
      <c r="BX4688" s="214" t="e">
        <f t="shared" si="162"/>
        <v>#DIV/0!</v>
      </c>
      <c r="BY4688" s="215">
        <f t="shared" si="163"/>
        <v>0</v>
      </c>
    </row>
    <row r="4689" spans="76:77" x14ac:dyDescent="0.2">
      <c r="BX4689" s="214" t="e">
        <f t="shared" si="162"/>
        <v>#DIV/0!</v>
      </c>
      <c r="BY4689" s="215">
        <f t="shared" si="163"/>
        <v>0</v>
      </c>
    </row>
    <row r="4690" spans="76:77" x14ac:dyDescent="0.2">
      <c r="BX4690" s="214" t="e">
        <f t="shared" si="162"/>
        <v>#DIV/0!</v>
      </c>
      <c r="BY4690" s="215">
        <f t="shared" si="163"/>
        <v>0</v>
      </c>
    </row>
    <row r="4691" spans="76:77" x14ac:dyDescent="0.2">
      <c r="BX4691" s="214" t="e">
        <f t="shared" si="162"/>
        <v>#DIV/0!</v>
      </c>
      <c r="BY4691" s="215">
        <f t="shared" si="163"/>
        <v>0</v>
      </c>
    </row>
    <row r="4692" spans="76:77" x14ac:dyDescent="0.2">
      <c r="BX4692" s="214" t="e">
        <f t="shared" si="162"/>
        <v>#DIV/0!</v>
      </c>
      <c r="BY4692" s="215">
        <f t="shared" si="163"/>
        <v>0</v>
      </c>
    </row>
    <row r="4693" spans="76:77" x14ac:dyDescent="0.2">
      <c r="BX4693" s="214" t="e">
        <f t="shared" si="162"/>
        <v>#DIV/0!</v>
      </c>
      <c r="BY4693" s="215">
        <f t="shared" si="163"/>
        <v>0</v>
      </c>
    </row>
    <row r="4694" spans="76:77" x14ac:dyDescent="0.2">
      <c r="BX4694" s="214" t="e">
        <f t="shared" si="162"/>
        <v>#DIV/0!</v>
      </c>
      <c r="BY4694" s="215">
        <f t="shared" si="163"/>
        <v>0</v>
      </c>
    </row>
    <row r="4695" spans="76:77" x14ac:dyDescent="0.2">
      <c r="BX4695" s="214" t="e">
        <f t="shared" si="162"/>
        <v>#DIV/0!</v>
      </c>
      <c r="BY4695" s="215">
        <f t="shared" si="163"/>
        <v>0</v>
      </c>
    </row>
    <row r="4696" spans="76:77" x14ac:dyDescent="0.2">
      <c r="BX4696" s="214" t="e">
        <f t="shared" si="162"/>
        <v>#DIV/0!</v>
      </c>
      <c r="BY4696" s="215">
        <f t="shared" si="163"/>
        <v>0</v>
      </c>
    </row>
    <row r="4697" spans="76:77" x14ac:dyDescent="0.2">
      <c r="BX4697" s="214" t="e">
        <f t="shared" si="162"/>
        <v>#DIV/0!</v>
      </c>
      <c r="BY4697" s="215">
        <f t="shared" si="163"/>
        <v>0</v>
      </c>
    </row>
    <row r="4698" spans="76:77" x14ac:dyDescent="0.2">
      <c r="BX4698" s="214" t="e">
        <f t="shared" si="162"/>
        <v>#DIV/0!</v>
      </c>
      <c r="BY4698" s="215">
        <f t="shared" si="163"/>
        <v>0</v>
      </c>
    </row>
    <row r="4699" spans="76:77" x14ac:dyDescent="0.2">
      <c r="BX4699" s="214" t="e">
        <f t="shared" si="162"/>
        <v>#DIV/0!</v>
      </c>
      <c r="BY4699" s="215">
        <f t="shared" si="163"/>
        <v>0</v>
      </c>
    </row>
    <row r="4700" spans="76:77" x14ac:dyDescent="0.2">
      <c r="BX4700" s="214" t="e">
        <f t="shared" si="162"/>
        <v>#DIV/0!</v>
      </c>
      <c r="BY4700" s="215">
        <f t="shared" si="163"/>
        <v>0</v>
      </c>
    </row>
    <row r="4701" spans="76:77" x14ac:dyDescent="0.2">
      <c r="BX4701" s="214" t="e">
        <f t="shared" si="162"/>
        <v>#DIV/0!</v>
      </c>
      <c r="BY4701" s="215">
        <f t="shared" si="163"/>
        <v>0</v>
      </c>
    </row>
    <row r="4702" spans="76:77" x14ac:dyDescent="0.2">
      <c r="BX4702" s="214" t="e">
        <f t="shared" si="162"/>
        <v>#DIV/0!</v>
      </c>
      <c r="BY4702" s="215">
        <f t="shared" si="163"/>
        <v>0</v>
      </c>
    </row>
    <row r="4703" spans="76:77" x14ac:dyDescent="0.2">
      <c r="BX4703" s="214" t="e">
        <f t="shared" si="162"/>
        <v>#DIV/0!</v>
      </c>
      <c r="BY4703" s="215">
        <f t="shared" si="163"/>
        <v>0</v>
      </c>
    </row>
    <row r="4704" spans="76:77" x14ac:dyDescent="0.2">
      <c r="BX4704" s="214" t="e">
        <f t="shared" si="162"/>
        <v>#DIV/0!</v>
      </c>
      <c r="BY4704" s="215">
        <f t="shared" si="163"/>
        <v>0</v>
      </c>
    </row>
    <row r="4705" spans="76:77" x14ac:dyDescent="0.2">
      <c r="BX4705" s="214" t="e">
        <f t="shared" si="162"/>
        <v>#DIV/0!</v>
      </c>
      <c r="BY4705" s="215">
        <f t="shared" si="163"/>
        <v>0</v>
      </c>
    </row>
    <row r="4706" spans="76:77" x14ac:dyDescent="0.2">
      <c r="BX4706" s="214" t="e">
        <f t="shared" si="162"/>
        <v>#DIV/0!</v>
      </c>
      <c r="BY4706" s="215">
        <f t="shared" si="163"/>
        <v>0</v>
      </c>
    </row>
    <row r="4707" spans="76:77" x14ac:dyDescent="0.2">
      <c r="BX4707" s="214" t="e">
        <f t="shared" si="162"/>
        <v>#DIV/0!</v>
      </c>
      <c r="BY4707" s="215">
        <f t="shared" si="163"/>
        <v>0</v>
      </c>
    </row>
    <row r="4708" spans="76:77" x14ac:dyDescent="0.2">
      <c r="BX4708" s="214" t="e">
        <f t="shared" si="162"/>
        <v>#DIV/0!</v>
      </c>
      <c r="BY4708" s="215">
        <f t="shared" si="163"/>
        <v>0</v>
      </c>
    </row>
    <row r="4709" spans="76:77" x14ac:dyDescent="0.2">
      <c r="BX4709" s="214" t="e">
        <f t="shared" si="162"/>
        <v>#DIV/0!</v>
      </c>
      <c r="BY4709" s="215">
        <f t="shared" si="163"/>
        <v>0</v>
      </c>
    </row>
    <row r="4710" spans="76:77" x14ac:dyDescent="0.2">
      <c r="BX4710" s="214" t="e">
        <f t="shared" si="162"/>
        <v>#DIV/0!</v>
      </c>
      <c r="BY4710" s="215">
        <f t="shared" si="163"/>
        <v>0</v>
      </c>
    </row>
    <row r="4711" spans="76:77" x14ac:dyDescent="0.2">
      <c r="BX4711" s="214" t="e">
        <f t="shared" si="162"/>
        <v>#DIV/0!</v>
      </c>
      <c r="BY4711" s="215">
        <f t="shared" si="163"/>
        <v>0</v>
      </c>
    </row>
    <row r="4712" spans="76:77" x14ac:dyDescent="0.2">
      <c r="BX4712" s="214" t="e">
        <f t="shared" si="162"/>
        <v>#DIV/0!</v>
      </c>
      <c r="BY4712" s="215">
        <f t="shared" si="163"/>
        <v>0</v>
      </c>
    </row>
    <row r="4713" spans="76:77" x14ac:dyDescent="0.2">
      <c r="BX4713" s="214" t="e">
        <f t="shared" si="162"/>
        <v>#DIV/0!</v>
      </c>
      <c r="BY4713" s="215">
        <f t="shared" si="163"/>
        <v>0</v>
      </c>
    </row>
    <row r="4714" spans="76:77" x14ac:dyDescent="0.2">
      <c r="BX4714" s="214" t="e">
        <f t="shared" si="162"/>
        <v>#DIV/0!</v>
      </c>
      <c r="BY4714" s="215">
        <f t="shared" si="163"/>
        <v>0</v>
      </c>
    </row>
    <row r="4715" spans="76:77" x14ac:dyDescent="0.2">
      <c r="BX4715" s="214" t="e">
        <f t="shared" si="162"/>
        <v>#DIV/0!</v>
      </c>
      <c r="BY4715" s="215">
        <f t="shared" si="163"/>
        <v>0</v>
      </c>
    </row>
    <row r="4716" spans="76:77" x14ac:dyDescent="0.2">
      <c r="BX4716" s="214" t="e">
        <f t="shared" si="162"/>
        <v>#DIV/0!</v>
      </c>
      <c r="BY4716" s="215">
        <f t="shared" si="163"/>
        <v>0</v>
      </c>
    </row>
    <row r="4717" spans="76:77" x14ac:dyDescent="0.2">
      <c r="BX4717" s="214" t="e">
        <f t="shared" si="162"/>
        <v>#DIV/0!</v>
      </c>
      <c r="BY4717" s="215">
        <f t="shared" si="163"/>
        <v>0</v>
      </c>
    </row>
    <row r="4718" spans="76:77" x14ac:dyDescent="0.2">
      <c r="BX4718" s="214" t="e">
        <f t="shared" si="162"/>
        <v>#DIV/0!</v>
      </c>
      <c r="BY4718" s="215">
        <f t="shared" si="163"/>
        <v>0</v>
      </c>
    </row>
    <row r="4719" spans="76:77" x14ac:dyDescent="0.2">
      <c r="BX4719" s="214" t="e">
        <f t="shared" si="162"/>
        <v>#DIV/0!</v>
      </c>
      <c r="BY4719" s="215">
        <f t="shared" si="163"/>
        <v>0</v>
      </c>
    </row>
    <row r="4720" spans="76:77" x14ac:dyDescent="0.2">
      <c r="BX4720" s="214" t="e">
        <f t="shared" si="162"/>
        <v>#DIV/0!</v>
      </c>
      <c r="BY4720" s="215">
        <f t="shared" si="163"/>
        <v>0</v>
      </c>
    </row>
    <row r="4721" spans="76:77" x14ac:dyDescent="0.2">
      <c r="BX4721" s="214" t="e">
        <f t="shared" si="162"/>
        <v>#DIV/0!</v>
      </c>
      <c r="BY4721" s="215">
        <f t="shared" si="163"/>
        <v>0</v>
      </c>
    </row>
    <row r="4722" spans="76:77" x14ac:dyDescent="0.2">
      <c r="BX4722" s="214" t="e">
        <f t="shared" si="162"/>
        <v>#DIV/0!</v>
      </c>
      <c r="BY4722" s="215">
        <f t="shared" si="163"/>
        <v>0</v>
      </c>
    </row>
    <row r="4723" spans="76:77" x14ac:dyDescent="0.2">
      <c r="BX4723" s="214" t="e">
        <f t="shared" si="162"/>
        <v>#DIV/0!</v>
      </c>
      <c r="BY4723" s="215">
        <f t="shared" si="163"/>
        <v>0</v>
      </c>
    </row>
    <row r="4724" spans="76:77" x14ac:dyDescent="0.2">
      <c r="BX4724" s="214" t="e">
        <f t="shared" si="162"/>
        <v>#DIV/0!</v>
      </c>
      <c r="BY4724" s="215">
        <f t="shared" si="163"/>
        <v>0</v>
      </c>
    </row>
    <row r="4725" spans="76:77" x14ac:dyDescent="0.2">
      <c r="BX4725" s="214" t="e">
        <f t="shared" si="162"/>
        <v>#DIV/0!</v>
      </c>
      <c r="BY4725" s="215">
        <f t="shared" si="163"/>
        <v>0</v>
      </c>
    </row>
    <row r="4726" spans="76:77" x14ac:dyDescent="0.2">
      <c r="BX4726" s="214" t="e">
        <f t="shared" si="162"/>
        <v>#DIV/0!</v>
      </c>
      <c r="BY4726" s="215">
        <f t="shared" si="163"/>
        <v>0</v>
      </c>
    </row>
    <row r="4727" spans="76:77" x14ac:dyDescent="0.2">
      <c r="BX4727" s="214" t="e">
        <f t="shared" si="162"/>
        <v>#DIV/0!</v>
      </c>
      <c r="BY4727" s="215">
        <f t="shared" si="163"/>
        <v>0</v>
      </c>
    </row>
    <row r="4728" spans="76:77" x14ac:dyDescent="0.2">
      <c r="BX4728" s="214" t="e">
        <f t="shared" si="162"/>
        <v>#DIV/0!</v>
      </c>
      <c r="BY4728" s="215">
        <f t="shared" si="163"/>
        <v>0</v>
      </c>
    </row>
    <row r="4729" spans="76:77" x14ac:dyDescent="0.2">
      <c r="BX4729" s="214" t="e">
        <f t="shared" si="162"/>
        <v>#DIV/0!</v>
      </c>
      <c r="BY4729" s="215">
        <f t="shared" si="163"/>
        <v>0</v>
      </c>
    </row>
    <row r="4730" spans="76:77" x14ac:dyDescent="0.2">
      <c r="BX4730" s="214" t="e">
        <f t="shared" si="162"/>
        <v>#DIV/0!</v>
      </c>
      <c r="BY4730" s="215">
        <f t="shared" si="163"/>
        <v>0</v>
      </c>
    </row>
    <row r="4731" spans="76:77" x14ac:dyDescent="0.2">
      <c r="BX4731" s="214" t="e">
        <f t="shared" si="162"/>
        <v>#DIV/0!</v>
      </c>
      <c r="BY4731" s="215">
        <f t="shared" si="163"/>
        <v>0</v>
      </c>
    </row>
    <row r="4732" spans="76:77" x14ac:dyDescent="0.2">
      <c r="BX4732" s="214" t="e">
        <f t="shared" si="162"/>
        <v>#DIV/0!</v>
      </c>
      <c r="BY4732" s="215">
        <f t="shared" si="163"/>
        <v>0</v>
      </c>
    </row>
    <row r="4733" spans="76:77" x14ac:dyDescent="0.2">
      <c r="BX4733" s="214" t="e">
        <f t="shared" si="162"/>
        <v>#DIV/0!</v>
      </c>
      <c r="BY4733" s="215">
        <f t="shared" si="163"/>
        <v>0</v>
      </c>
    </row>
    <row r="4734" spans="76:77" x14ac:dyDescent="0.2">
      <c r="BX4734" s="214" t="e">
        <f t="shared" si="162"/>
        <v>#DIV/0!</v>
      </c>
      <c r="BY4734" s="215">
        <f t="shared" si="163"/>
        <v>0</v>
      </c>
    </row>
    <row r="4735" spans="76:77" x14ac:dyDescent="0.2">
      <c r="BX4735" s="214" t="e">
        <f t="shared" si="162"/>
        <v>#DIV/0!</v>
      </c>
      <c r="BY4735" s="215">
        <f t="shared" si="163"/>
        <v>0</v>
      </c>
    </row>
    <row r="4736" spans="76:77" x14ac:dyDescent="0.2">
      <c r="BX4736" s="214" t="e">
        <f t="shared" si="162"/>
        <v>#DIV/0!</v>
      </c>
      <c r="BY4736" s="215">
        <f t="shared" si="163"/>
        <v>0</v>
      </c>
    </row>
    <row r="4737" spans="76:77" x14ac:dyDescent="0.2">
      <c r="BX4737" s="214" t="e">
        <f t="shared" si="162"/>
        <v>#DIV/0!</v>
      </c>
      <c r="BY4737" s="215">
        <f t="shared" si="163"/>
        <v>0</v>
      </c>
    </row>
    <row r="4738" spans="76:77" x14ac:dyDescent="0.2">
      <c r="BX4738" s="214" t="e">
        <f t="shared" si="162"/>
        <v>#DIV/0!</v>
      </c>
      <c r="BY4738" s="215">
        <f t="shared" si="163"/>
        <v>0</v>
      </c>
    </row>
    <row r="4739" spans="76:77" x14ac:dyDescent="0.2">
      <c r="BX4739" s="214" t="e">
        <f t="shared" si="162"/>
        <v>#DIV/0!</v>
      </c>
      <c r="BY4739" s="215">
        <f t="shared" si="163"/>
        <v>0</v>
      </c>
    </row>
    <row r="4740" spans="76:77" x14ac:dyDescent="0.2">
      <c r="BX4740" s="214" t="e">
        <f t="shared" si="162"/>
        <v>#DIV/0!</v>
      </c>
      <c r="BY4740" s="215">
        <f t="shared" si="163"/>
        <v>0</v>
      </c>
    </row>
    <row r="4741" spans="76:77" x14ac:dyDescent="0.2">
      <c r="BX4741" s="214" t="e">
        <f t="shared" si="162"/>
        <v>#DIV/0!</v>
      </c>
      <c r="BY4741" s="215">
        <f t="shared" si="163"/>
        <v>0</v>
      </c>
    </row>
    <row r="4742" spans="76:77" x14ac:dyDescent="0.2">
      <c r="BX4742" s="214" t="e">
        <f t="shared" si="162"/>
        <v>#DIV/0!</v>
      </c>
      <c r="BY4742" s="215">
        <f t="shared" si="163"/>
        <v>0</v>
      </c>
    </row>
    <row r="4743" spans="76:77" x14ac:dyDescent="0.2">
      <c r="BX4743" s="214" t="e">
        <f t="shared" si="162"/>
        <v>#DIV/0!</v>
      </c>
      <c r="BY4743" s="215">
        <f t="shared" si="163"/>
        <v>0</v>
      </c>
    </row>
    <row r="4744" spans="76:77" x14ac:dyDescent="0.2">
      <c r="BX4744" s="214" t="e">
        <f t="shared" si="162"/>
        <v>#DIV/0!</v>
      </c>
      <c r="BY4744" s="215">
        <f t="shared" si="163"/>
        <v>0</v>
      </c>
    </row>
    <row r="4745" spans="76:77" x14ac:dyDescent="0.2">
      <c r="BX4745" s="214" t="e">
        <f t="shared" si="162"/>
        <v>#DIV/0!</v>
      </c>
      <c r="BY4745" s="215">
        <f t="shared" si="163"/>
        <v>0</v>
      </c>
    </row>
    <row r="4746" spans="76:77" x14ac:dyDescent="0.2">
      <c r="BX4746" s="214" t="e">
        <f t="shared" si="162"/>
        <v>#DIV/0!</v>
      </c>
      <c r="BY4746" s="215">
        <f t="shared" si="163"/>
        <v>0</v>
      </c>
    </row>
    <row r="4747" spans="76:77" x14ac:dyDescent="0.2">
      <c r="BX4747" s="214" t="e">
        <f t="shared" si="162"/>
        <v>#DIV/0!</v>
      </c>
      <c r="BY4747" s="215">
        <f t="shared" si="163"/>
        <v>0</v>
      </c>
    </row>
    <row r="4748" spans="76:77" x14ac:dyDescent="0.2">
      <c r="BX4748" s="214" t="e">
        <f t="shared" si="162"/>
        <v>#DIV/0!</v>
      </c>
      <c r="BY4748" s="215">
        <f t="shared" si="163"/>
        <v>0</v>
      </c>
    </row>
    <row r="4749" spans="76:77" x14ac:dyDescent="0.2">
      <c r="BX4749" s="214" t="e">
        <f t="shared" ref="BX4749:BX4812" si="164">BY4749/BV4749</f>
        <v>#DIV/0!</v>
      </c>
      <c r="BY4749" s="215">
        <f t="shared" si="163"/>
        <v>0</v>
      </c>
    </row>
    <row r="4750" spans="76:77" x14ac:dyDescent="0.2">
      <c r="BX4750" s="214" t="e">
        <f t="shared" si="164"/>
        <v>#DIV/0!</v>
      </c>
      <c r="BY4750" s="215">
        <f t="shared" ref="BY4750:BY4813" si="165">BY4749+BW4750*(BV4750-BV4749)</f>
        <v>0</v>
      </c>
    </row>
    <row r="4751" spans="76:77" x14ac:dyDescent="0.2">
      <c r="BX4751" s="214" t="e">
        <f t="shared" si="164"/>
        <v>#DIV/0!</v>
      </c>
      <c r="BY4751" s="215">
        <f t="shared" si="165"/>
        <v>0</v>
      </c>
    </row>
    <row r="4752" spans="76:77" x14ac:dyDescent="0.2">
      <c r="BX4752" s="214" t="e">
        <f t="shared" si="164"/>
        <v>#DIV/0!</v>
      </c>
      <c r="BY4752" s="215">
        <f t="shared" si="165"/>
        <v>0</v>
      </c>
    </row>
    <row r="4753" spans="76:77" x14ac:dyDescent="0.2">
      <c r="BX4753" s="214" t="e">
        <f t="shared" si="164"/>
        <v>#DIV/0!</v>
      </c>
      <c r="BY4753" s="215">
        <f t="shared" si="165"/>
        <v>0</v>
      </c>
    </row>
    <row r="4754" spans="76:77" x14ac:dyDescent="0.2">
      <c r="BX4754" s="214" t="e">
        <f t="shared" si="164"/>
        <v>#DIV/0!</v>
      </c>
      <c r="BY4754" s="215">
        <f t="shared" si="165"/>
        <v>0</v>
      </c>
    </row>
    <row r="4755" spans="76:77" x14ac:dyDescent="0.2">
      <c r="BX4755" s="214" t="e">
        <f t="shared" si="164"/>
        <v>#DIV/0!</v>
      </c>
      <c r="BY4755" s="215">
        <f t="shared" si="165"/>
        <v>0</v>
      </c>
    </row>
    <row r="4756" spans="76:77" x14ac:dyDescent="0.2">
      <c r="BX4756" s="214" t="e">
        <f t="shared" si="164"/>
        <v>#DIV/0!</v>
      </c>
      <c r="BY4756" s="215">
        <f t="shared" si="165"/>
        <v>0</v>
      </c>
    </row>
    <row r="4757" spans="76:77" x14ac:dyDescent="0.2">
      <c r="BX4757" s="214" t="e">
        <f t="shared" si="164"/>
        <v>#DIV/0!</v>
      </c>
      <c r="BY4757" s="215">
        <f t="shared" si="165"/>
        <v>0</v>
      </c>
    </row>
    <row r="4758" spans="76:77" x14ac:dyDescent="0.2">
      <c r="BX4758" s="214" t="e">
        <f t="shared" si="164"/>
        <v>#DIV/0!</v>
      </c>
      <c r="BY4758" s="215">
        <f t="shared" si="165"/>
        <v>0</v>
      </c>
    </row>
    <row r="4759" spans="76:77" x14ac:dyDescent="0.2">
      <c r="BX4759" s="214" t="e">
        <f t="shared" si="164"/>
        <v>#DIV/0!</v>
      </c>
      <c r="BY4759" s="215">
        <f t="shared" si="165"/>
        <v>0</v>
      </c>
    </row>
    <row r="4760" spans="76:77" x14ac:dyDescent="0.2">
      <c r="BX4760" s="214" t="e">
        <f t="shared" si="164"/>
        <v>#DIV/0!</v>
      </c>
      <c r="BY4760" s="215">
        <f t="shared" si="165"/>
        <v>0</v>
      </c>
    </row>
    <row r="4761" spans="76:77" x14ac:dyDescent="0.2">
      <c r="BX4761" s="214" t="e">
        <f t="shared" si="164"/>
        <v>#DIV/0!</v>
      </c>
      <c r="BY4761" s="215">
        <f t="shared" si="165"/>
        <v>0</v>
      </c>
    </row>
    <row r="4762" spans="76:77" x14ac:dyDescent="0.2">
      <c r="BX4762" s="214" t="e">
        <f t="shared" si="164"/>
        <v>#DIV/0!</v>
      </c>
      <c r="BY4762" s="215">
        <f t="shared" si="165"/>
        <v>0</v>
      </c>
    </row>
    <row r="4763" spans="76:77" x14ac:dyDescent="0.2">
      <c r="BX4763" s="214" t="e">
        <f t="shared" si="164"/>
        <v>#DIV/0!</v>
      </c>
      <c r="BY4763" s="215">
        <f t="shared" si="165"/>
        <v>0</v>
      </c>
    </row>
    <row r="4764" spans="76:77" x14ac:dyDescent="0.2">
      <c r="BX4764" s="214" t="e">
        <f t="shared" si="164"/>
        <v>#DIV/0!</v>
      </c>
      <c r="BY4764" s="215">
        <f t="shared" si="165"/>
        <v>0</v>
      </c>
    </row>
    <row r="4765" spans="76:77" x14ac:dyDescent="0.2">
      <c r="BX4765" s="214" t="e">
        <f t="shared" si="164"/>
        <v>#DIV/0!</v>
      </c>
      <c r="BY4765" s="215">
        <f t="shared" si="165"/>
        <v>0</v>
      </c>
    </row>
    <row r="4766" spans="76:77" x14ac:dyDescent="0.2">
      <c r="BX4766" s="214" t="e">
        <f t="shared" si="164"/>
        <v>#DIV/0!</v>
      </c>
      <c r="BY4766" s="215">
        <f t="shared" si="165"/>
        <v>0</v>
      </c>
    </row>
    <row r="4767" spans="76:77" x14ac:dyDescent="0.2">
      <c r="BX4767" s="214" t="e">
        <f t="shared" si="164"/>
        <v>#DIV/0!</v>
      </c>
      <c r="BY4767" s="215">
        <f t="shared" si="165"/>
        <v>0</v>
      </c>
    </row>
    <row r="4768" spans="76:77" x14ac:dyDescent="0.2">
      <c r="BX4768" s="214" t="e">
        <f t="shared" si="164"/>
        <v>#DIV/0!</v>
      </c>
      <c r="BY4768" s="215">
        <f t="shared" si="165"/>
        <v>0</v>
      </c>
    </row>
    <row r="4769" spans="76:77" x14ac:dyDescent="0.2">
      <c r="BX4769" s="214" t="e">
        <f t="shared" si="164"/>
        <v>#DIV/0!</v>
      </c>
      <c r="BY4769" s="215">
        <f t="shared" si="165"/>
        <v>0</v>
      </c>
    </row>
    <row r="4770" spans="76:77" x14ac:dyDescent="0.2">
      <c r="BX4770" s="214" t="e">
        <f t="shared" si="164"/>
        <v>#DIV/0!</v>
      </c>
      <c r="BY4770" s="215">
        <f t="shared" si="165"/>
        <v>0</v>
      </c>
    </row>
    <row r="4771" spans="76:77" x14ac:dyDescent="0.2">
      <c r="BX4771" s="214" t="e">
        <f t="shared" si="164"/>
        <v>#DIV/0!</v>
      </c>
      <c r="BY4771" s="215">
        <f t="shared" si="165"/>
        <v>0</v>
      </c>
    </row>
    <row r="4772" spans="76:77" x14ac:dyDescent="0.2">
      <c r="BX4772" s="214" t="e">
        <f t="shared" si="164"/>
        <v>#DIV/0!</v>
      </c>
      <c r="BY4772" s="215">
        <f t="shared" si="165"/>
        <v>0</v>
      </c>
    </row>
    <row r="4773" spans="76:77" x14ac:dyDescent="0.2">
      <c r="BX4773" s="214" t="e">
        <f t="shared" si="164"/>
        <v>#DIV/0!</v>
      </c>
      <c r="BY4773" s="215">
        <f t="shared" si="165"/>
        <v>0</v>
      </c>
    </row>
    <row r="4774" spans="76:77" x14ac:dyDescent="0.2">
      <c r="BX4774" s="214" t="e">
        <f t="shared" si="164"/>
        <v>#DIV/0!</v>
      </c>
      <c r="BY4774" s="215">
        <f t="shared" si="165"/>
        <v>0</v>
      </c>
    </row>
    <row r="4775" spans="76:77" x14ac:dyDescent="0.2">
      <c r="BX4775" s="214" t="e">
        <f t="shared" si="164"/>
        <v>#DIV/0!</v>
      </c>
      <c r="BY4775" s="215">
        <f t="shared" si="165"/>
        <v>0</v>
      </c>
    </row>
    <row r="4776" spans="76:77" x14ac:dyDescent="0.2">
      <c r="BX4776" s="214" t="e">
        <f t="shared" si="164"/>
        <v>#DIV/0!</v>
      </c>
      <c r="BY4776" s="215">
        <f t="shared" si="165"/>
        <v>0</v>
      </c>
    </row>
    <row r="4777" spans="76:77" x14ac:dyDescent="0.2">
      <c r="BX4777" s="214" t="e">
        <f t="shared" si="164"/>
        <v>#DIV/0!</v>
      </c>
      <c r="BY4777" s="215">
        <f t="shared" si="165"/>
        <v>0</v>
      </c>
    </row>
    <row r="4778" spans="76:77" x14ac:dyDescent="0.2">
      <c r="BX4778" s="214" t="e">
        <f t="shared" si="164"/>
        <v>#DIV/0!</v>
      </c>
      <c r="BY4778" s="215">
        <f t="shared" si="165"/>
        <v>0</v>
      </c>
    </row>
    <row r="4779" spans="76:77" x14ac:dyDescent="0.2">
      <c r="BX4779" s="214" t="e">
        <f t="shared" si="164"/>
        <v>#DIV/0!</v>
      </c>
      <c r="BY4779" s="215">
        <f t="shared" si="165"/>
        <v>0</v>
      </c>
    </row>
    <row r="4780" spans="76:77" x14ac:dyDescent="0.2">
      <c r="BX4780" s="214" t="e">
        <f t="shared" si="164"/>
        <v>#DIV/0!</v>
      </c>
      <c r="BY4780" s="215">
        <f t="shared" si="165"/>
        <v>0</v>
      </c>
    </row>
    <row r="4781" spans="76:77" x14ac:dyDescent="0.2">
      <c r="BX4781" s="214" t="e">
        <f t="shared" si="164"/>
        <v>#DIV/0!</v>
      </c>
      <c r="BY4781" s="215">
        <f t="shared" si="165"/>
        <v>0</v>
      </c>
    </row>
    <row r="4782" spans="76:77" x14ac:dyDescent="0.2">
      <c r="BX4782" s="214" t="e">
        <f t="shared" si="164"/>
        <v>#DIV/0!</v>
      </c>
      <c r="BY4782" s="215">
        <f t="shared" si="165"/>
        <v>0</v>
      </c>
    </row>
    <row r="4783" spans="76:77" x14ac:dyDescent="0.2">
      <c r="BX4783" s="214" t="e">
        <f t="shared" si="164"/>
        <v>#DIV/0!</v>
      </c>
      <c r="BY4783" s="215">
        <f t="shared" si="165"/>
        <v>0</v>
      </c>
    </row>
    <row r="4784" spans="76:77" x14ac:dyDescent="0.2">
      <c r="BX4784" s="214" t="e">
        <f t="shared" si="164"/>
        <v>#DIV/0!</v>
      </c>
      <c r="BY4784" s="215">
        <f t="shared" si="165"/>
        <v>0</v>
      </c>
    </row>
    <row r="4785" spans="76:77" x14ac:dyDescent="0.2">
      <c r="BX4785" s="214" t="e">
        <f t="shared" si="164"/>
        <v>#DIV/0!</v>
      </c>
      <c r="BY4785" s="215">
        <f t="shared" si="165"/>
        <v>0</v>
      </c>
    </row>
    <row r="4786" spans="76:77" x14ac:dyDescent="0.2">
      <c r="BX4786" s="214" t="e">
        <f t="shared" si="164"/>
        <v>#DIV/0!</v>
      </c>
      <c r="BY4786" s="215">
        <f t="shared" si="165"/>
        <v>0</v>
      </c>
    </row>
    <row r="4787" spans="76:77" x14ac:dyDescent="0.2">
      <c r="BX4787" s="214" t="e">
        <f t="shared" si="164"/>
        <v>#DIV/0!</v>
      </c>
      <c r="BY4787" s="215">
        <f t="shared" si="165"/>
        <v>0</v>
      </c>
    </row>
    <row r="4788" spans="76:77" x14ac:dyDescent="0.2">
      <c r="BX4788" s="214" t="e">
        <f t="shared" si="164"/>
        <v>#DIV/0!</v>
      </c>
      <c r="BY4788" s="215">
        <f t="shared" si="165"/>
        <v>0</v>
      </c>
    </row>
    <row r="4789" spans="76:77" x14ac:dyDescent="0.2">
      <c r="BX4789" s="214" t="e">
        <f t="shared" si="164"/>
        <v>#DIV/0!</v>
      </c>
      <c r="BY4789" s="215">
        <f t="shared" si="165"/>
        <v>0</v>
      </c>
    </row>
    <row r="4790" spans="76:77" x14ac:dyDescent="0.2">
      <c r="BX4790" s="214" t="e">
        <f t="shared" si="164"/>
        <v>#DIV/0!</v>
      </c>
      <c r="BY4790" s="215">
        <f t="shared" si="165"/>
        <v>0</v>
      </c>
    </row>
    <row r="4791" spans="76:77" x14ac:dyDescent="0.2">
      <c r="BX4791" s="214" t="e">
        <f t="shared" si="164"/>
        <v>#DIV/0!</v>
      </c>
      <c r="BY4791" s="215">
        <f t="shared" si="165"/>
        <v>0</v>
      </c>
    </row>
    <row r="4792" spans="76:77" x14ac:dyDescent="0.2">
      <c r="BX4792" s="214" t="e">
        <f t="shared" si="164"/>
        <v>#DIV/0!</v>
      </c>
      <c r="BY4792" s="215">
        <f t="shared" si="165"/>
        <v>0</v>
      </c>
    </row>
    <row r="4793" spans="76:77" x14ac:dyDescent="0.2">
      <c r="BX4793" s="214" t="e">
        <f t="shared" si="164"/>
        <v>#DIV/0!</v>
      </c>
      <c r="BY4793" s="215">
        <f t="shared" si="165"/>
        <v>0</v>
      </c>
    </row>
    <row r="4794" spans="76:77" x14ac:dyDescent="0.2">
      <c r="BX4794" s="214" t="e">
        <f t="shared" si="164"/>
        <v>#DIV/0!</v>
      </c>
      <c r="BY4794" s="215">
        <f t="shared" si="165"/>
        <v>0</v>
      </c>
    </row>
    <row r="4795" spans="76:77" x14ac:dyDescent="0.2">
      <c r="BX4795" s="214" t="e">
        <f t="shared" si="164"/>
        <v>#DIV/0!</v>
      </c>
      <c r="BY4795" s="215">
        <f t="shared" si="165"/>
        <v>0</v>
      </c>
    </row>
    <row r="4796" spans="76:77" x14ac:dyDescent="0.2">
      <c r="BX4796" s="214" t="e">
        <f t="shared" si="164"/>
        <v>#DIV/0!</v>
      </c>
      <c r="BY4796" s="215">
        <f t="shared" si="165"/>
        <v>0</v>
      </c>
    </row>
    <row r="4797" spans="76:77" x14ac:dyDescent="0.2">
      <c r="BX4797" s="214" t="e">
        <f t="shared" si="164"/>
        <v>#DIV/0!</v>
      </c>
      <c r="BY4797" s="215">
        <f t="shared" si="165"/>
        <v>0</v>
      </c>
    </row>
    <row r="4798" spans="76:77" x14ac:dyDescent="0.2">
      <c r="BX4798" s="214" t="e">
        <f t="shared" si="164"/>
        <v>#DIV/0!</v>
      </c>
      <c r="BY4798" s="215">
        <f t="shared" si="165"/>
        <v>0</v>
      </c>
    </row>
    <row r="4799" spans="76:77" x14ac:dyDescent="0.2">
      <c r="BX4799" s="214" t="e">
        <f t="shared" si="164"/>
        <v>#DIV/0!</v>
      </c>
      <c r="BY4799" s="215">
        <f t="shared" si="165"/>
        <v>0</v>
      </c>
    </row>
    <row r="4800" spans="76:77" x14ac:dyDescent="0.2">
      <c r="BX4800" s="214" t="e">
        <f t="shared" si="164"/>
        <v>#DIV/0!</v>
      </c>
      <c r="BY4800" s="215">
        <f t="shared" si="165"/>
        <v>0</v>
      </c>
    </row>
    <row r="4801" spans="76:77" x14ac:dyDescent="0.2">
      <c r="BX4801" s="214" t="e">
        <f t="shared" si="164"/>
        <v>#DIV/0!</v>
      </c>
      <c r="BY4801" s="215">
        <f t="shared" si="165"/>
        <v>0</v>
      </c>
    </row>
    <row r="4802" spans="76:77" x14ac:dyDescent="0.2">
      <c r="BX4802" s="214" t="e">
        <f t="shared" si="164"/>
        <v>#DIV/0!</v>
      </c>
      <c r="BY4802" s="215">
        <f t="shared" si="165"/>
        <v>0</v>
      </c>
    </row>
    <row r="4803" spans="76:77" x14ac:dyDescent="0.2">
      <c r="BX4803" s="214" t="e">
        <f t="shared" si="164"/>
        <v>#DIV/0!</v>
      </c>
      <c r="BY4803" s="215">
        <f t="shared" si="165"/>
        <v>0</v>
      </c>
    </row>
    <row r="4804" spans="76:77" x14ac:dyDescent="0.2">
      <c r="BX4804" s="214" t="e">
        <f t="shared" si="164"/>
        <v>#DIV/0!</v>
      </c>
      <c r="BY4804" s="215">
        <f t="shared" si="165"/>
        <v>0</v>
      </c>
    </row>
    <row r="4805" spans="76:77" x14ac:dyDescent="0.2">
      <c r="BX4805" s="214" t="e">
        <f t="shared" si="164"/>
        <v>#DIV/0!</v>
      </c>
      <c r="BY4805" s="215">
        <f t="shared" si="165"/>
        <v>0</v>
      </c>
    </row>
    <row r="4806" spans="76:77" x14ac:dyDescent="0.2">
      <c r="BX4806" s="214" t="e">
        <f t="shared" si="164"/>
        <v>#DIV/0!</v>
      </c>
      <c r="BY4806" s="215">
        <f t="shared" si="165"/>
        <v>0</v>
      </c>
    </row>
    <row r="4807" spans="76:77" x14ac:dyDescent="0.2">
      <c r="BX4807" s="214" t="e">
        <f t="shared" si="164"/>
        <v>#DIV/0!</v>
      </c>
      <c r="BY4807" s="215">
        <f t="shared" si="165"/>
        <v>0</v>
      </c>
    </row>
    <row r="4808" spans="76:77" x14ac:dyDescent="0.2">
      <c r="BX4808" s="214" t="e">
        <f t="shared" si="164"/>
        <v>#DIV/0!</v>
      </c>
      <c r="BY4808" s="215">
        <f t="shared" si="165"/>
        <v>0</v>
      </c>
    </row>
    <row r="4809" spans="76:77" x14ac:dyDescent="0.2">
      <c r="BX4809" s="214" t="e">
        <f t="shared" si="164"/>
        <v>#DIV/0!</v>
      </c>
      <c r="BY4809" s="215">
        <f t="shared" si="165"/>
        <v>0</v>
      </c>
    </row>
    <row r="4810" spans="76:77" x14ac:dyDescent="0.2">
      <c r="BX4810" s="214" t="e">
        <f t="shared" si="164"/>
        <v>#DIV/0!</v>
      </c>
      <c r="BY4810" s="215">
        <f t="shared" si="165"/>
        <v>0</v>
      </c>
    </row>
    <row r="4811" spans="76:77" x14ac:dyDescent="0.2">
      <c r="BX4811" s="214" t="e">
        <f t="shared" si="164"/>
        <v>#DIV/0!</v>
      </c>
      <c r="BY4811" s="215">
        <f t="shared" si="165"/>
        <v>0</v>
      </c>
    </row>
    <row r="4812" spans="76:77" x14ac:dyDescent="0.2">
      <c r="BX4812" s="214" t="e">
        <f t="shared" si="164"/>
        <v>#DIV/0!</v>
      </c>
      <c r="BY4812" s="215">
        <f t="shared" si="165"/>
        <v>0</v>
      </c>
    </row>
    <row r="4813" spans="76:77" x14ac:dyDescent="0.2">
      <c r="BX4813" s="214" t="e">
        <f t="shared" ref="BX4813:BX4876" si="166">BY4813/BV4813</f>
        <v>#DIV/0!</v>
      </c>
      <c r="BY4813" s="215">
        <f t="shared" si="165"/>
        <v>0</v>
      </c>
    </row>
    <row r="4814" spans="76:77" x14ac:dyDescent="0.2">
      <c r="BX4814" s="214" t="e">
        <f t="shared" si="166"/>
        <v>#DIV/0!</v>
      </c>
      <c r="BY4814" s="215">
        <f t="shared" ref="BY4814:BY4877" si="167">BY4813+BW4814*(BV4814-BV4813)</f>
        <v>0</v>
      </c>
    </row>
    <row r="4815" spans="76:77" x14ac:dyDescent="0.2">
      <c r="BX4815" s="214" t="e">
        <f t="shared" si="166"/>
        <v>#DIV/0!</v>
      </c>
      <c r="BY4815" s="215">
        <f t="shared" si="167"/>
        <v>0</v>
      </c>
    </row>
    <row r="4816" spans="76:77" x14ac:dyDescent="0.2">
      <c r="BX4816" s="214" t="e">
        <f t="shared" si="166"/>
        <v>#DIV/0!</v>
      </c>
      <c r="BY4816" s="215">
        <f t="shared" si="167"/>
        <v>0</v>
      </c>
    </row>
    <row r="4817" spans="76:77" x14ac:dyDescent="0.2">
      <c r="BX4817" s="214" t="e">
        <f t="shared" si="166"/>
        <v>#DIV/0!</v>
      </c>
      <c r="BY4817" s="215">
        <f t="shared" si="167"/>
        <v>0</v>
      </c>
    </row>
    <row r="4818" spans="76:77" x14ac:dyDescent="0.2">
      <c r="BX4818" s="214" t="e">
        <f t="shared" si="166"/>
        <v>#DIV/0!</v>
      </c>
      <c r="BY4818" s="215">
        <f t="shared" si="167"/>
        <v>0</v>
      </c>
    </row>
    <row r="4819" spans="76:77" x14ac:dyDescent="0.2">
      <c r="BX4819" s="214" t="e">
        <f t="shared" si="166"/>
        <v>#DIV/0!</v>
      </c>
      <c r="BY4819" s="215">
        <f t="shared" si="167"/>
        <v>0</v>
      </c>
    </row>
    <row r="4820" spans="76:77" x14ac:dyDescent="0.2">
      <c r="BX4820" s="214" t="e">
        <f t="shared" si="166"/>
        <v>#DIV/0!</v>
      </c>
      <c r="BY4820" s="215">
        <f t="shared" si="167"/>
        <v>0</v>
      </c>
    </row>
    <row r="4821" spans="76:77" x14ac:dyDescent="0.2">
      <c r="BX4821" s="214" t="e">
        <f t="shared" si="166"/>
        <v>#DIV/0!</v>
      </c>
      <c r="BY4821" s="215">
        <f t="shared" si="167"/>
        <v>0</v>
      </c>
    </row>
    <row r="4822" spans="76:77" x14ac:dyDescent="0.2">
      <c r="BX4822" s="214" t="e">
        <f t="shared" si="166"/>
        <v>#DIV/0!</v>
      </c>
      <c r="BY4822" s="215">
        <f t="shared" si="167"/>
        <v>0</v>
      </c>
    </row>
    <row r="4823" spans="76:77" x14ac:dyDescent="0.2">
      <c r="BX4823" s="214" t="e">
        <f t="shared" si="166"/>
        <v>#DIV/0!</v>
      </c>
      <c r="BY4823" s="215">
        <f t="shared" si="167"/>
        <v>0</v>
      </c>
    </row>
    <row r="4824" spans="76:77" x14ac:dyDescent="0.2">
      <c r="BX4824" s="214" t="e">
        <f t="shared" si="166"/>
        <v>#DIV/0!</v>
      </c>
      <c r="BY4824" s="215">
        <f t="shared" si="167"/>
        <v>0</v>
      </c>
    </row>
    <row r="4825" spans="76:77" x14ac:dyDescent="0.2">
      <c r="BX4825" s="214" t="e">
        <f t="shared" si="166"/>
        <v>#DIV/0!</v>
      </c>
      <c r="BY4825" s="215">
        <f t="shared" si="167"/>
        <v>0</v>
      </c>
    </row>
    <row r="4826" spans="76:77" x14ac:dyDescent="0.2">
      <c r="BX4826" s="214" t="e">
        <f t="shared" si="166"/>
        <v>#DIV/0!</v>
      </c>
      <c r="BY4826" s="215">
        <f t="shared" si="167"/>
        <v>0</v>
      </c>
    </row>
    <row r="4827" spans="76:77" x14ac:dyDescent="0.2">
      <c r="BX4827" s="214" t="e">
        <f t="shared" si="166"/>
        <v>#DIV/0!</v>
      </c>
      <c r="BY4827" s="215">
        <f t="shared" si="167"/>
        <v>0</v>
      </c>
    </row>
    <row r="4828" spans="76:77" x14ac:dyDescent="0.2">
      <c r="BX4828" s="214" t="e">
        <f t="shared" si="166"/>
        <v>#DIV/0!</v>
      </c>
      <c r="BY4828" s="215">
        <f t="shared" si="167"/>
        <v>0</v>
      </c>
    </row>
    <row r="4829" spans="76:77" x14ac:dyDescent="0.2">
      <c r="BX4829" s="214" t="e">
        <f t="shared" si="166"/>
        <v>#DIV/0!</v>
      </c>
      <c r="BY4829" s="215">
        <f t="shared" si="167"/>
        <v>0</v>
      </c>
    </row>
    <row r="4830" spans="76:77" x14ac:dyDescent="0.2">
      <c r="BX4830" s="214" t="e">
        <f t="shared" si="166"/>
        <v>#DIV/0!</v>
      </c>
      <c r="BY4830" s="215">
        <f t="shared" si="167"/>
        <v>0</v>
      </c>
    </row>
    <row r="4831" spans="76:77" x14ac:dyDescent="0.2">
      <c r="BX4831" s="214" t="e">
        <f t="shared" si="166"/>
        <v>#DIV/0!</v>
      </c>
      <c r="BY4831" s="215">
        <f t="shared" si="167"/>
        <v>0</v>
      </c>
    </row>
    <row r="4832" spans="76:77" x14ac:dyDescent="0.2">
      <c r="BX4832" s="214" t="e">
        <f t="shared" si="166"/>
        <v>#DIV/0!</v>
      </c>
      <c r="BY4832" s="215">
        <f t="shared" si="167"/>
        <v>0</v>
      </c>
    </row>
    <row r="4833" spans="76:77" x14ac:dyDescent="0.2">
      <c r="BX4833" s="214" t="e">
        <f t="shared" si="166"/>
        <v>#DIV/0!</v>
      </c>
      <c r="BY4833" s="215">
        <f t="shared" si="167"/>
        <v>0</v>
      </c>
    </row>
    <row r="4834" spans="76:77" x14ac:dyDescent="0.2">
      <c r="BX4834" s="214" t="e">
        <f t="shared" si="166"/>
        <v>#DIV/0!</v>
      </c>
      <c r="BY4834" s="215">
        <f t="shared" si="167"/>
        <v>0</v>
      </c>
    </row>
    <row r="4835" spans="76:77" x14ac:dyDescent="0.2">
      <c r="BX4835" s="214" t="e">
        <f t="shared" si="166"/>
        <v>#DIV/0!</v>
      </c>
      <c r="BY4835" s="215">
        <f t="shared" si="167"/>
        <v>0</v>
      </c>
    </row>
    <row r="4836" spans="76:77" x14ac:dyDescent="0.2">
      <c r="BX4836" s="214" t="e">
        <f t="shared" si="166"/>
        <v>#DIV/0!</v>
      </c>
      <c r="BY4836" s="215">
        <f t="shared" si="167"/>
        <v>0</v>
      </c>
    </row>
    <row r="4837" spans="76:77" x14ac:dyDescent="0.2">
      <c r="BX4837" s="214" t="e">
        <f t="shared" si="166"/>
        <v>#DIV/0!</v>
      </c>
      <c r="BY4837" s="215">
        <f t="shared" si="167"/>
        <v>0</v>
      </c>
    </row>
    <row r="4838" spans="76:77" x14ac:dyDescent="0.2">
      <c r="BX4838" s="214" t="e">
        <f t="shared" si="166"/>
        <v>#DIV/0!</v>
      </c>
      <c r="BY4838" s="215">
        <f t="shared" si="167"/>
        <v>0</v>
      </c>
    </row>
    <row r="4839" spans="76:77" x14ac:dyDescent="0.2">
      <c r="BX4839" s="214" t="e">
        <f t="shared" si="166"/>
        <v>#DIV/0!</v>
      </c>
      <c r="BY4839" s="215">
        <f t="shared" si="167"/>
        <v>0</v>
      </c>
    </row>
    <row r="4840" spans="76:77" x14ac:dyDescent="0.2">
      <c r="BX4840" s="214" t="e">
        <f t="shared" si="166"/>
        <v>#DIV/0!</v>
      </c>
      <c r="BY4840" s="215">
        <f t="shared" si="167"/>
        <v>0</v>
      </c>
    </row>
    <row r="4841" spans="76:77" x14ac:dyDescent="0.2">
      <c r="BX4841" s="214" t="e">
        <f t="shared" si="166"/>
        <v>#DIV/0!</v>
      </c>
      <c r="BY4841" s="215">
        <f t="shared" si="167"/>
        <v>0</v>
      </c>
    </row>
    <row r="4842" spans="76:77" x14ac:dyDescent="0.2">
      <c r="BX4842" s="214" t="e">
        <f t="shared" si="166"/>
        <v>#DIV/0!</v>
      </c>
      <c r="BY4842" s="215">
        <f t="shared" si="167"/>
        <v>0</v>
      </c>
    </row>
    <row r="4843" spans="76:77" x14ac:dyDescent="0.2">
      <c r="BX4843" s="214" t="e">
        <f t="shared" si="166"/>
        <v>#DIV/0!</v>
      </c>
      <c r="BY4843" s="215">
        <f t="shared" si="167"/>
        <v>0</v>
      </c>
    </row>
    <row r="4844" spans="76:77" x14ac:dyDescent="0.2">
      <c r="BX4844" s="214" t="e">
        <f t="shared" si="166"/>
        <v>#DIV/0!</v>
      </c>
      <c r="BY4844" s="215">
        <f t="shared" si="167"/>
        <v>0</v>
      </c>
    </row>
    <row r="4845" spans="76:77" x14ac:dyDescent="0.2">
      <c r="BX4845" s="214" t="e">
        <f t="shared" si="166"/>
        <v>#DIV/0!</v>
      </c>
      <c r="BY4845" s="215">
        <f t="shared" si="167"/>
        <v>0</v>
      </c>
    </row>
    <row r="4846" spans="76:77" x14ac:dyDescent="0.2">
      <c r="BX4846" s="214" t="e">
        <f t="shared" si="166"/>
        <v>#DIV/0!</v>
      </c>
      <c r="BY4846" s="215">
        <f t="shared" si="167"/>
        <v>0</v>
      </c>
    </row>
    <row r="4847" spans="76:77" x14ac:dyDescent="0.2">
      <c r="BX4847" s="214" t="e">
        <f t="shared" si="166"/>
        <v>#DIV/0!</v>
      </c>
      <c r="BY4847" s="215">
        <f t="shared" si="167"/>
        <v>0</v>
      </c>
    </row>
    <row r="4848" spans="76:77" x14ac:dyDescent="0.2">
      <c r="BX4848" s="214" t="e">
        <f t="shared" si="166"/>
        <v>#DIV/0!</v>
      </c>
      <c r="BY4848" s="215">
        <f t="shared" si="167"/>
        <v>0</v>
      </c>
    </row>
    <row r="4849" spans="76:77" x14ac:dyDescent="0.2">
      <c r="BX4849" s="214" t="e">
        <f t="shared" si="166"/>
        <v>#DIV/0!</v>
      </c>
      <c r="BY4849" s="215">
        <f t="shared" si="167"/>
        <v>0</v>
      </c>
    </row>
    <row r="4850" spans="76:77" x14ac:dyDescent="0.2">
      <c r="BX4850" s="214" t="e">
        <f t="shared" si="166"/>
        <v>#DIV/0!</v>
      </c>
      <c r="BY4850" s="215">
        <f t="shared" si="167"/>
        <v>0</v>
      </c>
    </row>
    <row r="4851" spans="76:77" x14ac:dyDescent="0.2">
      <c r="BX4851" s="214" t="e">
        <f t="shared" si="166"/>
        <v>#DIV/0!</v>
      </c>
      <c r="BY4851" s="215">
        <f t="shared" si="167"/>
        <v>0</v>
      </c>
    </row>
    <row r="4852" spans="76:77" x14ac:dyDescent="0.2">
      <c r="BX4852" s="214" t="e">
        <f t="shared" si="166"/>
        <v>#DIV/0!</v>
      </c>
      <c r="BY4852" s="215">
        <f t="shared" si="167"/>
        <v>0</v>
      </c>
    </row>
    <row r="4853" spans="76:77" x14ac:dyDescent="0.2">
      <c r="BX4853" s="214" t="e">
        <f t="shared" si="166"/>
        <v>#DIV/0!</v>
      </c>
      <c r="BY4853" s="215">
        <f t="shared" si="167"/>
        <v>0</v>
      </c>
    </row>
    <row r="4854" spans="76:77" x14ac:dyDescent="0.2">
      <c r="BX4854" s="214" t="e">
        <f t="shared" si="166"/>
        <v>#DIV/0!</v>
      </c>
      <c r="BY4854" s="215">
        <f t="shared" si="167"/>
        <v>0</v>
      </c>
    </row>
    <row r="4855" spans="76:77" x14ac:dyDescent="0.2">
      <c r="BX4855" s="214" t="e">
        <f t="shared" si="166"/>
        <v>#DIV/0!</v>
      </c>
      <c r="BY4855" s="215">
        <f t="shared" si="167"/>
        <v>0</v>
      </c>
    </row>
    <row r="4856" spans="76:77" x14ac:dyDescent="0.2">
      <c r="BX4856" s="214" t="e">
        <f t="shared" si="166"/>
        <v>#DIV/0!</v>
      </c>
      <c r="BY4856" s="215">
        <f t="shared" si="167"/>
        <v>0</v>
      </c>
    </row>
    <row r="4857" spans="76:77" x14ac:dyDescent="0.2">
      <c r="BX4857" s="214" t="e">
        <f t="shared" si="166"/>
        <v>#DIV/0!</v>
      </c>
      <c r="BY4857" s="215">
        <f t="shared" si="167"/>
        <v>0</v>
      </c>
    </row>
    <row r="4858" spans="76:77" x14ac:dyDescent="0.2">
      <c r="BX4858" s="214" t="e">
        <f t="shared" si="166"/>
        <v>#DIV/0!</v>
      </c>
      <c r="BY4858" s="215">
        <f t="shared" si="167"/>
        <v>0</v>
      </c>
    </row>
    <row r="4859" spans="76:77" x14ac:dyDescent="0.2">
      <c r="BX4859" s="214" t="e">
        <f t="shared" si="166"/>
        <v>#DIV/0!</v>
      </c>
      <c r="BY4859" s="215">
        <f t="shared" si="167"/>
        <v>0</v>
      </c>
    </row>
    <row r="4860" spans="76:77" x14ac:dyDescent="0.2">
      <c r="BX4860" s="214" t="e">
        <f t="shared" si="166"/>
        <v>#DIV/0!</v>
      </c>
      <c r="BY4860" s="215">
        <f t="shared" si="167"/>
        <v>0</v>
      </c>
    </row>
    <row r="4861" spans="76:77" x14ac:dyDescent="0.2">
      <c r="BX4861" s="214" t="e">
        <f t="shared" si="166"/>
        <v>#DIV/0!</v>
      </c>
      <c r="BY4861" s="215">
        <f t="shared" si="167"/>
        <v>0</v>
      </c>
    </row>
    <row r="4862" spans="76:77" x14ac:dyDescent="0.2">
      <c r="BX4862" s="214" t="e">
        <f t="shared" si="166"/>
        <v>#DIV/0!</v>
      </c>
      <c r="BY4862" s="215">
        <f t="shared" si="167"/>
        <v>0</v>
      </c>
    </row>
    <row r="4863" spans="76:77" x14ac:dyDescent="0.2">
      <c r="BX4863" s="214" t="e">
        <f t="shared" si="166"/>
        <v>#DIV/0!</v>
      </c>
      <c r="BY4863" s="215">
        <f t="shared" si="167"/>
        <v>0</v>
      </c>
    </row>
    <row r="4864" spans="76:77" x14ac:dyDescent="0.2">
      <c r="BX4864" s="214" t="e">
        <f t="shared" si="166"/>
        <v>#DIV/0!</v>
      </c>
      <c r="BY4864" s="215">
        <f t="shared" si="167"/>
        <v>0</v>
      </c>
    </row>
    <row r="4865" spans="76:77" x14ac:dyDescent="0.2">
      <c r="BX4865" s="214" t="e">
        <f t="shared" si="166"/>
        <v>#DIV/0!</v>
      </c>
      <c r="BY4865" s="215">
        <f t="shared" si="167"/>
        <v>0</v>
      </c>
    </row>
    <row r="4866" spans="76:77" x14ac:dyDescent="0.2">
      <c r="BX4866" s="214" t="e">
        <f t="shared" si="166"/>
        <v>#DIV/0!</v>
      </c>
      <c r="BY4866" s="215">
        <f t="shared" si="167"/>
        <v>0</v>
      </c>
    </row>
    <row r="4867" spans="76:77" x14ac:dyDescent="0.2">
      <c r="BX4867" s="214" t="e">
        <f t="shared" si="166"/>
        <v>#DIV/0!</v>
      </c>
      <c r="BY4867" s="215">
        <f t="shared" si="167"/>
        <v>0</v>
      </c>
    </row>
    <row r="4868" spans="76:77" x14ac:dyDescent="0.2">
      <c r="BX4868" s="214" t="e">
        <f t="shared" si="166"/>
        <v>#DIV/0!</v>
      </c>
      <c r="BY4868" s="215">
        <f t="shared" si="167"/>
        <v>0</v>
      </c>
    </row>
    <row r="4869" spans="76:77" x14ac:dyDescent="0.2">
      <c r="BX4869" s="214" t="e">
        <f t="shared" si="166"/>
        <v>#DIV/0!</v>
      </c>
      <c r="BY4869" s="215">
        <f t="shared" si="167"/>
        <v>0</v>
      </c>
    </row>
    <row r="4870" spans="76:77" x14ac:dyDescent="0.2">
      <c r="BX4870" s="214" t="e">
        <f t="shared" si="166"/>
        <v>#DIV/0!</v>
      </c>
      <c r="BY4870" s="215">
        <f t="shared" si="167"/>
        <v>0</v>
      </c>
    </row>
    <row r="4871" spans="76:77" x14ac:dyDescent="0.2">
      <c r="BX4871" s="214" t="e">
        <f t="shared" si="166"/>
        <v>#DIV/0!</v>
      </c>
      <c r="BY4871" s="215">
        <f t="shared" si="167"/>
        <v>0</v>
      </c>
    </row>
    <row r="4872" spans="76:77" x14ac:dyDescent="0.2">
      <c r="BX4872" s="214" t="e">
        <f t="shared" si="166"/>
        <v>#DIV/0!</v>
      </c>
      <c r="BY4872" s="215">
        <f t="shared" si="167"/>
        <v>0</v>
      </c>
    </row>
    <row r="4873" spans="76:77" x14ac:dyDescent="0.2">
      <c r="BX4873" s="214" t="e">
        <f t="shared" si="166"/>
        <v>#DIV/0!</v>
      </c>
      <c r="BY4873" s="215">
        <f t="shared" si="167"/>
        <v>0</v>
      </c>
    </row>
    <row r="4874" spans="76:77" x14ac:dyDescent="0.2">
      <c r="BX4874" s="214" t="e">
        <f t="shared" si="166"/>
        <v>#DIV/0!</v>
      </c>
      <c r="BY4874" s="215">
        <f t="shared" si="167"/>
        <v>0</v>
      </c>
    </row>
    <row r="4875" spans="76:77" x14ac:dyDescent="0.2">
      <c r="BX4875" s="214" t="e">
        <f t="shared" si="166"/>
        <v>#DIV/0!</v>
      </c>
      <c r="BY4875" s="215">
        <f t="shared" si="167"/>
        <v>0</v>
      </c>
    </row>
    <row r="4876" spans="76:77" x14ac:dyDescent="0.2">
      <c r="BX4876" s="214" t="e">
        <f t="shared" si="166"/>
        <v>#DIV/0!</v>
      </c>
      <c r="BY4876" s="215">
        <f t="shared" si="167"/>
        <v>0</v>
      </c>
    </row>
    <row r="4877" spans="76:77" x14ac:dyDescent="0.2">
      <c r="BX4877" s="214" t="e">
        <f t="shared" ref="BX4877:BX4940" si="168">BY4877/BV4877</f>
        <v>#DIV/0!</v>
      </c>
      <c r="BY4877" s="215">
        <f t="shared" si="167"/>
        <v>0</v>
      </c>
    </row>
    <row r="4878" spans="76:77" x14ac:dyDescent="0.2">
      <c r="BX4878" s="214" t="e">
        <f t="shared" si="168"/>
        <v>#DIV/0!</v>
      </c>
      <c r="BY4878" s="215">
        <f t="shared" ref="BY4878:BY4941" si="169">BY4877+BW4878*(BV4878-BV4877)</f>
        <v>0</v>
      </c>
    </row>
    <row r="4879" spans="76:77" x14ac:dyDescent="0.2">
      <c r="BX4879" s="214" t="e">
        <f t="shared" si="168"/>
        <v>#DIV/0!</v>
      </c>
      <c r="BY4879" s="215">
        <f t="shared" si="169"/>
        <v>0</v>
      </c>
    </row>
    <row r="4880" spans="76:77" x14ac:dyDescent="0.2">
      <c r="BX4880" s="214" t="e">
        <f t="shared" si="168"/>
        <v>#DIV/0!</v>
      </c>
      <c r="BY4880" s="215">
        <f t="shared" si="169"/>
        <v>0</v>
      </c>
    </row>
    <row r="4881" spans="76:77" x14ac:dyDescent="0.2">
      <c r="BX4881" s="214" t="e">
        <f t="shared" si="168"/>
        <v>#DIV/0!</v>
      </c>
      <c r="BY4881" s="215">
        <f t="shared" si="169"/>
        <v>0</v>
      </c>
    </row>
    <row r="4882" spans="76:77" x14ac:dyDescent="0.2">
      <c r="BX4882" s="214" t="e">
        <f t="shared" si="168"/>
        <v>#DIV/0!</v>
      </c>
      <c r="BY4882" s="215">
        <f t="shared" si="169"/>
        <v>0</v>
      </c>
    </row>
    <row r="4883" spans="76:77" x14ac:dyDescent="0.2">
      <c r="BX4883" s="214" t="e">
        <f t="shared" si="168"/>
        <v>#DIV/0!</v>
      </c>
      <c r="BY4883" s="215">
        <f t="shared" si="169"/>
        <v>0</v>
      </c>
    </row>
    <row r="4884" spans="76:77" x14ac:dyDescent="0.2">
      <c r="BX4884" s="214" t="e">
        <f t="shared" si="168"/>
        <v>#DIV/0!</v>
      </c>
      <c r="BY4884" s="215">
        <f t="shared" si="169"/>
        <v>0</v>
      </c>
    </row>
    <row r="4885" spans="76:77" x14ac:dyDescent="0.2">
      <c r="BX4885" s="214" t="e">
        <f t="shared" si="168"/>
        <v>#DIV/0!</v>
      </c>
      <c r="BY4885" s="215">
        <f t="shared" si="169"/>
        <v>0</v>
      </c>
    </row>
    <row r="4886" spans="76:77" x14ac:dyDescent="0.2">
      <c r="BX4886" s="214" t="e">
        <f t="shared" si="168"/>
        <v>#DIV/0!</v>
      </c>
      <c r="BY4886" s="215">
        <f t="shared" si="169"/>
        <v>0</v>
      </c>
    </row>
    <row r="4887" spans="76:77" x14ac:dyDescent="0.2">
      <c r="BX4887" s="214" t="e">
        <f t="shared" si="168"/>
        <v>#DIV/0!</v>
      </c>
      <c r="BY4887" s="215">
        <f t="shared" si="169"/>
        <v>0</v>
      </c>
    </row>
    <row r="4888" spans="76:77" x14ac:dyDescent="0.2">
      <c r="BX4888" s="214" t="e">
        <f t="shared" si="168"/>
        <v>#DIV/0!</v>
      </c>
      <c r="BY4888" s="215">
        <f t="shared" si="169"/>
        <v>0</v>
      </c>
    </row>
    <row r="4889" spans="76:77" x14ac:dyDescent="0.2">
      <c r="BX4889" s="214" t="e">
        <f t="shared" si="168"/>
        <v>#DIV/0!</v>
      </c>
      <c r="BY4889" s="215">
        <f t="shared" si="169"/>
        <v>0</v>
      </c>
    </row>
    <row r="4890" spans="76:77" x14ac:dyDescent="0.2">
      <c r="BX4890" s="214" t="e">
        <f t="shared" si="168"/>
        <v>#DIV/0!</v>
      </c>
      <c r="BY4890" s="215">
        <f t="shared" si="169"/>
        <v>0</v>
      </c>
    </row>
    <row r="4891" spans="76:77" x14ac:dyDescent="0.2">
      <c r="BX4891" s="214" t="e">
        <f t="shared" si="168"/>
        <v>#DIV/0!</v>
      </c>
      <c r="BY4891" s="215">
        <f t="shared" si="169"/>
        <v>0</v>
      </c>
    </row>
    <row r="4892" spans="76:77" x14ac:dyDescent="0.2">
      <c r="BX4892" s="214" t="e">
        <f t="shared" si="168"/>
        <v>#DIV/0!</v>
      </c>
      <c r="BY4892" s="215">
        <f t="shared" si="169"/>
        <v>0</v>
      </c>
    </row>
    <row r="4893" spans="76:77" x14ac:dyDescent="0.2">
      <c r="BX4893" s="214" t="e">
        <f t="shared" si="168"/>
        <v>#DIV/0!</v>
      </c>
      <c r="BY4893" s="215">
        <f t="shared" si="169"/>
        <v>0</v>
      </c>
    </row>
    <row r="4894" spans="76:77" x14ac:dyDescent="0.2">
      <c r="BX4894" s="214" t="e">
        <f t="shared" si="168"/>
        <v>#DIV/0!</v>
      </c>
      <c r="BY4894" s="215">
        <f t="shared" si="169"/>
        <v>0</v>
      </c>
    </row>
    <row r="4895" spans="76:77" x14ac:dyDescent="0.2">
      <c r="BX4895" s="214" t="e">
        <f t="shared" si="168"/>
        <v>#DIV/0!</v>
      </c>
      <c r="BY4895" s="215">
        <f t="shared" si="169"/>
        <v>0</v>
      </c>
    </row>
    <row r="4896" spans="76:77" x14ac:dyDescent="0.2">
      <c r="BX4896" s="214" t="e">
        <f t="shared" si="168"/>
        <v>#DIV/0!</v>
      </c>
      <c r="BY4896" s="215">
        <f t="shared" si="169"/>
        <v>0</v>
      </c>
    </row>
    <row r="4897" spans="76:77" x14ac:dyDescent="0.2">
      <c r="BX4897" s="214" t="e">
        <f t="shared" si="168"/>
        <v>#DIV/0!</v>
      </c>
      <c r="BY4897" s="215">
        <f t="shared" si="169"/>
        <v>0</v>
      </c>
    </row>
    <row r="4898" spans="76:77" x14ac:dyDescent="0.2">
      <c r="BX4898" s="214" t="e">
        <f t="shared" si="168"/>
        <v>#DIV/0!</v>
      </c>
      <c r="BY4898" s="215">
        <f t="shared" si="169"/>
        <v>0</v>
      </c>
    </row>
    <row r="4899" spans="76:77" x14ac:dyDescent="0.2">
      <c r="BX4899" s="214" t="e">
        <f t="shared" si="168"/>
        <v>#DIV/0!</v>
      </c>
      <c r="BY4899" s="215">
        <f t="shared" si="169"/>
        <v>0</v>
      </c>
    </row>
    <row r="4900" spans="76:77" x14ac:dyDescent="0.2">
      <c r="BX4900" s="214" t="e">
        <f t="shared" si="168"/>
        <v>#DIV/0!</v>
      </c>
      <c r="BY4900" s="215">
        <f t="shared" si="169"/>
        <v>0</v>
      </c>
    </row>
    <row r="4901" spans="76:77" x14ac:dyDescent="0.2">
      <c r="BX4901" s="214" t="e">
        <f t="shared" si="168"/>
        <v>#DIV/0!</v>
      </c>
      <c r="BY4901" s="215">
        <f t="shared" si="169"/>
        <v>0</v>
      </c>
    </row>
    <row r="4902" spans="76:77" x14ac:dyDescent="0.2">
      <c r="BX4902" s="214" t="e">
        <f t="shared" si="168"/>
        <v>#DIV/0!</v>
      </c>
      <c r="BY4902" s="215">
        <f t="shared" si="169"/>
        <v>0</v>
      </c>
    </row>
    <row r="4903" spans="76:77" x14ac:dyDescent="0.2">
      <c r="BX4903" s="214" t="e">
        <f t="shared" si="168"/>
        <v>#DIV/0!</v>
      </c>
      <c r="BY4903" s="215">
        <f t="shared" si="169"/>
        <v>0</v>
      </c>
    </row>
    <row r="4904" spans="76:77" x14ac:dyDescent="0.2">
      <c r="BX4904" s="214" t="e">
        <f t="shared" si="168"/>
        <v>#DIV/0!</v>
      </c>
      <c r="BY4904" s="215">
        <f t="shared" si="169"/>
        <v>0</v>
      </c>
    </row>
    <row r="4905" spans="76:77" x14ac:dyDescent="0.2">
      <c r="BX4905" s="214" t="e">
        <f t="shared" si="168"/>
        <v>#DIV/0!</v>
      </c>
      <c r="BY4905" s="215">
        <f t="shared" si="169"/>
        <v>0</v>
      </c>
    </row>
    <row r="4906" spans="76:77" x14ac:dyDescent="0.2">
      <c r="BX4906" s="214" t="e">
        <f t="shared" si="168"/>
        <v>#DIV/0!</v>
      </c>
      <c r="BY4906" s="215">
        <f t="shared" si="169"/>
        <v>0</v>
      </c>
    </row>
    <row r="4907" spans="76:77" x14ac:dyDescent="0.2">
      <c r="BX4907" s="214" t="e">
        <f t="shared" si="168"/>
        <v>#DIV/0!</v>
      </c>
      <c r="BY4907" s="215">
        <f t="shared" si="169"/>
        <v>0</v>
      </c>
    </row>
    <row r="4908" spans="76:77" x14ac:dyDescent="0.2">
      <c r="BX4908" s="214" t="e">
        <f t="shared" si="168"/>
        <v>#DIV/0!</v>
      </c>
      <c r="BY4908" s="215">
        <f t="shared" si="169"/>
        <v>0</v>
      </c>
    </row>
    <row r="4909" spans="76:77" x14ac:dyDescent="0.2">
      <c r="BX4909" s="214" t="e">
        <f t="shared" si="168"/>
        <v>#DIV/0!</v>
      </c>
      <c r="BY4909" s="215">
        <f t="shared" si="169"/>
        <v>0</v>
      </c>
    </row>
    <row r="4910" spans="76:77" x14ac:dyDescent="0.2">
      <c r="BX4910" s="214" t="e">
        <f t="shared" si="168"/>
        <v>#DIV/0!</v>
      </c>
      <c r="BY4910" s="215">
        <f t="shared" si="169"/>
        <v>0</v>
      </c>
    </row>
    <row r="4911" spans="76:77" x14ac:dyDescent="0.2">
      <c r="BX4911" s="214" t="e">
        <f t="shared" si="168"/>
        <v>#DIV/0!</v>
      </c>
      <c r="BY4911" s="215">
        <f t="shared" si="169"/>
        <v>0</v>
      </c>
    </row>
    <row r="4912" spans="76:77" x14ac:dyDescent="0.2">
      <c r="BX4912" s="214" t="e">
        <f t="shared" si="168"/>
        <v>#DIV/0!</v>
      </c>
      <c r="BY4912" s="215">
        <f t="shared" si="169"/>
        <v>0</v>
      </c>
    </row>
    <row r="4913" spans="76:77" x14ac:dyDescent="0.2">
      <c r="BX4913" s="214" t="e">
        <f t="shared" si="168"/>
        <v>#DIV/0!</v>
      </c>
      <c r="BY4913" s="215">
        <f t="shared" si="169"/>
        <v>0</v>
      </c>
    </row>
    <row r="4914" spans="76:77" x14ac:dyDescent="0.2">
      <c r="BX4914" s="214" t="e">
        <f t="shared" si="168"/>
        <v>#DIV/0!</v>
      </c>
      <c r="BY4914" s="215">
        <f t="shared" si="169"/>
        <v>0</v>
      </c>
    </row>
    <row r="4915" spans="76:77" x14ac:dyDescent="0.2">
      <c r="BX4915" s="214" t="e">
        <f t="shared" si="168"/>
        <v>#DIV/0!</v>
      </c>
      <c r="BY4915" s="215">
        <f t="shared" si="169"/>
        <v>0</v>
      </c>
    </row>
    <row r="4916" spans="76:77" x14ac:dyDescent="0.2">
      <c r="BX4916" s="214" t="e">
        <f t="shared" si="168"/>
        <v>#DIV/0!</v>
      </c>
      <c r="BY4916" s="215">
        <f t="shared" si="169"/>
        <v>0</v>
      </c>
    </row>
    <row r="4917" spans="76:77" x14ac:dyDescent="0.2">
      <c r="BX4917" s="214" t="e">
        <f t="shared" si="168"/>
        <v>#DIV/0!</v>
      </c>
      <c r="BY4917" s="215">
        <f t="shared" si="169"/>
        <v>0</v>
      </c>
    </row>
    <row r="4918" spans="76:77" x14ac:dyDescent="0.2">
      <c r="BX4918" s="214" t="e">
        <f t="shared" si="168"/>
        <v>#DIV/0!</v>
      </c>
      <c r="BY4918" s="215">
        <f t="shared" si="169"/>
        <v>0</v>
      </c>
    </row>
    <row r="4919" spans="76:77" x14ac:dyDescent="0.2">
      <c r="BX4919" s="214" t="e">
        <f t="shared" si="168"/>
        <v>#DIV/0!</v>
      </c>
      <c r="BY4919" s="215">
        <f t="shared" si="169"/>
        <v>0</v>
      </c>
    </row>
    <row r="4920" spans="76:77" x14ac:dyDescent="0.2">
      <c r="BX4920" s="214" t="e">
        <f t="shared" si="168"/>
        <v>#DIV/0!</v>
      </c>
      <c r="BY4920" s="215">
        <f t="shared" si="169"/>
        <v>0</v>
      </c>
    </row>
    <row r="4921" spans="76:77" x14ac:dyDescent="0.2">
      <c r="BX4921" s="214" t="e">
        <f t="shared" si="168"/>
        <v>#DIV/0!</v>
      </c>
      <c r="BY4921" s="215">
        <f t="shared" si="169"/>
        <v>0</v>
      </c>
    </row>
    <row r="4922" spans="76:77" x14ac:dyDescent="0.2">
      <c r="BX4922" s="214" t="e">
        <f t="shared" si="168"/>
        <v>#DIV/0!</v>
      </c>
      <c r="BY4922" s="215">
        <f t="shared" si="169"/>
        <v>0</v>
      </c>
    </row>
    <row r="4923" spans="76:77" x14ac:dyDescent="0.2">
      <c r="BX4923" s="214" t="e">
        <f t="shared" si="168"/>
        <v>#DIV/0!</v>
      </c>
      <c r="BY4923" s="215">
        <f t="shared" si="169"/>
        <v>0</v>
      </c>
    </row>
    <row r="4924" spans="76:77" x14ac:dyDescent="0.2">
      <c r="BX4924" s="214" t="e">
        <f t="shared" si="168"/>
        <v>#DIV/0!</v>
      </c>
      <c r="BY4924" s="215">
        <f t="shared" si="169"/>
        <v>0</v>
      </c>
    </row>
    <row r="4925" spans="76:77" x14ac:dyDescent="0.2">
      <c r="BX4925" s="214" t="e">
        <f t="shared" si="168"/>
        <v>#DIV/0!</v>
      </c>
      <c r="BY4925" s="215">
        <f t="shared" si="169"/>
        <v>0</v>
      </c>
    </row>
    <row r="4926" spans="76:77" x14ac:dyDescent="0.2">
      <c r="BX4926" s="214" t="e">
        <f t="shared" si="168"/>
        <v>#DIV/0!</v>
      </c>
      <c r="BY4926" s="215">
        <f t="shared" si="169"/>
        <v>0</v>
      </c>
    </row>
    <row r="4927" spans="76:77" x14ac:dyDescent="0.2">
      <c r="BX4927" s="214" t="e">
        <f t="shared" si="168"/>
        <v>#DIV/0!</v>
      </c>
      <c r="BY4927" s="215">
        <f t="shared" si="169"/>
        <v>0</v>
      </c>
    </row>
    <row r="4928" spans="76:77" x14ac:dyDescent="0.2">
      <c r="BX4928" s="214" t="e">
        <f t="shared" si="168"/>
        <v>#DIV/0!</v>
      </c>
      <c r="BY4928" s="215">
        <f t="shared" si="169"/>
        <v>0</v>
      </c>
    </row>
    <row r="4929" spans="76:77" x14ac:dyDescent="0.2">
      <c r="BX4929" s="214" t="e">
        <f t="shared" si="168"/>
        <v>#DIV/0!</v>
      </c>
      <c r="BY4929" s="215">
        <f t="shared" si="169"/>
        <v>0</v>
      </c>
    </row>
    <row r="4930" spans="76:77" x14ac:dyDescent="0.2">
      <c r="BX4930" s="214" t="e">
        <f t="shared" si="168"/>
        <v>#DIV/0!</v>
      </c>
      <c r="BY4930" s="215">
        <f t="shared" si="169"/>
        <v>0</v>
      </c>
    </row>
    <row r="4931" spans="76:77" x14ac:dyDescent="0.2">
      <c r="BX4931" s="214" t="e">
        <f t="shared" si="168"/>
        <v>#DIV/0!</v>
      </c>
      <c r="BY4931" s="215">
        <f t="shared" si="169"/>
        <v>0</v>
      </c>
    </row>
    <row r="4932" spans="76:77" x14ac:dyDescent="0.2">
      <c r="BX4932" s="214" t="e">
        <f t="shared" si="168"/>
        <v>#DIV/0!</v>
      </c>
      <c r="BY4932" s="215">
        <f t="shared" si="169"/>
        <v>0</v>
      </c>
    </row>
    <row r="4933" spans="76:77" x14ac:dyDescent="0.2">
      <c r="BX4933" s="214" t="e">
        <f t="shared" si="168"/>
        <v>#DIV/0!</v>
      </c>
      <c r="BY4933" s="215">
        <f t="shared" si="169"/>
        <v>0</v>
      </c>
    </row>
    <row r="4934" spans="76:77" x14ac:dyDescent="0.2">
      <c r="BX4934" s="214" t="e">
        <f t="shared" si="168"/>
        <v>#DIV/0!</v>
      </c>
      <c r="BY4934" s="215">
        <f t="shared" si="169"/>
        <v>0</v>
      </c>
    </row>
    <row r="4935" spans="76:77" x14ac:dyDescent="0.2">
      <c r="BX4935" s="214" t="e">
        <f t="shared" si="168"/>
        <v>#DIV/0!</v>
      </c>
      <c r="BY4935" s="215">
        <f t="shared" si="169"/>
        <v>0</v>
      </c>
    </row>
    <row r="4936" spans="76:77" x14ac:dyDescent="0.2">
      <c r="BX4936" s="214" t="e">
        <f t="shared" si="168"/>
        <v>#DIV/0!</v>
      </c>
      <c r="BY4936" s="215">
        <f t="shared" si="169"/>
        <v>0</v>
      </c>
    </row>
    <row r="4937" spans="76:77" x14ac:dyDescent="0.2">
      <c r="BX4937" s="214" t="e">
        <f t="shared" si="168"/>
        <v>#DIV/0!</v>
      </c>
      <c r="BY4937" s="215">
        <f t="shared" si="169"/>
        <v>0</v>
      </c>
    </row>
    <row r="4938" spans="76:77" x14ac:dyDescent="0.2">
      <c r="BX4938" s="214" t="e">
        <f t="shared" si="168"/>
        <v>#DIV/0!</v>
      </c>
      <c r="BY4938" s="215">
        <f t="shared" si="169"/>
        <v>0</v>
      </c>
    </row>
    <row r="4939" spans="76:77" x14ac:dyDescent="0.2">
      <c r="BX4939" s="214" t="e">
        <f t="shared" si="168"/>
        <v>#DIV/0!</v>
      </c>
      <c r="BY4939" s="215">
        <f t="shared" si="169"/>
        <v>0</v>
      </c>
    </row>
    <row r="4940" spans="76:77" x14ac:dyDescent="0.2">
      <c r="BX4940" s="214" t="e">
        <f t="shared" si="168"/>
        <v>#DIV/0!</v>
      </c>
      <c r="BY4940" s="215">
        <f t="shared" si="169"/>
        <v>0</v>
      </c>
    </row>
    <row r="4941" spans="76:77" x14ac:dyDescent="0.2">
      <c r="BX4941" s="214" t="e">
        <f t="shared" ref="BX4941:BX5004" si="170">BY4941/BV4941</f>
        <v>#DIV/0!</v>
      </c>
      <c r="BY4941" s="215">
        <f t="shared" si="169"/>
        <v>0</v>
      </c>
    </row>
    <row r="4942" spans="76:77" x14ac:dyDescent="0.2">
      <c r="BX4942" s="214" t="e">
        <f t="shared" si="170"/>
        <v>#DIV/0!</v>
      </c>
      <c r="BY4942" s="215">
        <f t="shared" ref="BY4942:BY5005" si="171">BY4941+BW4942*(BV4942-BV4941)</f>
        <v>0</v>
      </c>
    </row>
    <row r="4943" spans="76:77" x14ac:dyDescent="0.2">
      <c r="BX4943" s="214" t="e">
        <f t="shared" si="170"/>
        <v>#DIV/0!</v>
      </c>
      <c r="BY4943" s="215">
        <f t="shared" si="171"/>
        <v>0</v>
      </c>
    </row>
    <row r="4944" spans="76:77" x14ac:dyDescent="0.2">
      <c r="BX4944" s="214" t="e">
        <f t="shared" si="170"/>
        <v>#DIV/0!</v>
      </c>
      <c r="BY4944" s="215">
        <f t="shared" si="171"/>
        <v>0</v>
      </c>
    </row>
    <row r="4945" spans="76:77" x14ac:dyDescent="0.2">
      <c r="BX4945" s="214" t="e">
        <f t="shared" si="170"/>
        <v>#DIV/0!</v>
      </c>
      <c r="BY4945" s="215">
        <f t="shared" si="171"/>
        <v>0</v>
      </c>
    </row>
    <row r="4946" spans="76:77" x14ac:dyDescent="0.2">
      <c r="BX4946" s="214" t="e">
        <f t="shared" si="170"/>
        <v>#DIV/0!</v>
      </c>
      <c r="BY4946" s="215">
        <f t="shared" si="171"/>
        <v>0</v>
      </c>
    </row>
    <row r="4947" spans="76:77" x14ac:dyDescent="0.2">
      <c r="BX4947" s="214" t="e">
        <f t="shared" si="170"/>
        <v>#DIV/0!</v>
      </c>
      <c r="BY4947" s="215">
        <f t="shared" si="171"/>
        <v>0</v>
      </c>
    </row>
    <row r="4948" spans="76:77" x14ac:dyDescent="0.2">
      <c r="BX4948" s="214" t="e">
        <f t="shared" si="170"/>
        <v>#DIV/0!</v>
      </c>
      <c r="BY4948" s="215">
        <f t="shared" si="171"/>
        <v>0</v>
      </c>
    </row>
    <row r="4949" spans="76:77" x14ac:dyDescent="0.2">
      <c r="BX4949" s="214" t="e">
        <f t="shared" si="170"/>
        <v>#DIV/0!</v>
      </c>
      <c r="BY4949" s="215">
        <f t="shared" si="171"/>
        <v>0</v>
      </c>
    </row>
    <row r="4950" spans="76:77" x14ac:dyDescent="0.2">
      <c r="BX4950" s="214" t="e">
        <f t="shared" si="170"/>
        <v>#DIV/0!</v>
      </c>
      <c r="BY4950" s="215">
        <f t="shared" si="171"/>
        <v>0</v>
      </c>
    </row>
    <row r="4951" spans="76:77" x14ac:dyDescent="0.2">
      <c r="BX4951" s="214" t="e">
        <f t="shared" si="170"/>
        <v>#DIV/0!</v>
      </c>
      <c r="BY4951" s="215">
        <f t="shared" si="171"/>
        <v>0</v>
      </c>
    </row>
    <row r="4952" spans="76:77" x14ac:dyDescent="0.2">
      <c r="BX4952" s="214" t="e">
        <f t="shared" si="170"/>
        <v>#DIV/0!</v>
      </c>
      <c r="BY4952" s="215">
        <f t="shared" si="171"/>
        <v>0</v>
      </c>
    </row>
    <row r="4953" spans="76:77" x14ac:dyDescent="0.2">
      <c r="BX4953" s="214" t="e">
        <f t="shared" si="170"/>
        <v>#DIV/0!</v>
      </c>
      <c r="BY4953" s="215">
        <f t="shared" si="171"/>
        <v>0</v>
      </c>
    </row>
    <row r="4954" spans="76:77" x14ac:dyDescent="0.2">
      <c r="BX4954" s="214" t="e">
        <f t="shared" si="170"/>
        <v>#DIV/0!</v>
      </c>
      <c r="BY4954" s="215">
        <f t="shared" si="171"/>
        <v>0</v>
      </c>
    </row>
    <row r="4955" spans="76:77" x14ac:dyDescent="0.2">
      <c r="BX4955" s="214" t="e">
        <f t="shared" si="170"/>
        <v>#DIV/0!</v>
      </c>
      <c r="BY4955" s="215">
        <f t="shared" si="171"/>
        <v>0</v>
      </c>
    </row>
    <row r="4956" spans="76:77" x14ac:dyDescent="0.2">
      <c r="BX4956" s="214" t="e">
        <f t="shared" si="170"/>
        <v>#DIV/0!</v>
      </c>
      <c r="BY4956" s="215">
        <f t="shared" si="171"/>
        <v>0</v>
      </c>
    </row>
    <row r="4957" spans="76:77" x14ac:dyDescent="0.2">
      <c r="BX4957" s="214" t="e">
        <f t="shared" si="170"/>
        <v>#DIV/0!</v>
      </c>
      <c r="BY4957" s="215">
        <f t="shared" si="171"/>
        <v>0</v>
      </c>
    </row>
    <row r="4958" spans="76:77" x14ac:dyDescent="0.2">
      <c r="BX4958" s="214" t="e">
        <f t="shared" si="170"/>
        <v>#DIV/0!</v>
      </c>
      <c r="BY4958" s="215">
        <f t="shared" si="171"/>
        <v>0</v>
      </c>
    </row>
    <row r="4959" spans="76:77" x14ac:dyDescent="0.2">
      <c r="BX4959" s="214" t="e">
        <f t="shared" si="170"/>
        <v>#DIV/0!</v>
      </c>
      <c r="BY4959" s="215">
        <f t="shared" si="171"/>
        <v>0</v>
      </c>
    </row>
    <row r="4960" spans="76:77" x14ac:dyDescent="0.2">
      <c r="BX4960" s="214" t="e">
        <f t="shared" si="170"/>
        <v>#DIV/0!</v>
      </c>
      <c r="BY4960" s="215">
        <f t="shared" si="171"/>
        <v>0</v>
      </c>
    </row>
    <row r="4961" spans="76:77" x14ac:dyDescent="0.2">
      <c r="BX4961" s="214" t="e">
        <f t="shared" si="170"/>
        <v>#DIV/0!</v>
      </c>
      <c r="BY4961" s="215">
        <f t="shared" si="171"/>
        <v>0</v>
      </c>
    </row>
    <row r="4962" spans="76:77" x14ac:dyDescent="0.2">
      <c r="BX4962" s="214" t="e">
        <f t="shared" si="170"/>
        <v>#DIV/0!</v>
      </c>
      <c r="BY4962" s="215">
        <f t="shared" si="171"/>
        <v>0</v>
      </c>
    </row>
    <row r="4963" spans="76:77" x14ac:dyDescent="0.2">
      <c r="BX4963" s="214" t="e">
        <f t="shared" si="170"/>
        <v>#DIV/0!</v>
      </c>
      <c r="BY4963" s="215">
        <f t="shared" si="171"/>
        <v>0</v>
      </c>
    </row>
    <row r="4964" spans="76:77" x14ac:dyDescent="0.2">
      <c r="BX4964" s="214" t="e">
        <f t="shared" si="170"/>
        <v>#DIV/0!</v>
      </c>
      <c r="BY4964" s="215">
        <f t="shared" si="171"/>
        <v>0</v>
      </c>
    </row>
    <row r="4965" spans="76:77" x14ac:dyDescent="0.2">
      <c r="BX4965" s="214" t="e">
        <f t="shared" si="170"/>
        <v>#DIV/0!</v>
      </c>
      <c r="BY4965" s="215">
        <f t="shared" si="171"/>
        <v>0</v>
      </c>
    </row>
    <row r="4966" spans="76:77" x14ac:dyDescent="0.2">
      <c r="BX4966" s="214" t="e">
        <f t="shared" si="170"/>
        <v>#DIV/0!</v>
      </c>
      <c r="BY4966" s="215">
        <f t="shared" si="171"/>
        <v>0</v>
      </c>
    </row>
    <row r="4967" spans="76:77" x14ac:dyDescent="0.2">
      <c r="BX4967" s="214" t="e">
        <f t="shared" si="170"/>
        <v>#DIV/0!</v>
      </c>
      <c r="BY4967" s="215">
        <f t="shared" si="171"/>
        <v>0</v>
      </c>
    </row>
    <row r="4968" spans="76:77" x14ac:dyDescent="0.2">
      <c r="BX4968" s="214" t="e">
        <f t="shared" si="170"/>
        <v>#DIV/0!</v>
      </c>
      <c r="BY4968" s="215">
        <f t="shared" si="171"/>
        <v>0</v>
      </c>
    </row>
    <row r="4969" spans="76:77" x14ac:dyDescent="0.2">
      <c r="BX4969" s="214" t="e">
        <f t="shared" si="170"/>
        <v>#DIV/0!</v>
      </c>
      <c r="BY4969" s="215">
        <f t="shared" si="171"/>
        <v>0</v>
      </c>
    </row>
    <row r="4970" spans="76:77" x14ac:dyDescent="0.2">
      <c r="BX4970" s="214" t="e">
        <f t="shared" si="170"/>
        <v>#DIV/0!</v>
      </c>
      <c r="BY4970" s="215">
        <f t="shared" si="171"/>
        <v>0</v>
      </c>
    </row>
    <row r="4971" spans="76:77" x14ac:dyDescent="0.2">
      <c r="BX4971" s="214" t="e">
        <f t="shared" si="170"/>
        <v>#DIV/0!</v>
      </c>
      <c r="BY4971" s="215">
        <f t="shared" si="171"/>
        <v>0</v>
      </c>
    </row>
    <row r="4972" spans="76:77" x14ac:dyDescent="0.2">
      <c r="BX4972" s="214" t="e">
        <f t="shared" si="170"/>
        <v>#DIV/0!</v>
      </c>
      <c r="BY4972" s="215">
        <f t="shared" si="171"/>
        <v>0</v>
      </c>
    </row>
    <row r="4973" spans="76:77" x14ac:dyDescent="0.2">
      <c r="BX4973" s="214" t="e">
        <f t="shared" si="170"/>
        <v>#DIV/0!</v>
      </c>
      <c r="BY4973" s="215">
        <f t="shared" si="171"/>
        <v>0</v>
      </c>
    </row>
    <row r="4974" spans="76:77" x14ac:dyDescent="0.2">
      <c r="BX4974" s="214" t="e">
        <f t="shared" si="170"/>
        <v>#DIV/0!</v>
      </c>
      <c r="BY4974" s="215">
        <f t="shared" si="171"/>
        <v>0</v>
      </c>
    </row>
    <row r="4975" spans="76:77" x14ac:dyDescent="0.2">
      <c r="BX4975" s="214" t="e">
        <f t="shared" si="170"/>
        <v>#DIV/0!</v>
      </c>
      <c r="BY4975" s="215">
        <f t="shared" si="171"/>
        <v>0</v>
      </c>
    </row>
    <row r="4976" spans="76:77" x14ac:dyDescent="0.2">
      <c r="BX4976" s="214" t="e">
        <f t="shared" si="170"/>
        <v>#DIV/0!</v>
      </c>
      <c r="BY4976" s="215">
        <f t="shared" si="171"/>
        <v>0</v>
      </c>
    </row>
    <row r="4977" spans="76:77" x14ac:dyDescent="0.2">
      <c r="BX4977" s="214" t="e">
        <f t="shared" si="170"/>
        <v>#DIV/0!</v>
      </c>
      <c r="BY4977" s="215">
        <f t="shared" si="171"/>
        <v>0</v>
      </c>
    </row>
    <row r="4978" spans="76:77" x14ac:dyDescent="0.2">
      <c r="BX4978" s="214" t="e">
        <f t="shared" si="170"/>
        <v>#DIV/0!</v>
      </c>
      <c r="BY4978" s="215">
        <f t="shared" si="171"/>
        <v>0</v>
      </c>
    </row>
    <row r="4979" spans="76:77" x14ac:dyDescent="0.2">
      <c r="BX4979" s="214" t="e">
        <f t="shared" si="170"/>
        <v>#DIV/0!</v>
      </c>
      <c r="BY4979" s="215">
        <f t="shared" si="171"/>
        <v>0</v>
      </c>
    </row>
    <row r="4980" spans="76:77" x14ac:dyDescent="0.2">
      <c r="BX4980" s="214" t="e">
        <f t="shared" si="170"/>
        <v>#DIV/0!</v>
      </c>
      <c r="BY4980" s="215">
        <f t="shared" si="171"/>
        <v>0</v>
      </c>
    </row>
    <row r="4981" spans="76:77" x14ac:dyDescent="0.2">
      <c r="BX4981" s="214" t="e">
        <f t="shared" si="170"/>
        <v>#DIV/0!</v>
      </c>
      <c r="BY4981" s="215">
        <f t="shared" si="171"/>
        <v>0</v>
      </c>
    </row>
    <row r="4982" spans="76:77" x14ac:dyDescent="0.2">
      <c r="BX4982" s="214" t="e">
        <f t="shared" si="170"/>
        <v>#DIV/0!</v>
      </c>
      <c r="BY4982" s="215">
        <f t="shared" si="171"/>
        <v>0</v>
      </c>
    </row>
    <row r="4983" spans="76:77" x14ac:dyDescent="0.2">
      <c r="BX4983" s="214" t="e">
        <f t="shared" si="170"/>
        <v>#DIV/0!</v>
      </c>
      <c r="BY4983" s="215">
        <f t="shared" si="171"/>
        <v>0</v>
      </c>
    </row>
    <row r="4984" spans="76:77" x14ac:dyDescent="0.2">
      <c r="BX4984" s="214" t="e">
        <f t="shared" si="170"/>
        <v>#DIV/0!</v>
      </c>
      <c r="BY4984" s="215">
        <f t="shared" si="171"/>
        <v>0</v>
      </c>
    </row>
    <row r="4985" spans="76:77" x14ac:dyDescent="0.2">
      <c r="BX4985" s="214" t="e">
        <f t="shared" si="170"/>
        <v>#DIV/0!</v>
      </c>
      <c r="BY4985" s="215">
        <f t="shared" si="171"/>
        <v>0</v>
      </c>
    </row>
    <row r="4986" spans="76:77" x14ac:dyDescent="0.2">
      <c r="BX4986" s="214" t="e">
        <f t="shared" si="170"/>
        <v>#DIV/0!</v>
      </c>
      <c r="BY4986" s="215">
        <f t="shared" si="171"/>
        <v>0</v>
      </c>
    </row>
    <row r="4987" spans="76:77" x14ac:dyDescent="0.2">
      <c r="BX4987" s="214" t="e">
        <f t="shared" si="170"/>
        <v>#DIV/0!</v>
      </c>
      <c r="BY4987" s="215">
        <f t="shared" si="171"/>
        <v>0</v>
      </c>
    </row>
    <row r="4988" spans="76:77" x14ac:dyDescent="0.2">
      <c r="BX4988" s="214" t="e">
        <f t="shared" si="170"/>
        <v>#DIV/0!</v>
      </c>
      <c r="BY4988" s="215">
        <f t="shared" si="171"/>
        <v>0</v>
      </c>
    </row>
    <row r="4989" spans="76:77" x14ac:dyDescent="0.2">
      <c r="BX4989" s="214" t="e">
        <f t="shared" si="170"/>
        <v>#DIV/0!</v>
      </c>
      <c r="BY4989" s="215">
        <f t="shared" si="171"/>
        <v>0</v>
      </c>
    </row>
    <row r="4990" spans="76:77" x14ac:dyDescent="0.2">
      <c r="BX4990" s="214" t="e">
        <f t="shared" si="170"/>
        <v>#DIV/0!</v>
      </c>
      <c r="BY4990" s="215">
        <f t="shared" si="171"/>
        <v>0</v>
      </c>
    </row>
    <row r="4991" spans="76:77" x14ac:dyDescent="0.2">
      <c r="BX4991" s="214" t="e">
        <f t="shared" si="170"/>
        <v>#DIV/0!</v>
      </c>
      <c r="BY4991" s="215">
        <f t="shared" si="171"/>
        <v>0</v>
      </c>
    </row>
    <row r="4992" spans="76:77" x14ac:dyDescent="0.2">
      <c r="BX4992" s="214" t="e">
        <f t="shared" si="170"/>
        <v>#DIV/0!</v>
      </c>
      <c r="BY4992" s="215">
        <f t="shared" si="171"/>
        <v>0</v>
      </c>
    </row>
    <row r="4993" spans="76:77" x14ac:dyDescent="0.2">
      <c r="BX4993" s="214" t="e">
        <f t="shared" si="170"/>
        <v>#DIV/0!</v>
      </c>
      <c r="BY4993" s="215">
        <f t="shared" si="171"/>
        <v>0</v>
      </c>
    </row>
    <row r="4994" spans="76:77" x14ac:dyDescent="0.2">
      <c r="BX4994" s="214" t="e">
        <f t="shared" si="170"/>
        <v>#DIV/0!</v>
      </c>
      <c r="BY4994" s="215">
        <f t="shared" si="171"/>
        <v>0</v>
      </c>
    </row>
    <row r="4995" spans="76:77" x14ac:dyDescent="0.2">
      <c r="BX4995" s="214" t="e">
        <f t="shared" si="170"/>
        <v>#DIV/0!</v>
      </c>
      <c r="BY4995" s="215">
        <f t="shared" si="171"/>
        <v>0</v>
      </c>
    </row>
    <row r="4996" spans="76:77" x14ac:dyDescent="0.2">
      <c r="BX4996" s="214" t="e">
        <f t="shared" si="170"/>
        <v>#DIV/0!</v>
      </c>
      <c r="BY4996" s="215">
        <f t="shared" si="171"/>
        <v>0</v>
      </c>
    </row>
    <row r="4997" spans="76:77" x14ac:dyDescent="0.2">
      <c r="BX4997" s="214" t="e">
        <f t="shared" si="170"/>
        <v>#DIV/0!</v>
      </c>
      <c r="BY4997" s="215">
        <f t="shared" si="171"/>
        <v>0</v>
      </c>
    </row>
    <row r="4998" spans="76:77" x14ac:dyDescent="0.2">
      <c r="BX4998" s="214" t="e">
        <f t="shared" si="170"/>
        <v>#DIV/0!</v>
      </c>
      <c r="BY4998" s="215">
        <f t="shared" si="171"/>
        <v>0</v>
      </c>
    </row>
    <row r="4999" spans="76:77" x14ac:dyDescent="0.2">
      <c r="BX4999" s="214" t="e">
        <f t="shared" si="170"/>
        <v>#DIV/0!</v>
      </c>
      <c r="BY4999" s="215">
        <f t="shared" si="171"/>
        <v>0</v>
      </c>
    </row>
    <row r="5000" spans="76:77" x14ac:dyDescent="0.2">
      <c r="BX5000" s="214" t="e">
        <f t="shared" si="170"/>
        <v>#DIV/0!</v>
      </c>
      <c r="BY5000" s="215">
        <f t="shared" si="171"/>
        <v>0</v>
      </c>
    </row>
    <row r="5001" spans="76:77" x14ac:dyDescent="0.2">
      <c r="BX5001" s="214" t="e">
        <f t="shared" si="170"/>
        <v>#DIV/0!</v>
      </c>
      <c r="BY5001" s="215">
        <f t="shared" si="171"/>
        <v>0</v>
      </c>
    </row>
    <row r="5002" spans="76:77" x14ac:dyDescent="0.2">
      <c r="BX5002" s="214" t="e">
        <f t="shared" si="170"/>
        <v>#DIV/0!</v>
      </c>
      <c r="BY5002" s="215">
        <f t="shared" si="171"/>
        <v>0</v>
      </c>
    </row>
    <row r="5003" spans="76:77" x14ac:dyDescent="0.2">
      <c r="BX5003" s="214" t="e">
        <f t="shared" si="170"/>
        <v>#DIV/0!</v>
      </c>
      <c r="BY5003" s="215">
        <f t="shared" si="171"/>
        <v>0</v>
      </c>
    </row>
    <row r="5004" spans="76:77" x14ac:dyDescent="0.2">
      <c r="BX5004" s="214" t="e">
        <f t="shared" si="170"/>
        <v>#DIV/0!</v>
      </c>
      <c r="BY5004" s="215">
        <f t="shared" si="171"/>
        <v>0</v>
      </c>
    </row>
    <row r="5005" spans="76:77" x14ac:dyDescent="0.2">
      <c r="BX5005" s="214" t="e">
        <f t="shared" ref="BX5005:BX5068" si="172">BY5005/BV5005</f>
        <v>#DIV/0!</v>
      </c>
      <c r="BY5005" s="215">
        <f t="shared" si="171"/>
        <v>0</v>
      </c>
    </row>
    <row r="5006" spans="76:77" x14ac:dyDescent="0.2">
      <c r="BX5006" s="214" t="e">
        <f t="shared" si="172"/>
        <v>#DIV/0!</v>
      </c>
      <c r="BY5006" s="215">
        <f t="shared" ref="BY5006:BY5069" si="173">BY5005+BW5006*(BV5006-BV5005)</f>
        <v>0</v>
      </c>
    </row>
    <row r="5007" spans="76:77" x14ac:dyDescent="0.2">
      <c r="BX5007" s="214" t="e">
        <f t="shared" si="172"/>
        <v>#DIV/0!</v>
      </c>
      <c r="BY5007" s="215">
        <f t="shared" si="173"/>
        <v>0</v>
      </c>
    </row>
    <row r="5008" spans="76:77" x14ac:dyDescent="0.2">
      <c r="BX5008" s="214" t="e">
        <f t="shared" si="172"/>
        <v>#DIV/0!</v>
      </c>
      <c r="BY5008" s="215">
        <f t="shared" si="173"/>
        <v>0</v>
      </c>
    </row>
    <row r="5009" spans="76:77" x14ac:dyDescent="0.2">
      <c r="BX5009" s="214" t="e">
        <f t="shared" si="172"/>
        <v>#DIV/0!</v>
      </c>
      <c r="BY5009" s="215">
        <f t="shared" si="173"/>
        <v>0</v>
      </c>
    </row>
    <row r="5010" spans="76:77" x14ac:dyDescent="0.2">
      <c r="BX5010" s="214" t="e">
        <f t="shared" si="172"/>
        <v>#DIV/0!</v>
      </c>
      <c r="BY5010" s="215">
        <f t="shared" si="173"/>
        <v>0</v>
      </c>
    </row>
    <row r="5011" spans="76:77" x14ac:dyDescent="0.2">
      <c r="BX5011" s="214" t="e">
        <f t="shared" si="172"/>
        <v>#DIV/0!</v>
      </c>
      <c r="BY5011" s="215">
        <f t="shared" si="173"/>
        <v>0</v>
      </c>
    </row>
    <row r="5012" spans="76:77" x14ac:dyDescent="0.2">
      <c r="BX5012" s="214" t="e">
        <f t="shared" si="172"/>
        <v>#DIV/0!</v>
      </c>
      <c r="BY5012" s="215">
        <f t="shared" si="173"/>
        <v>0</v>
      </c>
    </row>
    <row r="5013" spans="76:77" x14ac:dyDescent="0.2">
      <c r="BX5013" s="214" t="e">
        <f t="shared" si="172"/>
        <v>#DIV/0!</v>
      </c>
      <c r="BY5013" s="215">
        <f t="shared" si="173"/>
        <v>0</v>
      </c>
    </row>
    <row r="5014" spans="76:77" x14ac:dyDescent="0.2">
      <c r="BX5014" s="214" t="e">
        <f t="shared" si="172"/>
        <v>#DIV/0!</v>
      </c>
      <c r="BY5014" s="215">
        <f t="shared" si="173"/>
        <v>0</v>
      </c>
    </row>
    <row r="5015" spans="76:77" x14ac:dyDescent="0.2">
      <c r="BX5015" s="214" t="e">
        <f t="shared" si="172"/>
        <v>#DIV/0!</v>
      </c>
      <c r="BY5015" s="215">
        <f t="shared" si="173"/>
        <v>0</v>
      </c>
    </row>
    <row r="5016" spans="76:77" x14ac:dyDescent="0.2">
      <c r="BX5016" s="214" t="e">
        <f t="shared" si="172"/>
        <v>#DIV/0!</v>
      </c>
      <c r="BY5016" s="215">
        <f t="shared" si="173"/>
        <v>0</v>
      </c>
    </row>
    <row r="5017" spans="76:77" x14ac:dyDescent="0.2">
      <c r="BX5017" s="214" t="e">
        <f t="shared" si="172"/>
        <v>#DIV/0!</v>
      </c>
      <c r="BY5017" s="215">
        <f t="shared" si="173"/>
        <v>0</v>
      </c>
    </row>
    <row r="5018" spans="76:77" x14ac:dyDescent="0.2">
      <c r="BX5018" s="214" t="e">
        <f t="shared" si="172"/>
        <v>#DIV/0!</v>
      </c>
      <c r="BY5018" s="215">
        <f t="shared" si="173"/>
        <v>0</v>
      </c>
    </row>
    <row r="5019" spans="76:77" x14ac:dyDescent="0.2">
      <c r="BX5019" s="214" t="e">
        <f t="shared" si="172"/>
        <v>#DIV/0!</v>
      </c>
      <c r="BY5019" s="215">
        <f t="shared" si="173"/>
        <v>0</v>
      </c>
    </row>
    <row r="5020" spans="76:77" x14ac:dyDescent="0.2">
      <c r="BX5020" s="214" t="e">
        <f t="shared" si="172"/>
        <v>#DIV/0!</v>
      </c>
      <c r="BY5020" s="215">
        <f t="shared" si="173"/>
        <v>0</v>
      </c>
    </row>
    <row r="5021" spans="76:77" x14ac:dyDescent="0.2">
      <c r="BX5021" s="214" t="e">
        <f t="shared" si="172"/>
        <v>#DIV/0!</v>
      </c>
      <c r="BY5021" s="215">
        <f t="shared" si="173"/>
        <v>0</v>
      </c>
    </row>
    <row r="5022" spans="76:77" x14ac:dyDescent="0.2">
      <c r="BX5022" s="214" t="e">
        <f t="shared" si="172"/>
        <v>#DIV/0!</v>
      </c>
      <c r="BY5022" s="215">
        <f t="shared" si="173"/>
        <v>0</v>
      </c>
    </row>
    <row r="5023" spans="76:77" x14ac:dyDescent="0.2">
      <c r="BX5023" s="214" t="e">
        <f t="shared" si="172"/>
        <v>#DIV/0!</v>
      </c>
      <c r="BY5023" s="215">
        <f t="shared" si="173"/>
        <v>0</v>
      </c>
    </row>
    <row r="5024" spans="76:77" x14ac:dyDescent="0.2">
      <c r="BX5024" s="214" t="e">
        <f t="shared" si="172"/>
        <v>#DIV/0!</v>
      </c>
      <c r="BY5024" s="215">
        <f t="shared" si="173"/>
        <v>0</v>
      </c>
    </row>
    <row r="5025" spans="76:77" x14ac:dyDescent="0.2">
      <c r="BX5025" s="214" t="e">
        <f t="shared" si="172"/>
        <v>#DIV/0!</v>
      </c>
      <c r="BY5025" s="215">
        <f t="shared" si="173"/>
        <v>0</v>
      </c>
    </row>
    <row r="5026" spans="76:77" x14ac:dyDescent="0.2">
      <c r="BX5026" s="214" t="e">
        <f t="shared" si="172"/>
        <v>#DIV/0!</v>
      </c>
      <c r="BY5026" s="215">
        <f t="shared" si="173"/>
        <v>0</v>
      </c>
    </row>
    <row r="5027" spans="76:77" x14ac:dyDescent="0.2">
      <c r="BX5027" s="214" t="e">
        <f t="shared" si="172"/>
        <v>#DIV/0!</v>
      </c>
      <c r="BY5027" s="215">
        <f t="shared" si="173"/>
        <v>0</v>
      </c>
    </row>
    <row r="5028" spans="76:77" x14ac:dyDescent="0.2">
      <c r="BX5028" s="214" t="e">
        <f t="shared" si="172"/>
        <v>#DIV/0!</v>
      </c>
      <c r="BY5028" s="215">
        <f t="shared" si="173"/>
        <v>0</v>
      </c>
    </row>
    <row r="5029" spans="76:77" x14ac:dyDescent="0.2">
      <c r="BX5029" s="214" t="e">
        <f t="shared" si="172"/>
        <v>#DIV/0!</v>
      </c>
      <c r="BY5029" s="215">
        <f t="shared" si="173"/>
        <v>0</v>
      </c>
    </row>
    <row r="5030" spans="76:77" x14ac:dyDescent="0.2">
      <c r="BX5030" s="214" t="e">
        <f t="shared" si="172"/>
        <v>#DIV/0!</v>
      </c>
      <c r="BY5030" s="215">
        <f t="shared" si="173"/>
        <v>0</v>
      </c>
    </row>
    <row r="5031" spans="76:77" x14ac:dyDescent="0.2">
      <c r="BX5031" s="214" t="e">
        <f t="shared" si="172"/>
        <v>#DIV/0!</v>
      </c>
      <c r="BY5031" s="215">
        <f t="shared" si="173"/>
        <v>0</v>
      </c>
    </row>
    <row r="5032" spans="76:77" x14ac:dyDescent="0.2">
      <c r="BX5032" s="214" t="e">
        <f t="shared" si="172"/>
        <v>#DIV/0!</v>
      </c>
      <c r="BY5032" s="215">
        <f t="shared" si="173"/>
        <v>0</v>
      </c>
    </row>
    <row r="5033" spans="76:77" x14ac:dyDescent="0.2">
      <c r="BX5033" s="214" t="e">
        <f t="shared" si="172"/>
        <v>#DIV/0!</v>
      </c>
      <c r="BY5033" s="215">
        <f t="shared" si="173"/>
        <v>0</v>
      </c>
    </row>
    <row r="5034" spans="76:77" x14ac:dyDescent="0.2">
      <c r="BX5034" s="214" t="e">
        <f t="shared" si="172"/>
        <v>#DIV/0!</v>
      </c>
      <c r="BY5034" s="215">
        <f t="shared" si="173"/>
        <v>0</v>
      </c>
    </row>
    <row r="5035" spans="76:77" x14ac:dyDescent="0.2">
      <c r="BX5035" s="214" t="e">
        <f t="shared" si="172"/>
        <v>#DIV/0!</v>
      </c>
      <c r="BY5035" s="215">
        <f t="shared" si="173"/>
        <v>0</v>
      </c>
    </row>
    <row r="5036" spans="76:77" x14ac:dyDescent="0.2">
      <c r="BX5036" s="214" t="e">
        <f t="shared" si="172"/>
        <v>#DIV/0!</v>
      </c>
      <c r="BY5036" s="215">
        <f t="shared" si="173"/>
        <v>0</v>
      </c>
    </row>
    <row r="5037" spans="76:77" x14ac:dyDescent="0.2">
      <c r="BX5037" s="214" t="e">
        <f t="shared" si="172"/>
        <v>#DIV/0!</v>
      </c>
      <c r="BY5037" s="215">
        <f t="shared" si="173"/>
        <v>0</v>
      </c>
    </row>
    <row r="5038" spans="76:77" x14ac:dyDescent="0.2">
      <c r="BX5038" s="214" t="e">
        <f t="shared" si="172"/>
        <v>#DIV/0!</v>
      </c>
      <c r="BY5038" s="215">
        <f t="shared" si="173"/>
        <v>0</v>
      </c>
    </row>
    <row r="5039" spans="76:77" x14ac:dyDescent="0.2">
      <c r="BX5039" s="214" t="e">
        <f t="shared" si="172"/>
        <v>#DIV/0!</v>
      </c>
      <c r="BY5039" s="215">
        <f t="shared" si="173"/>
        <v>0</v>
      </c>
    </row>
    <row r="5040" spans="76:77" x14ac:dyDescent="0.2">
      <c r="BX5040" s="214" t="e">
        <f t="shared" si="172"/>
        <v>#DIV/0!</v>
      </c>
      <c r="BY5040" s="215">
        <f t="shared" si="173"/>
        <v>0</v>
      </c>
    </row>
    <row r="5041" spans="76:77" x14ac:dyDescent="0.2">
      <c r="BX5041" s="214" t="e">
        <f t="shared" si="172"/>
        <v>#DIV/0!</v>
      </c>
      <c r="BY5041" s="215">
        <f t="shared" si="173"/>
        <v>0</v>
      </c>
    </row>
    <row r="5042" spans="76:77" x14ac:dyDescent="0.2">
      <c r="BX5042" s="214" t="e">
        <f t="shared" si="172"/>
        <v>#DIV/0!</v>
      </c>
      <c r="BY5042" s="215">
        <f t="shared" si="173"/>
        <v>0</v>
      </c>
    </row>
    <row r="5043" spans="76:77" x14ac:dyDescent="0.2">
      <c r="BX5043" s="214" t="e">
        <f t="shared" si="172"/>
        <v>#DIV/0!</v>
      </c>
      <c r="BY5043" s="215">
        <f t="shared" si="173"/>
        <v>0</v>
      </c>
    </row>
    <row r="5044" spans="76:77" x14ac:dyDescent="0.2">
      <c r="BX5044" s="214" t="e">
        <f t="shared" si="172"/>
        <v>#DIV/0!</v>
      </c>
      <c r="BY5044" s="215">
        <f t="shared" si="173"/>
        <v>0</v>
      </c>
    </row>
    <row r="5045" spans="76:77" x14ac:dyDescent="0.2">
      <c r="BX5045" s="214" t="e">
        <f t="shared" si="172"/>
        <v>#DIV/0!</v>
      </c>
      <c r="BY5045" s="215">
        <f t="shared" si="173"/>
        <v>0</v>
      </c>
    </row>
    <row r="5046" spans="76:77" x14ac:dyDescent="0.2">
      <c r="BX5046" s="214" t="e">
        <f t="shared" si="172"/>
        <v>#DIV/0!</v>
      </c>
      <c r="BY5046" s="215">
        <f t="shared" si="173"/>
        <v>0</v>
      </c>
    </row>
    <row r="5047" spans="76:77" x14ac:dyDescent="0.2">
      <c r="BX5047" s="214" t="e">
        <f t="shared" si="172"/>
        <v>#DIV/0!</v>
      </c>
      <c r="BY5047" s="215">
        <f t="shared" si="173"/>
        <v>0</v>
      </c>
    </row>
    <row r="5048" spans="76:77" x14ac:dyDescent="0.2">
      <c r="BX5048" s="214" t="e">
        <f t="shared" si="172"/>
        <v>#DIV/0!</v>
      </c>
      <c r="BY5048" s="215">
        <f t="shared" si="173"/>
        <v>0</v>
      </c>
    </row>
    <row r="5049" spans="76:77" x14ac:dyDescent="0.2">
      <c r="BX5049" s="214" t="e">
        <f t="shared" si="172"/>
        <v>#DIV/0!</v>
      </c>
      <c r="BY5049" s="215">
        <f t="shared" si="173"/>
        <v>0</v>
      </c>
    </row>
    <row r="5050" spans="76:77" x14ac:dyDescent="0.2">
      <c r="BX5050" s="214" t="e">
        <f t="shared" si="172"/>
        <v>#DIV/0!</v>
      </c>
      <c r="BY5050" s="215">
        <f t="shared" si="173"/>
        <v>0</v>
      </c>
    </row>
    <row r="5051" spans="76:77" x14ac:dyDescent="0.2">
      <c r="BX5051" s="214" t="e">
        <f t="shared" si="172"/>
        <v>#DIV/0!</v>
      </c>
      <c r="BY5051" s="215">
        <f t="shared" si="173"/>
        <v>0</v>
      </c>
    </row>
    <row r="5052" spans="76:77" x14ac:dyDescent="0.2">
      <c r="BX5052" s="214" t="e">
        <f t="shared" si="172"/>
        <v>#DIV/0!</v>
      </c>
      <c r="BY5052" s="215">
        <f t="shared" si="173"/>
        <v>0</v>
      </c>
    </row>
    <row r="5053" spans="76:77" x14ac:dyDescent="0.2">
      <c r="BX5053" s="214" t="e">
        <f t="shared" si="172"/>
        <v>#DIV/0!</v>
      </c>
      <c r="BY5053" s="215">
        <f t="shared" si="173"/>
        <v>0</v>
      </c>
    </row>
    <row r="5054" spans="76:77" x14ac:dyDescent="0.2">
      <c r="BX5054" s="214" t="e">
        <f t="shared" si="172"/>
        <v>#DIV/0!</v>
      </c>
      <c r="BY5054" s="215">
        <f t="shared" si="173"/>
        <v>0</v>
      </c>
    </row>
    <row r="5055" spans="76:77" x14ac:dyDescent="0.2">
      <c r="BX5055" s="214" t="e">
        <f t="shared" si="172"/>
        <v>#DIV/0!</v>
      </c>
      <c r="BY5055" s="215">
        <f t="shared" si="173"/>
        <v>0</v>
      </c>
    </row>
    <row r="5056" spans="76:77" x14ac:dyDescent="0.2">
      <c r="BX5056" s="214" t="e">
        <f t="shared" si="172"/>
        <v>#DIV/0!</v>
      </c>
      <c r="BY5056" s="215">
        <f t="shared" si="173"/>
        <v>0</v>
      </c>
    </row>
    <row r="5057" spans="76:77" x14ac:dyDescent="0.2">
      <c r="BX5057" s="214" t="e">
        <f t="shared" si="172"/>
        <v>#DIV/0!</v>
      </c>
      <c r="BY5057" s="215">
        <f t="shared" si="173"/>
        <v>0</v>
      </c>
    </row>
    <row r="5058" spans="76:77" x14ac:dyDescent="0.2">
      <c r="BX5058" s="214" t="e">
        <f t="shared" si="172"/>
        <v>#DIV/0!</v>
      </c>
      <c r="BY5058" s="215">
        <f t="shared" si="173"/>
        <v>0</v>
      </c>
    </row>
    <row r="5059" spans="76:77" x14ac:dyDescent="0.2">
      <c r="BX5059" s="214" t="e">
        <f t="shared" si="172"/>
        <v>#DIV/0!</v>
      </c>
      <c r="BY5059" s="215">
        <f t="shared" si="173"/>
        <v>0</v>
      </c>
    </row>
    <row r="5060" spans="76:77" x14ac:dyDescent="0.2">
      <c r="BX5060" s="214" t="e">
        <f t="shared" si="172"/>
        <v>#DIV/0!</v>
      </c>
      <c r="BY5060" s="215">
        <f t="shared" si="173"/>
        <v>0</v>
      </c>
    </row>
    <row r="5061" spans="76:77" x14ac:dyDescent="0.2">
      <c r="BX5061" s="214" t="e">
        <f t="shared" si="172"/>
        <v>#DIV/0!</v>
      </c>
      <c r="BY5061" s="215">
        <f t="shared" si="173"/>
        <v>0</v>
      </c>
    </row>
    <row r="5062" spans="76:77" x14ac:dyDescent="0.2">
      <c r="BX5062" s="214" t="e">
        <f t="shared" si="172"/>
        <v>#DIV/0!</v>
      </c>
      <c r="BY5062" s="215">
        <f t="shared" si="173"/>
        <v>0</v>
      </c>
    </row>
    <row r="5063" spans="76:77" x14ac:dyDescent="0.2">
      <c r="BX5063" s="214" t="e">
        <f t="shared" si="172"/>
        <v>#DIV/0!</v>
      </c>
      <c r="BY5063" s="215">
        <f t="shared" si="173"/>
        <v>0</v>
      </c>
    </row>
    <row r="5064" spans="76:77" x14ac:dyDescent="0.2">
      <c r="BX5064" s="214" t="e">
        <f t="shared" si="172"/>
        <v>#DIV/0!</v>
      </c>
      <c r="BY5064" s="215">
        <f t="shared" si="173"/>
        <v>0</v>
      </c>
    </row>
    <row r="5065" spans="76:77" x14ac:dyDescent="0.2">
      <c r="BX5065" s="214" t="e">
        <f t="shared" si="172"/>
        <v>#DIV/0!</v>
      </c>
      <c r="BY5065" s="215">
        <f t="shared" si="173"/>
        <v>0</v>
      </c>
    </row>
    <row r="5066" spans="76:77" x14ac:dyDescent="0.2">
      <c r="BX5066" s="214" t="e">
        <f t="shared" si="172"/>
        <v>#DIV/0!</v>
      </c>
      <c r="BY5066" s="215">
        <f t="shared" si="173"/>
        <v>0</v>
      </c>
    </row>
    <row r="5067" spans="76:77" x14ac:dyDescent="0.2">
      <c r="BX5067" s="214" t="e">
        <f t="shared" si="172"/>
        <v>#DIV/0!</v>
      </c>
      <c r="BY5067" s="215">
        <f t="shared" si="173"/>
        <v>0</v>
      </c>
    </row>
    <row r="5068" spans="76:77" x14ac:dyDescent="0.2">
      <c r="BX5068" s="214" t="e">
        <f t="shared" si="172"/>
        <v>#DIV/0!</v>
      </c>
      <c r="BY5068" s="215">
        <f t="shared" si="173"/>
        <v>0</v>
      </c>
    </row>
    <row r="5069" spans="76:77" x14ac:dyDescent="0.2">
      <c r="BX5069" s="214" t="e">
        <f t="shared" ref="BX5069:BX5132" si="174">BY5069/BV5069</f>
        <v>#DIV/0!</v>
      </c>
      <c r="BY5069" s="215">
        <f t="shared" si="173"/>
        <v>0</v>
      </c>
    </row>
    <row r="5070" spans="76:77" x14ac:dyDescent="0.2">
      <c r="BX5070" s="214" t="e">
        <f t="shared" si="174"/>
        <v>#DIV/0!</v>
      </c>
      <c r="BY5070" s="215">
        <f t="shared" ref="BY5070:BY5133" si="175">BY5069+BW5070*(BV5070-BV5069)</f>
        <v>0</v>
      </c>
    </row>
    <row r="5071" spans="76:77" x14ac:dyDescent="0.2">
      <c r="BX5071" s="214" t="e">
        <f t="shared" si="174"/>
        <v>#DIV/0!</v>
      </c>
      <c r="BY5071" s="215">
        <f t="shared" si="175"/>
        <v>0</v>
      </c>
    </row>
    <row r="5072" spans="76:77" x14ac:dyDescent="0.2">
      <c r="BX5072" s="214" t="e">
        <f t="shared" si="174"/>
        <v>#DIV/0!</v>
      </c>
      <c r="BY5072" s="215">
        <f t="shared" si="175"/>
        <v>0</v>
      </c>
    </row>
    <row r="5073" spans="76:77" x14ac:dyDescent="0.2">
      <c r="BX5073" s="214" t="e">
        <f t="shared" si="174"/>
        <v>#DIV/0!</v>
      </c>
      <c r="BY5073" s="215">
        <f t="shared" si="175"/>
        <v>0</v>
      </c>
    </row>
    <row r="5074" spans="76:77" x14ac:dyDescent="0.2">
      <c r="BX5074" s="214" t="e">
        <f t="shared" si="174"/>
        <v>#DIV/0!</v>
      </c>
      <c r="BY5074" s="215">
        <f t="shared" si="175"/>
        <v>0</v>
      </c>
    </row>
    <row r="5075" spans="76:77" x14ac:dyDescent="0.2">
      <c r="BX5075" s="214" t="e">
        <f t="shared" si="174"/>
        <v>#DIV/0!</v>
      </c>
      <c r="BY5075" s="215">
        <f t="shared" si="175"/>
        <v>0</v>
      </c>
    </row>
    <row r="5076" spans="76:77" x14ac:dyDescent="0.2">
      <c r="BX5076" s="214" t="e">
        <f t="shared" si="174"/>
        <v>#DIV/0!</v>
      </c>
      <c r="BY5076" s="215">
        <f t="shared" si="175"/>
        <v>0</v>
      </c>
    </row>
    <row r="5077" spans="76:77" x14ac:dyDescent="0.2">
      <c r="BX5077" s="214" t="e">
        <f t="shared" si="174"/>
        <v>#DIV/0!</v>
      </c>
      <c r="BY5077" s="215">
        <f t="shared" si="175"/>
        <v>0</v>
      </c>
    </row>
    <row r="5078" spans="76:77" x14ac:dyDescent="0.2">
      <c r="BX5078" s="214" t="e">
        <f t="shared" si="174"/>
        <v>#DIV/0!</v>
      </c>
      <c r="BY5078" s="215">
        <f t="shared" si="175"/>
        <v>0</v>
      </c>
    </row>
    <row r="5079" spans="76:77" x14ac:dyDescent="0.2">
      <c r="BX5079" s="214" t="e">
        <f t="shared" si="174"/>
        <v>#DIV/0!</v>
      </c>
      <c r="BY5079" s="215">
        <f t="shared" si="175"/>
        <v>0</v>
      </c>
    </row>
    <row r="5080" spans="76:77" x14ac:dyDescent="0.2">
      <c r="BX5080" s="214" t="e">
        <f t="shared" si="174"/>
        <v>#DIV/0!</v>
      </c>
      <c r="BY5080" s="215">
        <f t="shared" si="175"/>
        <v>0</v>
      </c>
    </row>
    <row r="5081" spans="76:77" x14ac:dyDescent="0.2">
      <c r="BX5081" s="214" t="e">
        <f t="shared" si="174"/>
        <v>#DIV/0!</v>
      </c>
      <c r="BY5081" s="215">
        <f t="shared" si="175"/>
        <v>0</v>
      </c>
    </row>
    <row r="5082" spans="76:77" x14ac:dyDescent="0.2">
      <c r="BX5082" s="214" t="e">
        <f t="shared" si="174"/>
        <v>#DIV/0!</v>
      </c>
      <c r="BY5082" s="215">
        <f t="shared" si="175"/>
        <v>0</v>
      </c>
    </row>
    <row r="5083" spans="76:77" x14ac:dyDescent="0.2">
      <c r="BX5083" s="214" t="e">
        <f t="shared" si="174"/>
        <v>#DIV/0!</v>
      </c>
      <c r="BY5083" s="215">
        <f t="shared" si="175"/>
        <v>0</v>
      </c>
    </row>
    <row r="5084" spans="76:77" x14ac:dyDescent="0.2">
      <c r="BX5084" s="214" t="e">
        <f t="shared" si="174"/>
        <v>#DIV/0!</v>
      </c>
      <c r="BY5084" s="215">
        <f t="shared" si="175"/>
        <v>0</v>
      </c>
    </row>
    <row r="5085" spans="76:77" x14ac:dyDescent="0.2">
      <c r="BX5085" s="214" t="e">
        <f t="shared" si="174"/>
        <v>#DIV/0!</v>
      </c>
      <c r="BY5085" s="215">
        <f t="shared" si="175"/>
        <v>0</v>
      </c>
    </row>
    <row r="5086" spans="76:77" x14ac:dyDescent="0.2">
      <c r="BX5086" s="214" t="e">
        <f t="shared" si="174"/>
        <v>#DIV/0!</v>
      </c>
      <c r="BY5086" s="215">
        <f t="shared" si="175"/>
        <v>0</v>
      </c>
    </row>
    <row r="5087" spans="76:77" x14ac:dyDescent="0.2">
      <c r="BX5087" s="214" t="e">
        <f t="shared" si="174"/>
        <v>#DIV/0!</v>
      </c>
      <c r="BY5087" s="215">
        <f t="shared" si="175"/>
        <v>0</v>
      </c>
    </row>
    <row r="5088" spans="76:77" x14ac:dyDescent="0.2">
      <c r="BX5088" s="214" t="e">
        <f t="shared" si="174"/>
        <v>#DIV/0!</v>
      </c>
      <c r="BY5088" s="215">
        <f t="shared" si="175"/>
        <v>0</v>
      </c>
    </row>
    <row r="5089" spans="76:77" x14ac:dyDescent="0.2">
      <c r="BX5089" s="214" t="e">
        <f t="shared" si="174"/>
        <v>#DIV/0!</v>
      </c>
      <c r="BY5089" s="215">
        <f t="shared" si="175"/>
        <v>0</v>
      </c>
    </row>
    <row r="5090" spans="76:77" x14ac:dyDescent="0.2">
      <c r="BX5090" s="214" t="e">
        <f t="shared" si="174"/>
        <v>#DIV/0!</v>
      </c>
      <c r="BY5090" s="215">
        <f t="shared" si="175"/>
        <v>0</v>
      </c>
    </row>
    <row r="5091" spans="76:77" x14ac:dyDescent="0.2">
      <c r="BX5091" s="214" t="e">
        <f t="shared" si="174"/>
        <v>#DIV/0!</v>
      </c>
      <c r="BY5091" s="215">
        <f t="shared" si="175"/>
        <v>0</v>
      </c>
    </row>
    <row r="5092" spans="76:77" x14ac:dyDescent="0.2">
      <c r="BX5092" s="214" t="e">
        <f t="shared" si="174"/>
        <v>#DIV/0!</v>
      </c>
      <c r="BY5092" s="215">
        <f t="shared" si="175"/>
        <v>0</v>
      </c>
    </row>
    <row r="5093" spans="76:77" x14ac:dyDescent="0.2">
      <c r="BX5093" s="214" t="e">
        <f t="shared" si="174"/>
        <v>#DIV/0!</v>
      </c>
      <c r="BY5093" s="215">
        <f t="shared" si="175"/>
        <v>0</v>
      </c>
    </row>
    <row r="5094" spans="76:77" x14ac:dyDescent="0.2">
      <c r="BX5094" s="214" t="e">
        <f t="shared" si="174"/>
        <v>#DIV/0!</v>
      </c>
      <c r="BY5094" s="215">
        <f t="shared" si="175"/>
        <v>0</v>
      </c>
    </row>
    <row r="5095" spans="76:77" x14ac:dyDescent="0.2">
      <c r="BX5095" s="214" t="e">
        <f t="shared" si="174"/>
        <v>#DIV/0!</v>
      </c>
      <c r="BY5095" s="215">
        <f t="shared" si="175"/>
        <v>0</v>
      </c>
    </row>
    <row r="5096" spans="76:77" x14ac:dyDescent="0.2">
      <c r="BX5096" s="214" t="e">
        <f t="shared" si="174"/>
        <v>#DIV/0!</v>
      </c>
      <c r="BY5096" s="215">
        <f t="shared" si="175"/>
        <v>0</v>
      </c>
    </row>
    <row r="5097" spans="76:77" x14ac:dyDescent="0.2">
      <c r="BX5097" s="214" t="e">
        <f t="shared" si="174"/>
        <v>#DIV/0!</v>
      </c>
      <c r="BY5097" s="215">
        <f t="shared" si="175"/>
        <v>0</v>
      </c>
    </row>
    <row r="5098" spans="76:77" x14ac:dyDescent="0.2">
      <c r="BX5098" s="214" t="e">
        <f t="shared" si="174"/>
        <v>#DIV/0!</v>
      </c>
      <c r="BY5098" s="215">
        <f t="shared" si="175"/>
        <v>0</v>
      </c>
    </row>
    <row r="5099" spans="76:77" x14ac:dyDescent="0.2">
      <c r="BX5099" s="214" t="e">
        <f t="shared" si="174"/>
        <v>#DIV/0!</v>
      </c>
      <c r="BY5099" s="215">
        <f t="shared" si="175"/>
        <v>0</v>
      </c>
    </row>
    <row r="5100" spans="76:77" x14ac:dyDescent="0.2">
      <c r="BX5100" s="214" t="e">
        <f t="shared" si="174"/>
        <v>#DIV/0!</v>
      </c>
      <c r="BY5100" s="215">
        <f t="shared" si="175"/>
        <v>0</v>
      </c>
    </row>
    <row r="5101" spans="76:77" x14ac:dyDescent="0.2">
      <c r="BX5101" s="214" t="e">
        <f t="shared" si="174"/>
        <v>#DIV/0!</v>
      </c>
      <c r="BY5101" s="215">
        <f t="shared" si="175"/>
        <v>0</v>
      </c>
    </row>
    <row r="5102" spans="76:77" x14ac:dyDescent="0.2">
      <c r="BX5102" s="214" t="e">
        <f t="shared" si="174"/>
        <v>#DIV/0!</v>
      </c>
      <c r="BY5102" s="215">
        <f t="shared" si="175"/>
        <v>0</v>
      </c>
    </row>
    <row r="5103" spans="76:77" x14ac:dyDescent="0.2">
      <c r="BX5103" s="214" t="e">
        <f t="shared" si="174"/>
        <v>#DIV/0!</v>
      </c>
      <c r="BY5103" s="215">
        <f t="shared" si="175"/>
        <v>0</v>
      </c>
    </row>
    <row r="5104" spans="76:77" x14ac:dyDescent="0.2">
      <c r="BX5104" s="214" t="e">
        <f t="shared" si="174"/>
        <v>#DIV/0!</v>
      </c>
      <c r="BY5104" s="215">
        <f t="shared" si="175"/>
        <v>0</v>
      </c>
    </row>
    <row r="5105" spans="76:77" x14ac:dyDescent="0.2">
      <c r="BX5105" s="214" t="e">
        <f t="shared" si="174"/>
        <v>#DIV/0!</v>
      </c>
      <c r="BY5105" s="215">
        <f t="shared" si="175"/>
        <v>0</v>
      </c>
    </row>
    <row r="5106" spans="76:77" x14ac:dyDescent="0.2">
      <c r="BX5106" s="214" t="e">
        <f t="shared" si="174"/>
        <v>#DIV/0!</v>
      </c>
      <c r="BY5106" s="215">
        <f t="shared" si="175"/>
        <v>0</v>
      </c>
    </row>
    <row r="5107" spans="76:77" x14ac:dyDescent="0.2">
      <c r="BX5107" s="214" t="e">
        <f t="shared" si="174"/>
        <v>#DIV/0!</v>
      </c>
      <c r="BY5107" s="215">
        <f t="shared" si="175"/>
        <v>0</v>
      </c>
    </row>
    <row r="5108" spans="76:77" x14ac:dyDescent="0.2">
      <c r="BX5108" s="214" t="e">
        <f t="shared" si="174"/>
        <v>#DIV/0!</v>
      </c>
      <c r="BY5108" s="215">
        <f t="shared" si="175"/>
        <v>0</v>
      </c>
    </row>
    <row r="5109" spans="76:77" x14ac:dyDescent="0.2">
      <c r="BX5109" s="214" t="e">
        <f t="shared" si="174"/>
        <v>#DIV/0!</v>
      </c>
      <c r="BY5109" s="215">
        <f t="shared" si="175"/>
        <v>0</v>
      </c>
    </row>
    <row r="5110" spans="76:77" x14ac:dyDescent="0.2">
      <c r="BX5110" s="214" t="e">
        <f t="shared" si="174"/>
        <v>#DIV/0!</v>
      </c>
      <c r="BY5110" s="215">
        <f t="shared" si="175"/>
        <v>0</v>
      </c>
    </row>
    <row r="5111" spans="76:77" x14ac:dyDescent="0.2">
      <c r="BX5111" s="214" t="e">
        <f t="shared" si="174"/>
        <v>#DIV/0!</v>
      </c>
      <c r="BY5111" s="215">
        <f t="shared" si="175"/>
        <v>0</v>
      </c>
    </row>
    <row r="5112" spans="76:77" x14ac:dyDescent="0.2">
      <c r="BX5112" s="214" t="e">
        <f t="shared" si="174"/>
        <v>#DIV/0!</v>
      </c>
      <c r="BY5112" s="215">
        <f t="shared" si="175"/>
        <v>0</v>
      </c>
    </row>
    <row r="5113" spans="76:77" x14ac:dyDescent="0.2">
      <c r="BX5113" s="214" t="e">
        <f t="shared" si="174"/>
        <v>#DIV/0!</v>
      </c>
      <c r="BY5113" s="215">
        <f t="shared" si="175"/>
        <v>0</v>
      </c>
    </row>
    <row r="5114" spans="76:77" x14ac:dyDescent="0.2">
      <c r="BX5114" s="214" t="e">
        <f t="shared" si="174"/>
        <v>#DIV/0!</v>
      </c>
      <c r="BY5114" s="215">
        <f t="shared" si="175"/>
        <v>0</v>
      </c>
    </row>
    <row r="5115" spans="76:77" x14ac:dyDescent="0.2">
      <c r="BX5115" s="214" t="e">
        <f t="shared" si="174"/>
        <v>#DIV/0!</v>
      </c>
      <c r="BY5115" s="215">
        <f t="shared" si="175"/>
        <v>0</v>
      </c>
    </row>
    <row r="5116" spans="76:77" x14ac:dyDescent="0.2">
      <c r="BX5116" s="214" t="e">
        <f t="shared" si="174"/>
        <v>#DIV/0!</v>
      </c>
      <c r="BY5116" s="215">
        <f t="shared" si="175"/>
        <v>0</v>
      </c>
    </row>
    <row r="5117" spans="76:77" x14ac:dyDescent="0.2">
      <c r="BX5117" s="214" t="e">
        <f t="shared" si="174"/>
        <v>#DIV/0!</v>
      </c>
      <c r="BY5117" s="215">
        <f t="shared" si="175"/>
        <v>0</v>
      </c>
    </row>
    <row r="5118" spans="76:77" x14ac:dyDescent="0.2">
      <c r="BX5118" s="214" t="e">
        <f t="shared" si="174"/>
        <v>#DIV/0!</v>
      </c>
      <c r="BY5118" s="215">
        <f t="shared" si="175"/>
        <v>0</v>
      </c>
    </row>
    <row r="5119" spans="76:77" x14ac:dyDescent="0.2">
      <c r="BX5119" s="214" t="e">
        <f t="shared" si="174"/>
        <v>#DIV/0!</v>
      </c>
      <c r="BY5119" s="215">
        <f t="shared" si="175"/>
        <v>0</v>
      </c>
    </row>
    <row r="5120" spans="76:77" x14ac:dyDescent="0.2">
      <c r="BX5120" s="214" t="e">
        <f t="shared" si="174"/>
        <v>#DIV/0!</v>
      </c>
      <c r="BY5120" s="215">
        <f t="shared" si="175"/>
        <v>0</v>
      </c>
    </row>
    <row r="5121" spans="76:77" x14ac:dyDescent="0.2">
      <c r="BX5121" s="214" t="e">
        <f t="shared" si="174"/>
        <v>#DIV/0!</v>
      </c>
      <c r="BY5121" s="215">
        <f t="shared" si="175"/>
        <v>0</v>
      </c>
    </row>
    <row r="5122" spans="76:77" x14ac:dyDescent="0.2">
      <c r="BX5122" s="214" t="e">
        <f t="shared" si="174"/>
        <v>#DIV/0!</v>
      </c>
      <c r="BY5122" s="215">
        <f t="shared" si="175"/>
        <v>0</v>
      </c>
    </row>
    <row r="5123" spans="76:77" x14ac:dyDescent="0.2">
      <c r="BX5123" s="214" t="e">
        <f t="shared" si="174"/>
        <v>#DIV/0!</v>
      </c>
      <c r="BY5123" s="215">
        <f t="shared" si="175"/>
        <v>0</v>
      </c>
    </row>
    <row r="5124" spans="76:77" x14ac:dyDescent="0.2">
      <c r="BX5124" s="214" t="e">
        <f t="shared" si="174"/>
        <v>#DIV/0!</v>
      </c>
      <c r="BY5124" s="215">
        <f t="shared" si="175"/>
        <v>0</v>
      </c>
    </row>
    <row r="5125" spans="76:77" x14ac:dyDescent="0.2">
      <c r="BX5125" s="214" t="e">
        <f t="shared" si="174"/>
        <v>#DIV/0!</v>
      </c>
      <c r="BY5125" s="215">
        <f t="shared" si="175"/>
        <v>0</v>
      </c>
    </row>
    <row r="5126" spans="76:77" x14ac:dyDescent="0.2">
      <c r="BX5126" s="214" t="e">
        <f t="shared" si="174"/>
        <v>#DIV/0!</v>
      </c>
      <c r="BY5126" s="215">
        <f t="shared" si="175"/>
        <v>0</v>
      </c>
    </row>
    <row r="5127" spans="76:77" x14ac:dyDescent="0.2">
      <c r="BX5127" s="214" t="e">
        <f t="shared" si="174"/>
        <v>#DIV/0!</v>
      </c>
      <c r="BY5127" s="215">
        <f t="shared" si="175"/>
        <v>0</v>
      </c>
    </row>
    <row r="5128" spans="76:77" x14ac:dyDescent="0.2">
      <c r="BX5128" s="214" t="e">
        <f t="shared" si="174"/>
        <v>#DIV/0!</v>
      </c>
      <c r="BY5128" s="215">
        <f t="shared" si="175"/>
        <v>0</v>
      </c>
    </row>
    <row r="5129" spans="76:77" x14ac:dyDescent="0.2">
      <c r="BX5129" s="214" t="e">
        <f t="shared" si="174"/>
        <v>#DIV/0!</v>
      </c>
      <c r="BY5129" s="215">
        <f t="shared" si="175"/>
        <v>0</v>
      </c>
    </row>
    <row r="5130" spans="76:77" x14ac:dyDescent="0.2">
      <c r="BX5130" s="214" t="e">
        <f t="shared" si="174"/>
        <v>#DIV/0!</v>
      </c>
      <c r="BY5130" s="215">
        <f t="shared" si="175"/>
        <v>0</v>
      </c>
    </row>
    <row r="5131" spans="76:77" x14ac:dyDescent="0.2">
      <c r="BX5131" s="214" t="e">
        <f t="shared" si="174"/>
        <v>#DIV/0!</v>
      </c>
      <c r="BY5131" s="215">
        <f t="shared" si="175"/>
        <v>0</v>
      </c>
    </row>
    <row r="5132" spans="76:77" x14ac:dyDescent="0.2">
      <c r="BX5132" s="214" t="e">
        <f t="shared" si="174"/>
        <v>#DIV/0!</v>
      </c>
      <c r="BY5132" s="215">
        <f t="shared" si="175"/>
        <v>0</v>
      </c>
    </row>
    <row r="5133" spans="76:77" x14ac:dyDescent="0.2">
      <c r="BX5133" s="214" t="e">
        <f t="shared" ref="BX5133:BX5196" si="176">BY5133/BV5133</f>
        <v>#DIV/0!</v>
      </c>
      <c r="BY5133" s="215">
        <f t="shared" si="175"/>
        <v>0</v>
      </c>
    </row>
    <row r="5134" spans="76:77" x14ac:dyDescent="0.2">
      <c r="BX5134" s="214" t="e">
        <f t="shared" si="176"/>
        <v>#DIV/0!</v>
      </c>
      <c r="BY5134" s="215">
        <f t="shared" ref="BY5134:BY5197" si="177">BY5133+BW5134*(BV5134-BV5133)</f>
        <v>0</v>
      </c>
    </row>
    <row r="5135" spans="76:77" x14ac:dyDescent="0.2">
      <c r="BX5135" s="214" t="e">
        <f t="shared" si="176"/>
        <v>#DIV/0!</v>
      </c>
      <c r="BY5135" s="215">
        <f t="shared" si="177"/>
        <v>0</v>
      </c>
    </row>
    <row r="5136" spans="76:77" x14ac:dyDescent="0.2">
      <c r="BX5136" s="214" t="e">
        <f t="shared" si="176"/>
        <v>#DIV/0!</v>
      </c>
      <c r="BY5136" s="215">
        <f t="shared" si="177"/>
        <v>0</v>
      </c>
    </row>
    <row r="5137" spans="76:77" x14ac:dyDescent="0.2">
      <c r="BX5137" s="214" t="e">
        <f t="shared" si="176"/>
        <v>#DIV/0!</v>
      </c>
      <c r="BY5137" s="215">
        <f t="shared" si="177"/>
        <v>0</v>
      </c>
    </row>
    <row r="5138" spans="76:77" x14ac:dyDescent="0.2">
      <c r="BX5138" s="214" t="e">
        <f t="shared" si="176"/>
        <v>#DIV/0!</v>
      </c>
      <c r="BY5138" s="215">
        <f t="shared" si="177"/>
        <v>0</v>
      </c>
    </row>
    <row r="5139" spans="76:77" x14ac:dyDescent="0.2">
      <c r="BX5139" s="214" t="e">
        <f t="shared" si="176"/>
        <v>#DIV/0!</v>
      </c>
      <c r="BY5139" s="215">
        <f t="shared" si="177"/>
        <v>0</v>
      </c>
    </row>
    <row r="5140" spans="76:77" x14ac:dyDescent="0.2">
      <c r="BX5140" s="214" t="e">
        <f t="shared" si="176"/>
        <v>#DIV/0!</v>
      </c>
      <c r="BY5140" s="215">
        <f t="shared" si="177"/>
        <v>0</v>
      </c>
    </row>
    <row r="5141" spans="76:77" x14ac:dyDescent="0.2">
      <c r="BX5141" s="214" t="e">
        <f t="shared" si="176"/>
        <v>#DIV/0!</v>
      </c>
      <c r="BY5141" s="215">
        <f t="shared" si="177"/>
        <v>0</v>
      </c>
    </row>
    <row r="5142" spans="76:77" x14ac:dyDescent="0.2">
      <c r="BX5142" s="214" t="e">
        <f t="shared" si="176"/>
        <v>#DIV/0!</v>
      </c>
      <c r="BY5142" s="215">
        <f t="shared" si="177"/>
        <v>0</v>
      </c>
    </row>
    <row r="5143" spans="76:77" x14ac:dyDescent="0.2">
      <c r="BX5143" s="214" t="e">
        <f t="shared" si="176"/>
        <v>#DIV/0!</v>
      </c>
      <c r="BY5143" s="215">
        <f t="shared" si="177"/>
        <v>0</v>
      </c>
    </row>
    <row r="5144" spans="76:77" x14ac:dyDescent="0.2">
      <c r="BX5144" s="214" t="e">
        <f t="shared" si="176"/>
        <v>#DIV/0!</v>
      </c>
      <c r="BY5144" s="215">
        <f t="shared" si="177"/>
        <v>0</v>
      </c>
    </row>
    <row r="5145" spans="76:77" x14ac:dyDescent="0.2">
      <c r="BX5145" s="214" t="e">
        <f t="shared" si="176"/>
        <v>#DIV/0!</v>
      </c>
      <c r="BY5145" s="215">
        <f t="shared" si="177"/>
        <v>0</v>
      </c>
    </row>
    <row r="5146" spans="76:77" x14ac:dyDescent="0.2">
      <c r="BX5146" s="214" t="e">
        <f t="shared" si="176"/>
        <v>#DIV/0!</v>
      </c>
      <c r="BY5146" s="215">
        <f t="shared" si="177"/>
        <v>0</v>
      </c>
    </row>
    <row r="5147" spans="76:77" x14ac:dyDescent="0.2">
      <c r="BX5147" s="214" t="e">
        <f t="shared" si="176"/>
        <v>#DIV/0!</v>
      </c>
      <c r="BY5147" s="215">
        <f t="shared" si="177"/>
        <v>0</v>
      </c>
    </row>
    <row r="5148" spans="76:77" x14ac:dyDescent="0.2">
      <c r="BX5148" s="214" t="e">
        <f t="shared" si="176"/>
        <v>#DIV/0!</v>
      </c>
      <c r="BY5148" s="215">
        <f t="shared" si="177"/>
        <v>0</v>
      </c>
    </row>
    <row r="5149" spans="76:77" x14ac:dyDescent="0.2">
      <c r="BX5149" s="214" t="e">
        <f t="shared" si="176"/>
        <v>#DIV/0!</v>
      </c>
      <c r="BY5149" s="215">
        <f t="shared" si="177"/>
        <v>0</v>
      </c>
    </row>
    <row r="5150" spans="76:77" x14ac:dyDescent="0.2">
      <c r="BX5150" s="214" t="e">
        <f t="shared" si="176"/>
        <v>#DIV/0!</v>
      </c>
      <c r="BY5150" s="215">
        <f t="shared" si="177"/>
        <v>0</v>
      </c>
    </row>
    <row r="5151" spans="76:77" x14ac:dyDescent="0.2">
      <c r="BX5151" s="214" t="e">
        <f t="shared" si="176"/>
        <v>#DIV/0!</v>
      </c>
      <c r="BY5151" s="215">
        <f t="shared" si="177"/>
        <v>0</v>
      </c>
    </row>
    <row r="5152" spans="76:77" x14ac:dyDescent="0.2">
      <c r="BX5152" s="214" t="e">
        <f t="shared" si="176"/>
        <v>#DIV/0!</v>
      </c>
      <c r="BY5152" s="215">
        <f t="shared" si="177"/>
        <v>0</v>
      </c>
    </row>
    <row r="5153" spans="76:77" x14ac:dyDescent="0.2">
      <c r="BX5153" s="214" t="e">
        <f t="shared" si="176"/>
        <v>#DIV/0!</v>
      </c>
      <c r="BY5153" s="215">
        <f t="shared" si="177"/>
        <v>0</v>
      </c>
    </row>
    <row r="5154" spans="76:77" x14ac:dyDescent="0.2">
      <c r="BX5154" s="214" t="e">
        <f t="shared" si="176"/>
        <v>#DIV/0!</v>
      </c>
      <c r="BY5154" s="215">
        <f t="shared" si="177"/>
        <v>0</v>
      </c>
    </row>
    <row r="5155" spans="76:77" x14ac:dyDescent="0.2">
      <c r="BX5155" s="214" t="e">
        <f t="shared" si="176"/>
        <v>#DIV/0!</v>
      </c>
      <c r="BY5155" s="215">
        <f t="shared" si="177"/>
        <v>0</v>
      </c>
    </row>
    <row r="5156" spans="76:77" x14ac:dyDescent="0.2">
      <c r="BX5156" s="214" t="e">
        <f t="shared" si="176"/>
        <v>#DIV/0!</v>
      </c>
      <c r="BY5156" s="215">
        <f t="shared" si="177"/>
        <v>0</v>
      </c>
    </row>
    <row r="5157" spans="76:77" x14ac:dyDescent="0.2">
      <c r="BX5157" s="214" t="e">
        <f t="shared" si="176"/>
        <v>#DIV/0!</v>
      </c>
      <c r="BY5157" s="215">
        <f t="shared" si="177"/>
        <v>0</v>
      </c>
    </row>
    <row r="5158" spans="76:77" x14ac:dyDescent="0.2">
      <c r="BX5158" s="214" t="e">
        <f t="shared" si="176"/>
        <v>#DIV/0!</v>
      </c>
      <c r="BY5158" s="215">
        <f t="shared" si="177"/>
        <v>0</v>
      </c>
    </row>
    <row r="5159" spans="76:77" x14ac:dyDescent="0.2">
      <c r="BX5159" s="214" t="e">
        <f t="shared" si="176"/>
        <v>#DIV/0!</v>
      </c>
      <c r="BY5159" s="215">
        <f t="shared" si="177"/>
        <v>0</v>
      </c>
    </row>
    <row r="5160" spans="76:77" x14ac:dyDescent="0.2">
      <c r="BX5160" s="214" t="e">
        <f t="shared" si="176"/>
        <v>#DIV/0!</v>
      </c>
      <c r="BY5160" s="215">
        <f t="shared" si="177"/>
        <v>0</v>
      </c>
    </row>
    <row r="5161" spans="76:77" x14ac:dyDescent="0.2">
      <c r="BX5161" s="214" t="e">
        <f t="shared" si="176"/>
        <v>#DIV/0!</v>
      </c>
      <c r="BY5161" s="215">
        <f t="shared" si="177"/>
        <v>0</v>
      </c>
    </row>
    <row r="5162" spans="76:77" x14ac:dyDescent="0.2">
      <c r="BX5162" s="214" t="e">
        <f t="shared" si="176"/>
        <v>#DIV/0!</v>
      </c>
      <c r="BY5162" s="215">
        <f t="shared" si="177"/>
        <v>0</v>
      </c>
    </row>
    <row r="5163" spans="76:77" x14ac:dyDescent="0.2">
      <c r="BX5163" s="214" t="e">
        <f t="shared" si="176"/>
        <v>#DIV/0!</v>
      </c>
      <c r="BY5163" s="215">
        <f t="shared" si="177"/>
        <v>0</v>
      </c>
    </row>
    <row r="5164" spans="76:77" x14ac:dyDescent="0.2">
      <c r="BX5164" s="214" t="e">
        <f t="shared" si="176"/>
        <v>#DIV/0!</v>
      </c>
      <c r="BY5164" s="215">
        <f t="shared" si="177"/>
        <v>0</v>
      </c>
    </row>
    <row r="5165" spans="76:77" x14ac:dyDescent="0.2">
      <c r="BX5165" s="214" t="e">
        <f t="shared" si="176"/>
        <v>#DIV/0!</v>
      </c>
      <c r="BY5165" s="215">
        <f t="shared" si="177"/>
        <v>0</v>
      </c>
    </row>
    <row r="5166" spans="76:77" x14ac:dyDescent="0.2">
      <c r="BX5166" s="214" t="e">
        <f t="shared" si="176"/>
        <v>#DIV/0!</v>
      </c>
      <c r="BY5166" s="215">
        <f t="shared" si="177"/>
        <v>0</v>
      </c>
    </row>
    <row r="5167" spans="76:77" x14ac:dyDescent="0.2">
      <c r="BX5167" s="214" t="e">
        <f t="shared" si="176"/>
        <v>#DIV/0!</v>
      </c>
      <c r="BY5167" s="215">
        <f t="shared" si="177"/>
        <v>0</v>
      </c>
    </row>
    <row r="5168" spans="76:77" x14ac:dyDescent="0.2">
      <c r="BX5168" s="214" t="e">
        <f t="shared" si="176"/>
        <v>#DIV/0!</v>
      </c>
      <c r="BY5168" s="215">
        <f t="shared" si="177"/>
        <v>0</v>
      </c>
    </row>
    <row r="5169" spans="76:77" x14ac:dyDescent="0.2">
      <c r="BX5169" s="214" t="e">
        <f t="shared" si="176"/>
        <v>#DIV/0!</v>
      </c>
      <c r="BY5169" s="215">
        <f t="shared" si="177"/>
        <v>0</v>
      </c>
    </row>
    <row r="5170" spans="76:77" x14ac:dyDescent="0.2">
      <c r="BX5170" s="214" t="e">
        <f t="shared" si="176"/>
        <v>#DIV/0!</v>
      </c>
      <c r="BY5170" s="215">
        <f t="shared" si="177"/>
        <v>0</v>
      </c>
    </row>
    <row r="5171" spans="76:77" x14ac:dyDescent="0.2">
      <c r="BX5171" s="214" t="e">
        <f t="shared" si="176"/>
        <v>#DIV/0!</v>
      </c>
      <c r="BY5171" s="215">
        <f t="shared" si="177"/>
        <v>0</v>
      </c>
    </row>
    <row r="5172" spans="76:77" x14ac:dyDescent="0.2">
      <c r="BX5172" s="214" t="e">
        <f t="shared" si="176"/>
        <v>#DIV/0!</v>
      </c>
      <c r="BY5172" s="215">
        <f t="shared" si="177"/>
        <v>0</v>
      </c>
    </row>
    <row r="5173" spans="76:77" x14ac:dyDescent="0.2">
      <c r="BX5173" s="214" t="e">
        <f t="shared" si="176"/>
        <v>#DIV/0!</v>
      </c>
      <c r="BY5173" s="215">
        <f t="shared" si="177"/>
        <v>0</v>
      </c>
    </row>
    <row r="5174" spans="76:77" x14ac:dyDescent="0.2">
      <c r="BX5174" s="214" t="e">
        <f t="shared" si="176"/>
        <v>#DIV/0!</v>
      </c>
      <c r="BY5174" s="215">
        <f t="shared" si="177"/>
        <v>0</v>
      </c>
    </row>
    <row r="5175" spans="76:77" x14ac:dyDescent="0.2">
      <c r="BX5175" s="214" t="e">
        <f t="shared" si="176"/>
        <v>#DIV/0!</v>
      </c>
      <c r="BY5175" s="215">
        <f t="shared" si="177"/>
        <v>0</v>
      </c>
    </row>
    <row r="5176" spans="76:77" x14ac:dyDescent="0.2">
      <c r="BX5176" s="214" t="e">
        <f t="shared" si="176"/>
        <v>#DIV/0!</v>
      </c>
      <c r="BY5176" s="215">
        <f t="shared" si="177"/>
        <v>0</v>
      </c>
    </row>
    <row r="5177" spans="76:77" x14ac:dyDescent="0.2">
      <c r="BX5177" s="214" t="e">
        <f t="shared" si="176"/>
        <v>#DIV/0!</v>
      </c>
      <c r="BY5177" s="215">
        <f t="shared" si="177"/>
        <v>0</v>
      </c>
    </row>
    <row r="5178" spans="76:77" x14ac:dyDescent="0.2">
      <c r="BX5178" s="214" t="e">
        <f t="shared" si="176"/>
        <v>#DIV/0!</v>
      </c>
      <c r="BY5178" s="215">
        <f t="shared" si="177"/>
        <v>0</v>
      </c>
    </row>
    <row r="5179" spans="76:77" x14ac:dyDescent="0.2">
      <c r="BX5179" s="214" t="e">
        <f t="shared" si="176"/>
        <v>#DIV/0!</v>
      </c>
      <c r="BY5179" s="215">
        <f t="shared" si="177"/>
        <v>0</v>
      </c>
    </row>
    <row r="5180" spans="76:77" x14ac:dyDescent="0.2">
      <c r="BX5180" s="214" t="e">
        <f t="shared" si="176"/>
        <v>#DIV/0!</v>
      </c>
      <c r="BY5180" s="215">
        <f t="shared" si="177"/>
        <v>0</v>
      </c>
    </row>
    <row r="5181" spans="76:77" x14ac:dyDescent="0.2">
      <c r="BX5181" s="214" t="e">
        <f t="shared" si="176"/>
        <v>#DIV/0!</v>
      </c>
      <c r="BY5181" s="215">
        <f t="shared" si="177"/>
        <v>0</v>
      </c>
    </row>
    <row r="5182" spans="76:77" x14ac:dyDescent="0.2">
      <c r="BX5182" s="214" t="e">
        <f t="shared" si="176"/>
        <v>#DIV/0!</v>
      </c>
      <c r="BY5182" s="215">
        <f t="shared" si="177"/>
        <v>0</v>
      </c>
    </row>
    <row r="5183" spans="76:77" x14ac:dyDescent="0.2">
      <c r="BX5183" s="214" t="e">
        <f t="shared" si="176"/>
        <v>#DIV/0!</v>
      </c>
      <c r="BY5183" s="215">
        <f t="shared" si="177"/>
        <v>0</v>
      </c>
    </row>
    <row r="5184" spans="76:77" x14ac:dyDescent="0.2">
      <c r="BX5184" s="214" t="e">
        <f t="shared" si="176"/>
        <v>#DIV/0!</v>
      </c>
      <c r="BY5184" s="215">
        <f t="shared" si="177"/>
        <v>0</v>
      </c>
    </row>
    <row r="5185" spans="76:77" x14ac:dyDescent="0.2">
      <c r="BX5185" s="214" t="e">
        <f t="shared" si="176"/>
        <v>#DIV/0!</v>
      </c>
      <c r="BY5185" s="215">
        <f t="shared" si="177"/>
        <v>0</v>
      </c>
    </row>
    <row r="5186" spans="76:77" x14ac:dyDescent="0.2">
      <c r="BX5186" s="214" t="e">
        <f t="shared" si="176"/>
        <v>#DIV/0!</v>
      </c>
      <c r="BY5186" s="215">
        <f t="shared" si="177"/>
        <v>0</v>
      </c>
    </row>
    <row r="5187" spans="76:77" x14ac:dyDescent="0.2">
      <c r="BX5187" s="214" t="e">
        <f t="shared" si="176"/>
        <v>#DIV/0!</v>
      </c>
      <c r="BY5187" s="215">
        <f t="shared" si="177"/>
        <v>0</v>
      </c>
    </row>
    <row r="5188" spans="76:77" x14ac:dyDescent="0.2">
      <c r="BX5188" s="214" t="e">
        <f t="shared" si="176"/>
        <v>#DIV/0!</v>
      </c>
      <c r="BY5188" s="215">
        <f t="shared" si="177"/>
        <v>0</v>
      </c>
    </row>
    <row r="5189" spans="76:77" x14ac:dyDescent="0.2">
      <c r="BX5189" s="214" t="e">
        <f t="shared" si="176"/>
        <v>#DIV/0!</v>
      </c>
      <c r="BY5189" s="215">
        <f t="shared" si="177"/>
        <v>0</v>
      </c>
    </row>
    <row r="5190" spans="76:77" x14ac:dyDescent="0.2">
      <c r="BX5190" s="214" t="e">
        <f t="shared" si="176"/>
        <v>#DIV/0!</v>
      </c>
      <c r="BY5190" s="215">
        <f t="shared" si="177"/>
        <v>0</v>
      </c>
    </row>
    <row r="5191" spans="76:77" x14ac:dyDescent="0.2">
      <c r="BX5191" s="214" t="e">
        <f t="shared" si="176"/>
        <v>#DIV/0!</v>
      </c>
      <c r="BY5191" s="215">
        <f t="shared" si="177"/>
        <v>0</v>
      </c>
    </row>
    <row r="5192" spans="76:77" x14ac:dyDescent="0.2">
      <c r="BX5192" s="214" t="e">
        <f t="shared" si="176"/>
        <v>#DIV/0!</v>
      </c>
      <c r="BY5192" s="215">
        <f t="shared" si="177"/>
        <v>0</v>
      </c>
    </row>
    <row r="5193" spans="76:77" x14ac:dyDescent="0.2">
      <c r="BX5193" s="214" t="e">
        <f t="shared" si="176"/>
        <v>#DIV/0!</v>
      </c>
      <c r="BY5193" s="215">
        <f t="shared" si="177"/>
        <v>0</v>
      </c>
    </row>
    <row r="5194" spans="76:77" x14ac:dyDescent="0.2">
      <c r="BX5194" s="214" t="e">
        <f t="shared" si="176"/>
        <v>#DIV/0!</v>
      </c>
      <c r="BY5194" s="215">
        <f t="shared" si="177"/>
        <v>0</v>
      </c>
    </row>
    <row r="5195" spans="76:77" x14ac:dyDescent="0.2">
      <c r="BX5195" s="214" t="e">
        <f t="shared" si="176"/>
        <v>#DIV/0!</v>
      </c>
      <c r="BY5195" s="215">
        <f t="shared" si="177"/>
        <v>0</v>
      </c>
    </row>
    <row r="5196" spans="76:77" x14ac:dyDescent="0.2">
      <c r="BX5196" s="214" t="e">
        <f t="shared" si="176"/>
        <v>#DIV/0!</v>
      </c>
      <c r="BY5196" s="215">
        <f t="shared" si="177"/>
        <v>0</v>
      </c>
    </row>
    <row r="5197" spans="76:77" x14ac:dyDescent="0.2">
      <c r="BX5197" s="214" t="e">
        <f t="shared" ref="BX5197:BX5260" si="178">BY5197/BV5197</f>
        <v>#DIV/0!</v>
      </c>
      <c r="BY5197" s="215">
        <f t="shared" si="177"/>
        <v>0</v>
      </c>
    </row>
    <row r="5198" spans="76:77" x14ac:dyDescent="0.2">
      <c r="BX5198" s="214" t="e">
        <f t="shared" si="178"/>
        <v>#DIV/0!</v>
      </c>
      <c r="BY5198" s="215">
        <f t="shared" ref="BY5198:BY5261" si="179">BY5197+BW5198*(BV5198-BV5197)</f>
        <v>0</v>
      </c>
    </row>
    <row r="5199" spans="76:77" x14ac:dyDescent="0.2">
      <c r="BX5199" s="214" t="e">
        <f t="shared" si="178"/>
        <v>#DIV/0!</v>
      </c>
      <c r="BY5199" s="215">
        <f t="shared" si="179"/>
        <v>0</v>
      </c>
    </row>
    <row r="5200" spans="76:77" x14ac:dyDescent="0.2">
      <c r="BX5200" s="214" t="e">
        <f t="shared" si="178"/>
        <v>#DIV/0!</v>
      </c>
      <c r="BY5200" s="215">
        <f t="shared" si="179"/>
        <v>0</v>
      </c>
    </row>
    <row r="5201" spans="76:77" x14ac:dyDescent="0.2">
      <c r="BX5201" s="214" t="e">
        <f t="shared" si="178"/>
        <v>#DIV/0!</v>
      </c>
      <c r="BY5201" s="215">
        <f t="shared" si="179"/>
        <v>0</v>
      </c>
    </row>
    <row r="5202" spans="76:77" x14ac:dyDescent="0.2">
      <c r="BX5202" s="214" t="e">
        <f t="shared" si="178"/>
        <v>#DIV/0!</v>
      </c>
      <c r="BY5202" s="215">
        <f t="shared" si="179"/>
        <v>0</v>
      </c>
    </row>
    <row r="5203" spans="76:77" x14ac:dyDescent="0.2">
      <c r="BX5203" s="214" t="e">
        <f t="shared" si="178"/>
        <v>#DIV/0!</v>
      </c>
      <c r="BY5203" s="215">
        <f t="shared" si="179"/>
        <v>0</v>
      </c>
    </row>
    <row r="5204" spans="76:77" x14ac:dyDescent="0.2">
      <c r="BX5204" s="214" t="e">
        <f t="shared" si="178"/>
        <v>#DIV/0!</v>
      </c>
      <c r="BY5204" s="215">
        <f t="shared" si="179"/>
        <v>0</v>
      </c>
    </row>
    <row r="5205" spans="76:77" x14ac:dyDescent="0.2">
      <c r="BX5205" s="214" t="e">
        <f t="shared" si="178"/>
        <v>#DIV/0!</v>
      </c>
      <c r="BY5205" s="215">
        <f t="shared" si="179"/>
        <v>0</v>
      </c>
    </row>
    <row r="5206" spans="76:77" x14ac:dyDescent="0.2">
      <c r="BX5206" s="214" t="e">
        <f t="shared" si="178"/>
        <v>#DIV/0!</v>
      </c>
      <c r="BY5206" s="215">
        <f t="shared" si="179"/>
        <v>0</v>
      </c>
    </row>
    <row r="5207" spans="76:77" x14ac:dyDescent="0.2">
      <c r="BX5207" s="214" t="e">
        <f t="shared" si="178"/>
        <v>#DIV/0!</v>
      </c>
      <c r="BY5207" s="215">
        <f t="shared" si="179"/>
        <v>0</v>
      </c>
    </row>
    <row r="5208" spans="76:77" x14ac:dyDescent="0.2">
      <c r="BX5208" s="214" t="e">
        <f t="shared" si="178"/>
        <v>#DIV/0!</v>
      </c>
      <c r="BY5208" s="215">
        <f t="shared" si="179"/>
        <v>0</v>
      </c>
    </row>
    <row r="5209" spans="76:77" x14ac:dyDescent="0.2">
      <c r="BX5209" s="214" t="e">
        <f t="shared" si="178"/>
        <v>#DIV/0!</v>
      </c>
      <c r="BY5209" s="215">
        <f t="shared" si="179"/>
        <v>0</v>
      </c>
    </row>
    <row r="5210" spans="76:77" x14ac:dyDescent="0.2">
      <c r="BX5210" s="214" t="e">
        <f t="shared" si="178"/>
        <v>#DIV/0!</v>
      </c>
      <c r="BY5210" s="215">
        <f t="shared" si="179"/>
        <v>0</v>
      </c>
    </row>
    <row r="5211" spans="76:77" x14ac:dyDescent="0.2">
      <c r="BX5211" s="214" t="e">
        <f t="shared" si="178"/>
        <v>#DIV/0!</v>
      </c>
      <c r="BY5211" s="215">
        <f t="shared" si="179"/>
        <v>0</v>
      </c>
    </row>
    <row r="5212" spans="76:77" x14ac:dyDescent="0.2">
      <c r="BX5212" s="214" t="e">
        <f t="shared" si="178"/>
        <v>#DIV/0!</v>
      </c>
      <c r="BY5212" s="215">
        <f t="shared" si="179"/>
        <v>0</v>
      </c>
    </row>
    <row r="5213" spans="76:77" x14ac:dyDescent="0.2">
      <c r="BX5213" s="214" t="e">
        <f t="shared" si="178"/>
        <v>#DIV/0!</v>
      </c>
      <c r="BY5213" s="215">
        <f t="shared" si="179"/>
        <v>0</v>
      </c>
    </row>
    <row r="5214" spans="76:77" x14ac:dyDescent="0.2">
      <c r="BX5214" s="214" t="e">
        <f t="shared" si="178"/>
        <v>#DIV/0!</v>
      </c>
      <c r="BY5214" s="215">
        <f t="shared" si="179"/>
        <v>0</v>
      </c>
    </row>
    <row r="5215" spans="76:77" x14ac:dyDescent="0.2">
      <c r="BX5215" s="214" t="e">
        <f t="shared" si="178"/>
        <v>#DIV/0!</v>
      </c>
      <c r="BY5215" s="215">
        <f t="shared" si="179"/>
        <v>0</v>
      </c>
    </row>
    <row r="5216" spans="76:77" x14ac:dyDescent="0.2">
      <c r="BX5216" s="214" t="e">
        <f t="shared" si="178"/>
        <v>#DIV/0!</v>
      </c>
      <c r="BY5216" s="215">
        <f t="shared" si="179"/>
        <v>0</v>
      </c>
    </row>
    <row r="5217" spans="76:77" x14ac:dyDescent="0.2">
      <c r="BX5217" s="214" t="e">
        <f t="shared" si="178"/>
        <v>#DIV/0!</v>
      </c>
      <c r="BY5217" s="215">
        <f t="shared" si="179"/>
        <v>0</v>
      </c>
    </row>
    <row r="5218" spans="76:77" x14ac:dyDescent="0.2">
      <c r="BX5218" s="214" t="e">
        <f t="shared" si="178"/>
        <v>#DIV/0!</v>
      </c>
      <c r="BY5218" s="215">
        <f t="shared" si="179"/>
        <v>0</v>
      </c>
    </row>
    <row r="5219" spans="76:77" x14ac:dyDescent="0.2">
      <c r="BX5219" s="214" t="e">
        <f t="shared" si="178"/>
        <v>#DIV/0!</v>
      </c>
      <c r="BY5219" s="215">
        <f t="shared" si="179"/>
        <v>0</v>
      </c>
    </row>
    <row r="5220" spans="76:77" x14ac:dyDescent="0.2">
      <c r="BX5220" s="214" t="e">
        <f t="shared" si="178"/>
        <v>#DIV/0!</v>
      </c>
      <c r="BY5220" s="215">
        <f t="shared" si="179"/>
        <v>0</v>
      </c>
    </row>
    <row r="5221" spans="76:77" x14ac:dyDescent="0.2">
      <c r="BX5221" s="214" t="e">
        <f t="shared" si="178"/>
        <v>#DIV/0!</v>
      </c>
      <c r="BY5221" s="215">
        <f t="shared" si="179"/>
        <v>0</v>
      </c>
    </row>
    <row r="5222" spans="76:77" x14ac:dyDescent="0.2">
      <c r="BX5222" s="214" t="e">
        <f t="shared" si="178"/>
        <v>#DIV/0!</v>
      </c>
      <c r="BY5222" s="215">
        <f t="shared" si="179"/>
        <v>0</v>
      </c>
    </row>
    <row r="5223" spans="76:77" x14ac:dyDescent="0.2">
      <c r="BX5223" s="214" t="e">
        <f t="shared" si="178"/>
        <v>#DIV/0!</v>
      </c>
      <c r="BY5223" s="215">
        <f t="shared" si="179"/>
        <v>0</v>
      </c>
    </row>
    <row r="5224" spans="76:77" x14ac:dyDescent="0.2">
      <c r="BX5224" s="214" t="e">
        <f t="shared" si="178"/>
        <v>#DIV/0!</v>
      </c>
      <c r="BY5224" s="215">
        <f t="shared" si="179"/>
        <v>0</v>
      </c>
    </row>
    <row r="5225" spans="76:77" x14ac:dyDescent="0.2">
      <c r="BX5225" s="214" t="e">
        <f t="shared" si="178"/>
        <v>#DIV/0!</v>
      </c>
      <c r="BY5225" s="215">
        <f t="shared" si="179"/>
        <v>0</v>
      </c>
    </row>
    <row r="5226" spans="76:77" x14ac:dyDescent="0.2">
      <c r="BX5226" s="214" t="e">
        <f t="shared" si="178"/>
        <v>#DIV/0!</v>
      </c>
      <c r="BY5226" s="215">
        <f t="shared" si="179"/>
        <v>0</v>
      </c>
    </row>
    <row r="5227" spans="76:77" x14ac:dyDescent="0.2">
      <c r="BX5227" s="214" t="e">
        <f t="shared" si="178"/>
        <v>#DIV/0!</v>
      </c>
      <c r="BY5227" s="215">
        <f t="shared" si="179"/>
        <v>0</v>
      </c>
    </row>
    <row r="5228" spans="76:77" x14ac:dyDescent="0.2">
      <c r="BX5228" s="214" t="e">
        <f t="shared" si="178"/>
        <v>#DIV/0!</v>
      </c>
      <c r="BY5228" s="215">
        <f t="shared" si="179"/>
        <v>0</v>
      </c>
    </row>
    <row r="5229" spans="76:77" x14ac:dyDescent="0.2">
      <c r="BX5229" s="214" t="e">
        <f t="shared" si="178"/>
        <v>#DIV/0!</v>
      </c>
      <c r="BY5229" s="215">
        <f t="shared" si="179"/>
        <v>0</v>
      </c>
    </row>
    <row r="5230" spans="76:77" x14ac:dyDescent="0.2">
      <c r="BX5230" s="214" t="e">
        <f t="shared" si="178"/>
        <v>#DIV/0!</v>
      </c>
      <c r="BY5230" s="215">
        <f t="shared" si="179"/>
        <v>0</v>
      </c>
    </row>
    <row r="5231" spans="76:77" x14ac:dyDescent="0.2">
      <c r="BX5231" s="214" t="e">
        <f t="shared" si="178"/>
        <v>#DIV/0!</v>
      </c>
      <c r="BY5231" s="215">
        <f t="shared" si="179"/>
        <v>0</v>
      </c>
    </row>
    <row r="5232" spans="76:77" x14ac:dyDescent="0.2">
      <c r="BX5232" s="214" t="e">
        <f t="shared" si="178"/>
        <v>#DIV/0!</v>
      </c>
      <c r="BY5232" s="215">
        <f t="shared" si="179"/>
        <v>0</v>
      </c>
    </row>
    <row r="5233" spans="76:77" x14ac:dyDescent="0.2">
      <c r="BX5233" s="214" t="e">
        <f t="shared" si="178"/>
        <v>#DIV/0!</v>
      </c>
      <c r="BY5233" s="215">
        <f t="shared" si="179"/>
        <v>0</v>
      </c>
    </row>
    <row r="5234" spans="76:77" x14ac:dyDescent="0.2">
      <c r="BX5234" s="214" t="e">
        <f t="shared" si="178"/>
        <v>#DIV/0!</v>
      </c>
      <c r="BY5234" s="215">
        <f t="shared" si="179"/>
        <v>0</v>
      </c>
    </row>
    <row r="5235" spans="76:77" x14ac:dyDescent="0.2">
      <c r="BX5235" s="214" t="e">
        <f t="shared" si="178"/>
        <v>#DIV/0!</v>
      </c>
      <c r="BY5235" s="215">
        <f t="shared" si="179"/>
        <v>0</v>
      </c>
    </row>
    <row r="5236" spans="76:77" x14ac:dyDescent="0.2">
      <c r="BX5236" s="214" t="e">
        <f t="shared" si="178"/>
        <v>#DIV/0!</v>
      </c>
      <c r="BY5236" s="215">
        <f t="shared" si="179"/>
        <v>0</v>
      </c>
    </row>
    <row r="5237" spans="76:77" x14ac:dyDescent="0.2">
      <c r="BX5237" s="214" t="e">
        <f t="shared" si="178"/>
        <v>#DIV/0!</v>
      </c>
      <c r="BY5237" s="215">
        <f t="shared" si="179"/>
        <v>0</v>
      </c>
    </row>
    <row r="5238" spans="76:77" x14ac:dyDescent="0.2">
      <c r="BX5238" s="214" t="e">
        <f t="shared" si="178"/>
        <v>#DIV/0!</v>
      </c>
      <c r="BY5238" s="215">
        <f t="shared" si="179"/>
        <v>0</v>
      </c>
    </row>
    <row r="5239" spans="76:77" x14ac:dyDescent="0.2">
      <c r="BX5239" s="214" t="e">
        <f t="shared" si="178"/>
        <v>#DIV/0!</v>
      </c>
      <c r="BY5239" s="215">
        <f t="shared" si="179"/>
        <v>0</v>
      </c>
    </row>
    <row r="5240" spans="76:77" x14ac:dyDescent="0.2">
      <c r="BX5240" s="214" t="e">
        <f t="shared" si="178"/>
        <v>#DIV/0!</v>
      </c>
      <c r="BY5240" s="215">
        <f t="shared" si="179"/>
        <v>0</v>
      </c>
    </row>
    <row r="5241" spans="76:77" x14ac:dyDescent="0.2">
      <c r="BX5241" s="214" t="e">
        <f t="shared" si="178"/>
        <v>#DIV/0!</v>
      </c>
      <c r="BY5241" s="215">
        <f t="shared" si="179"/>
        <v>0</v>
      </c>
    </row>
    <row r="5242" spans="76:77" x14ac:dyDescent="0.2">
      <c r="BX5242" s="214" t="e">
        <f t="shared" si="178"/>
        <v>#DIV/0!</v>
      </c>
      <c r="BY5242" s="215">
        <f t="shared" si="179"/>
        <v>0</v>
      </c>
    </row>
    <row r="5243" spans="76:77" x14ac:dyDescent="0.2">
      <c r="BX5243" s="214" t="e">
        <f t="shared" si="178"/>
        <v>#DIV/0!</v>
      </c>
      <c r="BY5243" s="215">
        <f t="shared" si="179"/>
        <v>0</v>
      </c>
    </row>
    <row r="5244" spans="76:77" x14ac:dyDescent="0.2">
      <c r="BX5244" s="214" t="e">
        <f t="shared" si="178"/>
        <v>#DIV/0!</v>
      </c>
      <c r="BY5244" s="215">
        <f t="shared" si="179"/>
        <v>0</v>
      </c>
    </row>
    <row r="5245" spans="76:77" x14ac:dyDescent="0.2">
      <c r="BX5245" s="214" t="e">
        <f t="shared" si="178"/>
        <v>#DIV/0!</v>
      </c>
      <c r="BY5245" s="215">
        <f t="shared" si="179"/>
        <v>0</v>
      </c>
    </row>
    <row r="5246" spans="76:77" x14ac:dyDescent="0.2">
      <c r="BX5246" s="214" t="e">
        <f t="shared" si="178"/>
        <v>#DIV/0!</v>
      </c>
      <c r="BY5246" s="215">
        <f t="shared" si="179"/>
        <v>0</v>
      </c>
    </row>
    <row r="5247" spans="76:77" x14ac:dyDescent="0.2">
      <c r="BX5247" s="214" t="e">
        <f t="shared" si="178"/>
        <v>#DIV/0!</v>
      </c>
      <c r="BY5247" s="215">
        <f t="shared" si="179"/>
        <v>0</v>
      </c>
    </row>
    <row r="5248" spans="76:77" x14ac:dyDescent="0.2">
      <c r="BX5248" s="214" t="e">
        <f t="shared" si="178"/>
        <v>#DIV/0!</v>
      </c>
      <c r="BY5248" s="215">
        <f t="shared" si="179"/>
        <v>0</v>
      </c>
    </row>
    <row r="5249" spans="76:77" x14ac:dyDescent="0.2">
      <c r="BX5249" s="214" t="e">
        <f t="shared" si="178"/>
        <v>#DIV/0!</v>
      </c>
      <c r="BY5249" s="215">
        <f t="shared" si="179"/>
        <v>0</v>
      </c>
    </row>
    <row r="5250" spans="76:77" x14ac:dyDescent="0.2">
      <c r="BX5250" s="214" t="e">
        <f t="shared" si="178"/>
        <v>#DIV/0!</v>
      </c>
      <c r="BY5250" s="215">
        <f t="shared" si="179"/>
        <v>0</v>
      </c>
    </row>
    <row r="5251" spans="76:77" x14ac:dyDescent="0.2">
      <c r="BX5251" s="214" t="e">
        <f t="shared" si="178"/>
        <v>#DIV/0!</v>
      </c>
      <c r="BY5251" s="215">
        <f t="shared" si="179"/>
        <v>0</v>
      </c>
    </row>
    <row r="5252" spans="76:77" x14ac:dyDescent="0.2">
      <c r="BX5252" s="214" t="e">
        <f t="shared" si="178"/>
        <v>#DIV/0!</v>
      </c>
      <c r="BY5252" s="215">
        <f t="shared" si="179"/>
        <v>0</v>
      </c>
    </row>
    <row r="5253" spans="76:77" x14ac:dyDescent="0.2">
      <c r="BX5253" s="214" t="e">
        <f t="shared" si="178"/>
        <v>#DIV/0!</v>
      </c>
      <c r="BY5253" s="215">
        <f t="shared" si="179"/>
        <v>0</v>
      </c>
    </row>
    <row r="5254" spans="76:77" x14ac:dyDescent="0.2">
      <c r="BX5254" s="214" t="e">
        <f t="shared" si="178"/>
        <v>#DIV/0!</v>
      </c>
      <c r="BY5254" s="215">
        <f t="shared" si="179"/>
        <v>0</v>
      </c>
    </row>
    <row r="5255" spans="76:77" x14ac:dyDescent="0.2">
      <c r="BX5255" s="214" t="e">
        <f t="shared" si="178"/>
        <v>#DIV/0!</v>
      </c>
      <c r="BY5255" s="215">
        <f t="shared" si="179"/>
        <v>0</v>
      </c>
    </row>
    <row r="5256" spans="76:77" x14ac:dyDescent="0.2">
      <c r="BX5256" s="214" t="e">
        <f t="shared" si="178"/>
        <v>#DIV/0!</v>
      </c>
      <c r="BY5256" s="215">
        <f t="shared" si="179"/>
        <v>0</v>
      </c>
    </row>
    <row r="5257" spans="76:77" x14ac:dyDescent="0.2">
      <c r="BX5257" s="214" t="e">
        <f t="shared" si="178"/>
        <v>#DIV/0!</v>
      </c>
      <c r="BY5257" s="215">
        <f t="shared" si="179"/>
        <v>0</v>
      </c>
    </row>
    <row r="5258" spans="76:77" x14ac:dyDescent="0.2">
      <c r="BX5258" s="214" t="e">
        <f t="shared" si="178"/>
        <v>#DIV/0!</v>
      </c>
      <c r="BY5258" s="215">
        <f t="shared" si="179"/>
        <v>0</v>
      </c>
    </row>
    <row r="5259" spans="76:77" x14ac:dyDescent="0.2">
      <c r="BX5259" s="214" t="e">
        <f t="shared" si="178"/>
        <v>#DIV/0!</v>
      </c>
      <c r="BY5259" s="215">
        <f t="shared" si="179"/>
        <v>0</v>
      </c>
    </row>
    <row r="5260" spans="76:77" x14ac:dyDescent="0.2">
      <c r="BX5260" s="214" t="e">
        <f t="shared" si="178"/>
        <v>#DIV/0!</v>
      </c>
      <c r="BY5260" s="215">
        <f t="shared" si="179"/>
        <v>0</v>
      </c>
    </row>
    <row r="5261" spans="76:77" x14ac:dyDescent="0.2">
      <c r="BX5261" s="214" t="e">
        <f t="shared" ref="BX5261:BX5324" si="180">BY5261/BV5261</f>
        <v>#DIV/0!</v>
      </c>
      <c r="BY5261" s="215">
        <f t="shared" si="179"/>
        <v>0</v>
      </c>
    </row>
    <row r="5262" spans="76:77" x14ac:dyDescent="0.2">
      <c r="BX5262" s="214" t="e">
        <f t="shared" si="180"/>
        <v>#DIV/0!</v>
      </c>
      <c r="BY5262" s="215">
        <f t="shared" ref="BY5262:BY5325" si="181">BY5261+BW5262*(BV5262-BV5261)</f>
        <v>0</v>
      </c>
    </row>
    <row r="5263" spans="76:77" x14ac:dyDescent="0.2">
      <c r="BX5263" s="214" t="e">
        <f t="shared" si="180"/>
        <v>#DIV/0!</v>
      </c>
      <c r="BY5263" s="215">
        <f t="shared" si="181"/>
        <v>0</v>
      </c>
    </row>
    <row r="5264" spans="76:77" x14ac:dyDescent="0.2">
      <c r="BX5264" s="214" t="e">
        <f t="shared" si="180"/>
        <v>#DIV/0!</v>
      </c>
      <c r="BY5264" s="215">
        <f t="shared" si="181"/>
        <v>0</v>
      </c>
    </row>
    <row r="5265" spans="76:77" x14ac:dyDescent="0.2">
      <c r="BX5265" s="214" t="e">
        <f t="shared" si="180"/>
        <v>#DIV/0!</v>
      </c>
      <c r="BY5265" s="215">
        <f t="shared" si="181"/>
        <v>0</v>
      </c>
    </row>
    <row r="5266" spans="76:77" x14ac:dyDescent="0.2">
      <c r="BX5266" s="214" t="e">
        <f t="shared" si="180"/>
        <v>#DIV/0!</v>
      </c>
      <c r="BY5266" s="215">
        <f t="shared" si="181"/>
        <v>0</v>
      </c>
    </row>
    <row r="5267" spans="76:77" x14ac:dyDescent="0.2">
      <c r="BX5267" s="214" t="e">
        <f t="shared" si="180"/>
        <v>#DIV/0!</v>
      </c>
      <c r="BY5267" s="215">
        <f t="shared" si="181"/>
        <v>0</v>
      </c>
    </row>
    <row r="5268" spans="76:77" x14ac:dyDescent="0.2">
      <c r="BX5268" s="214" t="e">
        <f t="shared" si="180"/>
        <v>#DIV/0!</v>
      </c>
      <c r="BY5268" s="215">
        <f t="shared" si="181"/>
        <v>0</v>
      </c>
    </row>
    <row r="5269" spans="76:77" x14ac:dyDescent="0.2">
      <c r="BX5269" s="214" t="e">
        <f t="shared" si="180"/>
        <v>#DIV/0!</v>
      </c>
      <c r="BY5269" s="215">
        <f t="shared" si="181"/>
        <v>0</v>
      </c>
    </row>
    <row r="5270" spans="76:77" x14ac:dyDescent="0.2">
      <c r="BX5270" s="214" t="e">
        <f t="shared" si="180"/>
        <v>#DIV/0!</v>
      </c>
      <c r="BY5270" s="215">
        <f t="shared" si="181"/>
        <v>0</v>
      </c>
    </row>
    <row r="5271" spans="76:77" x14ac:dyDescent="0.2">
      <c r="BX5271" s="214" t="e">
        <f t="shared" si="180"/>
        <v>#DIV/0!</v>
      </c>
      <c r="BY5271" s="215">
        <f t="shared" si="181"/>
        <v>0</v>
      </c>
    </row>
    <row r="5272" spans="76:77" x14ac:dyDescent="0.2">
      <c r="BX5272" s="214" t="e">
        <f t="shared" si="180"/>
        <v>#DIV/0!</v>
      </c>
      <c r="BY5272" s="215">
        <f t="shared" si="181"/>
        <v>0</v>
      </c>
    </row>
    <row r="5273" spans="76:77" x14ac:dyDescent="0.2">
      <c r="BX5273" s="214" t="e">
        <f t="shared" si="180"/>
        <v>#DIV/0!</v>
      </c>
      <c r="BY5273" s="215">
        <f t="shared" si="181"/>
        <v>0</v>
      </c>
    </row>
    <row r="5274" spans="76:77" x14ac:dyDescent="0.2">
      <c r="BX5274" s="214" t="e">
        <f t="shared" si="180"/>
        <v>#DIV/0!</v>
      </c>
      <c r="BY5274" s="215">
        <f t="shared" si="181"/>
        <v>0</v>
      </c>
    </row>
    <row r="5275" spans="76:77" x14ac:dyDescent="0.2">
      <c r="BX5275" s="214" t="e">
        <f t="shared" si="180"/>
        <v>#DIV/0!</v>
      </c>
      <c r="BY5275" s="215">
        <f t="shared" si="181"/>
        <v>0</v>
      </c>
    </row>
    <row r="5276" spans="76:77" x14ac:dyDescent="0.2">
      <c r="BX5276" s="214" t="e">
        <f t="shared" si="180"/>
        <v>#DIV/0!</v>
      </c>
      <c r="BY5276" s="215">
        <f t="shared" si="181"/>
        <v>0</v>
      </c>
    </row>
    <row r="5277" spans="76:77" x14ac:dyDescent="0.2">
      <c r="BX5277" s="214" t="e">
        <f t="shared" si="180"/>
        <v>#DIV/0!</v>
      </c>
      <c r="BY5277" s="215">
        <f t="shared" si="181"/>
        <v>0</v>
      </c>
    </row>
    <row r="5278" spans="76:77" x14ac:dyDescent="0.2">
      <c r="BX5278" s="214" t="e">
        <f t="shared" si="180"/>
        <v>#DIV/0!</v>
      </c>
      <c r="BY5278" s="215">
        <f t="shared" si="181"/>
        <v>0</v>
      </c>
    </row>
    <row r="5279" spans="76:77" x14ac:dyDescent="0.2">
      <c r="BX5279" s="214" t="e">
        <f t="shared" si="180"/>
        <v>#DIV/0!</v>
      </c>
      <c r="BY5279" s="215">
        <f t="shared" si="181"/>
        <v>0</v>
      </c>
    </row>
    <row r="5280" spans="76:77" x14ac:dyDescent="0.2">
      <c r="BX5280" s="214" t="e">
        <f t="shared" si="180"/>
        <v>#DIV/0!</v>
      </c>
      <c r="BY5280" s="215">
        <f t="shared" si="181"/>
        <v>0</v>
      </c>
    </row>
    <row r="5281" spans="76:77" x14ac:dyDescent="0.2">
      <c r="BX5281" s="214" t="e">
        <f t="shared" si="180"/>
        <v>#DIV/0!</v>
      </c>
      <c r="BY5281" s="215">
        <f t="shared" si="181"/>
        <v>0</v>
      </c>
    </row>
    <row r="5282" spans="76:77" x14ac:dyDescent="0.2">
      <c r="BX5282" s="214" t="e">
        <f t="shared" si="180"/>
        <v>#DIV/0!</v>
      </c>
      <c r="BY5282" s="215">
        <f t="shared" si="181"/>
        <v>0</v>
      </c>
    </row>
    <row r="5283" spans="76:77" x14ac:dyDescent="0.2">
      <c r="BX5283" s="214" t="e">
        <f t="shared" si="180"/>
        <v>#DIV/0!</v>
      </c>
      <c r="BY5283" s="215">
        <f t="shared" si="181"/>
        <v>0</v>
      </c>
    </row>
    <row r="5284" spans="76:77" x14ac:dyDescent="0.2">
      <c r="BX5284" s="214" t="e">
        <f t="shared" si="180"/>
        <v>#DIV/0!</v>
      </c>
      <c r="BY5284" s="215">
        <f t="shared" si="181"/>
        <v>0</v>
      </c>
    </row>
    <row r="5285" spans="76:77" x14ac:dyDescent="0.2">
      <c r="BX5285" s="214" t="e">
        <f t="shared" si="180"/>
        <v>#DIV/0!</v>
      </c>
      <c r="BY5285" s="215">
        <f t="shared" si="181"/>
        <v>0</v>
      </c>
    </row>
    <row r="5286" spans="76:77" x14ac:dyDescent="0.2">
      <c r="BX5286" s="214" t="e">
        <f t="shared" si="180"/>
        <v>#DIV/0!</v>
      </c>
      <c r="BY5286" s="215">
        <f t="shared" si="181"/>
        <v>0</v>
      </c>
    </row>
    <row r="5287" spans="76:77" x14ac:dyDescent="0.2">
      <c r="BX5287" s="214" t="e">
        <f t="shared" si="180"/>
        <v>#DIV/0!</v>
      </c>
      <c r="BY5287" s="215">
        <f t="shared" si="181"/>
        <v>0</v>
      </c>
    </row>
    <row r="5288" spans="76:77" x14ac:dyDescent="0.2">
      <c r="BX5288" s="214" t="e">
        <f t="shared" si="180"/>
        <v>#DIV/0!</v>
      </c>
      <c r="BY5288" s="215">
        <f t="shared" si="181"/>
        <v>0</v>
      </c>
    </row>
    <row r="5289" spans="76:77" x14ac:dyDescent="0.2">
      <c r="BX5289" s="214" t="e">
        <f t="shared" si="180"/>
        <v>#DIV/0!</v>
      </c>
      <c r="BY5289" s="215">
        <f t="shared" si="181"/>
        <v>0</v>
      </c>
    </row>
    <row r="5290" spans="76:77" x14ac:dyDescent="0.2">
      <c r="BX5290" s="214" t="e">
        <f t="shared" si="180"/>
        <v>#DIV/0!</v>
      </c>
      <c r="BY5290" s="215">
        <f t="shared" si="181"/>
        <v>0</v>
      </c>
    </row>
    <row r="5291" spans="76:77" x14ac:dyDescent="0.2">
      <c r="BX5291" s="214" t="e">
        <f t="shared" si="180"/>
        <v>#DIV/0!</v>
      </c>
      <c r="BY5291" s="215">
        <f t="shared" si="181"/>
        <v>0</v>
      </c>
    </row>
    <row r="5292" spans="76:77" x14ac:dyDescent="0.2">
      <c r="BX5292" s="214" t="e">
        <f t="shared" si="180"/>
        <v>#DIV/0!</v>
      </c>
      <c r="BY5292" s="215">
        <f t="shared" si="181"/>
        <v>0</v>
      </c>
    </row>
    <row r="5293" spans="76:77" x14ac:dyDescent="0.2">
      <c r="BX5293" s="214" t="e">
        <f t="shared" si="180"/>
        <v>#DIV/0!</v>
      </c>
      <c r="BY5293" s="215">
        <f t="shared" si="181"/>
        <v>0</v>
      </c>
    </row>
    <row r="5294" spans="76:77" x14ac:dyDescent="0.2">
      <c r="BX5294" s="214" t="e">
        <f t="shared" si="180"/>
        <v>#DIV/0!</v>
      </c>
      <c r="BY5294" s="215">
        <f t="shared" si="181"/>
        <v>0</v>
      </c>
    </row>
    <row r="5295" spans="76:77" x14ac:dyDescent="0.2">
      <c r="BX5295" s="214" t="e">
        <f t="shared" si="180"/>
        <v>#DIV/0!</v>
      </c>
      <c r="BY5295" s="215">
        <f t="shared" si="181"/>
        <v>0</v>
      </c>
    </row>
    <row r="5296" spans="76:77" x14ac:dyDescent="0.2">
      <c r="BX5296" s="214" t="e">
        <f t="shared" si="180"/>
        <v>#DIV/0!</v>
      </c>
      <c r="BY5296" s="215">
        <f t="shared" si="181"/>
        <v>0</v>
      </c>
    </row>
    <row r="5297" spans="76:77" x14ac:dyDescent="0.2">
      <c r="BX5297" s="214" t="e">
        <f t="shared" si="180"/>
        <v>#DIV/0!</v>
      </c>
      <c r="BY5297" s="215">
        <f t="shared" si="181"/>
        <v>0</v>
      </c>
    </row>
    <row r="5298" spans="76:77" x14ac:dyDescent="0.2">
      <c r="BX5298" s="214" t="e">
        <f t="shared" si="180"/>
        <v>#DIV/0!</v>
      </c>
      <c r="BY5298" s="215">
        <f t="shared" si="181"/>
        <v>0</v>
      </c>
    </row>
    <row r="5299" spans="76:77" x14ac:dyDescent="0.2">
      <c r="BX5299" s="214" t="e">
        <f t="shared" si="180"/>
        <v>#DIV/0!</v>
      </c>
      <c r="BY5299" s="215">
        <f t="shared" si="181"/>
        <v>0</v>
      </c>
    </row>
    <row r="5300" spans="76:77" x14ac:dyDescent="0.2">
      <c r="BX5300" s="214" t="e">
        <f t="shared" si="180"/>
        <v>#DIV/0!</v>
      </c>
      <c r="BY5300" s="215">
        <f t="shared" si="181"/>
        <v>0</v>
      </c>
    </row>
    <row r="5301" spans="76:77" x14ac:dyDescent="0.2">
      <c r="BX5301" s="214" t="e">
        <f t="shared" si="180"/>
        <v>#DIV/0!</v>
      </c>
      <c r="BY5301" s="215">
        <f t="shared" si="181"/>
        <v>0</v>
      </c>
    </row>
    <row r="5302" spans="76:77" x14ac:dyDescent="0.2">
      <c r="BX5302" s="214" t="e">
        <f t="shared" si="180"/>
        <v>#DIV/0!</v>
      </c>
      <c r="BY5302" s="215">
        <f t="shared" si="181"/>
        <v>0</v>
      </c>
    </row>
    <row r="5303" spans="76:77" x14ac:dyDescent="0.2">
      <c r="BX5303" s="214" t="e">
        <f t="shared" si="180"/>
        <v>#DIV/0!</v>
      </c>
      <c r="BY5303" s="215">
        <f t="shared" si="181"/>
        <v>0</v>
      </c>
    </row>
    <row r="5304" spans="76:77" x14ac:dyDescent="0.2">
      <c r="BX5304" s="214" t="e">
        <f t="shared" si="180"/>
        <v>#DIV/0!</v>
      </c>
      <c r="BY5304" s="215">
        <f t="shared" si="181"/>
        <v>0</v>
      </c>
    </row>
    <row r="5305" spans="76:77" x14ac:dyDescent="0.2">
      <c r="BX5305" s="214" t="e">
        <f t="shared" si="180"/>
        <v>#DIV/0!</v>
      </c>
      <c r="BY5305" s="215">
        <f t="shared" si="181"/>
        <v>0</v>
      </c>
    </row>
    <row r="5306" spans="76:77" x14ac:dyDescent="0.2">
      <c r="BX5306" s="214" t="e">
        <f t="shared" si="180"/>
        <v>#DIV/0!</v>
      </c>
      <c r="BY5306" s="215">
        <f t="shared" si="181"/>
        <v>0</v>
      </c>
    </row>
    <row r="5307" spans="76:77" x14ac:dyDescent="0.2">
      <c r="BX5307" s="214" t="e">
        <f t="shared" si="180"/>
        <v>#DIV/0!</v>
      </c>
      <c r="BY5307" s="215">
        <f t="shared" si="181"/>
        <v>0</v>
      </c>
    </row>
    <row r="5308" spans="76:77" x14ac:dyDescent="0.2">
      <c r="BX5308" s="214" t="e">
        <f t="shared" si="180"/>
        <v>#DIV/0!</v>
      </c>
      <c r="BY5308" s="215">
        <f t="shared" si="181"/>
        <v>0</v>
      </c>
    </row>
    <row r="5309" spans="76:77" x14ac:dyDescent="0.2">
      <c r="BX5309" s="214" t="e">
        <f t="shared" si="180"/>
        <v>#DIV/0!</v>
      </c>
      <c r="BY5309" s="215">
        <f t="shared" si="181"/>
        <v>0</v>
      </c>
    </row>
    <row r="5310" spans="76:77" x14ac:dyDescent="0.2">
      <c r="BX5310" s="214" t="e">
        <f t="shared" si="180"/>
        <v>#DIV/0!</v>
      </c>
      <c r="BY5310" s="215">
        <f t="shared" si="181"/>
        <v>0</v>
      </c>
    </row>
    <row r="5311" spans="76:77" x14ac:dyDescent="0.2">
      <c r="BX5311" s="214" t="e">
        <f t="shared" si="180"/>
        <v>#DIV/0!</v>
      </c>
      <c r="BY5311" s="215">
        <f t="shared" si="181"/>
        <v>0</v>
      </c>
    </row>
    <row r="5312" spans="76:77" x14ac:dyDescent="0.2">
      <c r="BX5312" s="214" t="e">
        <f t="shared" si="180"/>
        <v>#DIV/0!</v>
      </c>
      <c r="BY5312" s="215">
        <f t="shared" si="181"/>
        <v>0</v>
      </c>
    </row>
    <row r="5313" spans="76:77" x14ac:dyDescent="0.2">
      <c r="BX5313" s="214" t="e">
        <f t="shared" si="180"/>
        <v>#DIV/0!</v>
      </c>
      <c r="BY5313" s="215">
        <f t="shared" si="181"/>
        <v>0</v>
      </c>
    </row>
    <row r="5314" spans="76:77" x14ac:dyDescent="0.2">
      <c r="BX5314" s="214" t="e">
        <f t="shared" si="180"/>
        <v>#DIV/0!</v>
      </c>
      <c r="BY5314" s="215">
        <f t="shared" si="181"/>
        <v>0</v>
      </c>
    </row>
    <row r="5315" spans="76:77" x14ac:dyDescent="0.2">
      <c r="BX5315" s="214" t="e">
        <f t="shared" si="180"/>
        <v>#DIV/0!</v>
      </c>
      <c r="BY5315" s="215">
        <f t="shared" si="181"/>
        <v>0</v>
      </c>
    </row>
    <row r="5316" spans="76:77" x14ac:dyDescent="0.2">
      <c r="BX5316" s="214" t="e">
        <f t="shared" si="180"/>
        <v>#DIV/0!</v>
      </c>
      <c r="BY5316" s="215">
        <f t="shared" si="181"/>
        <v>0</v>
      </c>
    </row>
    <row r="5317" spans="76:77" x14ac:dyDescent="0.2">
      <c r="BX5317" s="214" t="e">
        <f t="shared" si="180"/>
        <v>#DIV/0!</v>
      </c>
      <c r="BY5317" s="215">
        <f t="shared" si="181"/>
        <v>0</v>
      </c>
    </row>
    <row r="5318" spans="76:77" x14ac:dyDescent="0.2">
      <c r="BX5318" s="214" t="e">
        <f t="shared" si="180"/>
        <v>#DIV/0!</v>
      </c>
      <c r="BY5318" s="215">
        <f t="shared" si="181"/>
        <v>0</v>
      </c>
    </row>
    <row r="5319" spans="76:77" x14ac:dyDescent="0.2">
      <c r="BX5319" s="214" t="e">
        <f t="shared" si="180"/>
        <v>#DIV/0!</v>
      </c>
      <c r="BY5319" s="215">
        <f t="shared" si="181"/>
        <v>0</v>
      </c>
    </row>
    <row r="5320" spans="76:77" x14ac:dyDescent="0.2">
      <c r="BX5320" s="214" t="e">
        <f t="shared" si="180"/>
        <v>#DIV/0!</v>
      </c>
      <c r="BY5320" s="215">
        <f t="shared" si="181"/>
        <v>0</v>
      </c>
    </row>
    <row r="5321" spans="76:77" x14ac:dyDescent="0.2">
      <c r="BX5321" s="214" t="e">
        <f t="shared" si="180"/>
        <v>#DIV/0!</v>
      </c>
      <c r="BY5321" s="215">
        <f t="shared" si="181"/>
        <v>0</v>
      </c>
    </row>
    <row r="5322" spans="76:77" x14ac:dyDescent="0.2">
      <c r="BX5322" s="214" t="e">
        <f t="shared" si="180"/>
        <v>#DIV/0!</v>
      </c>
      <c r="BY5322" s="215">
        <f t="shared" si="181"/>
        <v>0</v>
      </c>
    </row>
    <row r="5323" spans="76:77" x14ac:dyDescent="0.2">
      <c r="BX5323" s="214" t="e">
        <f t="shared" si="180"/>
        <v>#DIV/0!</v>
      </c>
      <c r="BY5323" s="215">
        <f t="shared" si="181"/>
        <v>0</v>
      </c>
    </row>
    <row r="5324" spans="76:77" x14ac:dyDescent="0.2">
      <c r="BX5324" s="214" t="e">
        <f t="shared" si="180"/>
        <v>#DIV/0!</v>
      </c>
      <c r="BY5324" s="215">
        <f t="shared" si="181"/>
        <v>0</v>
      </c>
    </row>
    <row r="5325" spans="76:77" x14ac:dyDescent="0.2">
      <c r="BX5325" s="214" t="e">
        <f t="shared" ref="BX5325:BX5388" si="182">BY5325/BV5325</f>
        <v>#DIV/0!</v>
      </c>
      <c r="BY5325" s="215">
        <f t="shared" si="181"/>
        <v>0</v>
      </c>
    </row>
    <row r="5326" spans="76:77" x14ac:dyDescent="0.2">
      <c r="BX5326" s="214" t="e">
        <f t="shared" si="182"/>
        <v>#DIV/0!</v>
      </c>
      <c r="BY5326" s="215">
        <f t="shared" ref="BY5326:BY5389" si="183">BY5325+BW5326*(BV5326-BV5325)</f>
        <v>0</v>
      </c>
    </row>
    <row r="5327" spans="76:77" x14ac:dyDescent="0.2">
      <c r="BX5327" s="214" t="e">
        <f t="shared" si="182"/>
        <v>#DIV/0!</v>
      </c>
      <c r="BY5327" s="215">
        <f t="shared" si="183"/>
        <v>0</v>
      </c>
    </row>
    <row r="5328" spans="76:77" x14ac:dyDescent="0.2">
      <c r="BX5328" s="214" t="e">
        <f t="shared" si="182"/>
        <v>#DIV/0!</v>
      </c>
      <c r="BY5328" s="215">
        <f t="shared" si="183"/>
        <v>0</v>
      </c>
    </row>
    <row r="5329" spans="76:77" x14ac:dyDescent="0.2">
      <c r="BX5329" s="214" t="e">
        <f t="shared" si="182"/>
        <v>#DIV/0!</v>
      </c>
      <c r="BY5329" s="215">
        <f t="shared" si="183"/>
        <v>0</v>
      </c>
    </row>
    <row r="5330" spans="76:77" x14ac:dyDescent="0.2">
      <c r="BX5330" s="214" t="e">
        <f t="shared" si="182"/>
        <v>#DIV/0!</v>
      </c>
      <c r="BY5330" s="215">
        <f t="shared" si="183"/>
        <v>0</v>
      </c>
    </row>
    <row r="5331" spans="76:77" x14ac:dyDescent="0.2">
      <c r="BX5331" s="214" t="e">
        <f t="shared" si="182"/>
        <v>#DIV/0!</v>
      </c>
      <c r="BY5331" s="215">
        <f t="shared" si="183"/>
        <v>0</v>
      </c>
    </row>
    <row r="5332" spans="76:77" x14ac:dyDescent="0.2">
      <c r="BX5332" s="214" t="e">
        <f t="shared" si="182"/>
        <v>#DIV/0!</v>
      </c>
      <c r="BY5332" s="215">
        <f t="shared" si="183"/>
        <v>0</v>
      </c>
    </row>
    <row r="5333" spans="76:77" x14ac:dyDescent="0.2">
      <c r="BX5333" s="214" t="e">
        <f t="shared" si="182"/>
        <v>#DIV/0!</v>
      </c>
      <c r="BY5333" s="215">
        <f t="shared" si="183"/>
        <v>0</v>
      </c>
    </row>
    <row r="5334" spans="76:77" x14ac:dyDescent="0.2">
      <c r="BX5334" s="214" t="e">
        <f t="shared" si="182"/>
        <v>#DIV/0!</v>
      </c>
      <c r="BY5334" s="215">
        <f t="shared" si="183"/>
        <v>0</v>
      </c>
    </row>
    <row r="5335" spans="76:77" x14ac:dyDescent="0.2">
      <c r="BX5335" s="214" t="e">
        <f t="shared" si="182"/>
        <v>#DIV/0!</v>
      </c>
      <c r="BY5335" s="215">
        <f t="shared" si="183"/>
        <v>0</v>
      </c>
    </row>
    <row r="5336" spans="76:77" x14ac:dyDescent="0.2">
      <c r="BX5336" s="214" t="e">
        <f t="shared" si="182"/>
        <v>#DIV/0!</v>
      </c>
      <c r="BY5336" s="215">
        <f t="shared" si="183"/>
        <v>0</v>
      </c>
    </row>
    <row r="5337" spans="76:77" x14ac:dyDescent="0.2">
      <c r="BX5337" s="214" t="e">
        <f t="shared" si="182"/>
        <v>#DIV/0!</v>
      </c>
      <c r="BY5337" s="215">
        <f t="shared" si="183"/>
        <v>0</v>
      </c>
    </row>
    <row r="5338" spans="76:77" x14ac:dyDescent="0.2">
      <c r="BX5338" s="214" t="e">
        <f t="shared" si="182"/>
        <v>#DIV/0!</v>
      </c>
      <c r="BY5338" s="215">
        <f t="shared" si="183"/>
        <v>0</v>
      </c>
    </row>
    <row r="5339" spans="76:77" x14ac:dyDescent="0.2">
      <c r="BX5339" s="214" t="e">
        <f t="shared" si="182"/>
        <v>#DIV/0!</v>
      </c>
      <c r="BY5339" s="215">
        <f t="shared" si="183"/>
        <v>0</v>
      </c>
    </row>
    <row r="5340" spans="76:77" x14ac:dyDescent="0.2">
      <c r="BX5340" s="214" t="e">
        <f t="shared" si="182"/>
        <v>#DIV/0!</v>
      </c>
      <c r="BY5340" s="215">
        <f t="shared" si="183"/>
        <v>0</v>
      </c>
    </row>
    <row r="5341" spans="76:77" x14ac:dyDescent="0.2">
      <c r="BX5341" s="214" t="e">
        <f t="shared" si="182"/>
        <v>#DIV/0!</v>
      </c>
      <c r="BY5341" s="215">
        <f t="shared" si="183"/>
        <v>0</v>
      </c>
    </row>
    <row r="5342" spans="76:77" x14ac:dyDescent="0.2">
      <c r="BX5342" s="214" t="e">
        <f t="shared" si="182"/>
        <v>#DIV/0!</v>
      </c>
      <c r="BY5342" s="215">
        <f t="shared" si="183"/>
        <v>0</v>
      </c>
    </row>
    <row r="5343" spans="76:77" x14ac:dyDescent="0.2">
      <c r="BX5343" s="214" t="e">
        <f t="shared" si="182"/>
        <v>#DIV/0!</v>
      </c>
      <c r="BY5343" s="215">
        <f t="shared" si="183"/>
        <v>0</v>
      </c>
    </row>
    <row r="5344" spans="76:77" x14ac:dyDescent="0.2">
      <c r="BX5344" s="214" t="e">
        <f t="shared" si="182"/>
        <v>#DIV/0!</v>
      </c>
      <c r="BY5344" s="215">
        <f t="shared" si="183"/>
        <v>0</v>
      </c>
    </row>
    <row r="5345" spans="76:77" x14ac:dyDescent="0.2">
      <c r="BX5345" s="214" t="e">
        <f t="shared" si="182"/>
        <v>#DIV/0!</v>
      </c>
      <c r="BY5345" s="215">
        <f t="shared" si="183"/>
        <v>0</v>
      </c>
    </row>
    <row r="5346" spans="76:77" x14ac:dyDescent="0.2">
      <c r="BX5346" s="214" t="e">
        <f t="shared" si="182"/>
        <v>#DIV/0!</v>
      </c>
      <c r="BY5346" s="215">
        <f t="shared" si="183"/>
        <v>0</v>
      </c>
    </row>
    <row r="5347" spans="76:77" x14ac:dyDescent="0.2">
      <c r="BX5347" s="214" t="e">
        <f t="shared" si="182"/>
        <v>#DIV/0!</v>
      </c>
      <c r="BY5347" s="215">
        <f t="shared" si="183"/>
        <v>0</v>
      </c>
    </row>
    <row r="5348" spans="76:77" x14ac:dyDescent="0.2">
      <c r="BX5348" s="214" t="e">
        <f t="shared" si="182"/>
        <v>#DIV/0!</v>
      </c>
      <c r="BY5348" s="215">
        <f t="shared" si="183"/>
        <v>0</v>
      </c>
    </row>
    <row r="5349" spans="76:77" x14ac:dyDescent="0.2">
      <c r="BX5349" s="214" t="e">
        <f t="shared" si="182"/>
        <v>#DIV/0!</v>
      </c>
      <c r="BY5349" s="215">
        <f t="shared" si="183"/>
        <v>0</v>
      </c>
    </row>
    <row r="5350" spans="76:77" x14ac:dyDescent="0.2">
      <c r="BX5350" s="214" t="e">
        <f t="shared" si="182"/>
        <v>#DIV/0!</v>
      </c>
      <c r="BY5350" s="215">
        <f t="shared" si="183"/>
        <v>0</v>
      </c>
    </row>
    <row r="5351" spans="76:77" x14ac:dyDescent="0.2">
      <c r="BX5351" s="214" t="e">
        <f t="shared" si="182"/>
        <v>#DIV/0!</v>
      </c>
      <c r="BY5351" s="215">
        <f t="shared" si="183"/>
        <v>0</v>
      </c>
    </row>
    <row r="5352" spans="76:77" x14ac:dyDescent="0.2">
      <c r="BX5352" s="214" t="e">
        <f t="shared" si="182"/>
        <v>#DIV/0!</v>
      </c>
      <c r="BY5352" s="215">
        <f t="shared" si="183"/>
        <v>0</v>
      </c>
    </row>
    <row r="5353" spans="76:77" x14ac:dyDescent="0.2">
      <c r="BX5353" s="214" t="e">
        <f t="shared" si="182"/>
        <v>#DIV/0!</v>
      </c>
      <c r="BY5353" s="215">
        <f t="shared" si="183"/>
        <v>0</v>
      </c>
    </row>
    <row r="5354" spans="76:77" x14ac:dyDescent="0.2">
      <c r="BX5354" s="214" t="e">
        <f t="shared" si="182"/>
        <v>#DIV/0!</v>
      </c>
      <c r="BY5354" s="215">
        <f t="shared" si="183"/>
        <v>0</v>
      </c>
    </row>
    <row r="5355" spans="76:77" x14ac:dyDescent="0.2">
      <c r="BX5355" s="214" t="e">
        <f t="shared" si="182"/>
        <v>#DIV/0!</v>
      </c>
      <c r="BY5355" s="215">
        <f t="shared" si="183"/>
        <v>0</v>
      </c>
    </row>
    <row r="5356" spans="76:77" x14ac:dyDescent="0.2">
      <c r="BX5356" s="214" t="e">
        <f t="shared" si="182"/>
        <v>#DIV/0!</v>
      </c>
      <c r="BY5356" s="215">
        <f t="shared" si="183"/>
        <v>0</v>
      </c>
    </row>
    <row r="5357" spans="76:77" x14ac:dyDescent="0.2">
      <c r="BX5357" s="214" t="e">
        <f t="shared" si="182"/>
        <v>#DIV/0!</v>
      </c>
      <c r="BY5357" s="215">
        <f t="shared" si="183"/>
        <v>0</v>
      </c>
    </row>
    <row r="5358" spans="76:77" x14ac:dyDescent="0.2">
      <c r="BX5358" s="214" t="e">
        <f t="shared" si="182"/>
        <v>#DIV/0!</v>
      </c>
      <c r="BY5358" s="215">
        <f t="shared" si="183"/>
        <v>0</v>
      </c>
    </row>
    <row r="5359" spans="76:77" x14ac:dyDescent="0.2">
      <c r="BX5359" s="214" t="e">
        <f t="shared" si="182"/>
        <v>#DIV/0!</v>
      </c>
      <c r="BY5359" s="215">
        <f t="shared" si="183"/>
        <v>0</v>
      </c>
    </row>
    <row r="5360" spans="76:77" x14ac:dyDescent="0.2">
      <c r="BX5360" s="214" t="e">
        <f t="shared" si="182"/>
        <v>#DIV/0!</v>
      </c>
      <c r="BY5360" s="215">
        <f t="shared" si="183"/>
        <v>0</v>
      </c>
    </row>
    <row r="5361" spans="76:77" x14ac:dyDescent="0.2">
      <c r="BX5361" s="214" t="e">
        <f t="shared" si="182"/>
        <v>#DIV/0!</v>
      </c>
      <c r="BY5361" s="215">
        <f t="shared" si="183"/>
        <v>0</v>
      </c>
    </row>
    <row r="5362" spans="76:77" x14ac:dyDescent="0.2">
      <c r="BX5362" s="214" t="e">
        <f t="shared" si="182"/>
        <v>#DIV/0!</v>
      </c>
      <c r="BY5362" s="215">
        <f t="shared" si="183"/>
        <v>0</v>
      </c>
    </row>
    <row r="5363" spans="76:77" x14ac:dyDescent="0.2">
      <c r="BX5363" s="214" t="e">
        <f t="shared" si="182"/>
        <v>#DIV/0!</v>
      </c>
      <c r="BY5363" s="215">
        <f t="shared" si="183"/>
        <v>0</v>
      </c>
    </row>
    <row r="5364" spans="76:77" x14ac:dyDescent="0.2">
      <c r="BX5364" s="214" t="e">
        <f t="shared" si="182"/>
        <v>#DIV/0!</v>
      </c>
      <c r="BY5364" s="215">
        <f t="shared" si="183"/>
        <v>0</v>
      </c>
    </row>
    <row r="5365" spans="76:77" x14ac:dyDescent="0.2">
      <c r="BX5365" s="214" t="e">
        <f t="shared" si="182"/>
        <v>#DIV/0!</v>
      </c>
      <c r="BY5365" s="215">
        <f t="shared" si="183"/>
        <v>0</v>
      </c>
    </row>
    <row r="5366" spans="76:77" x14ac:dyDescent="0.2">
      <c r="BX5366" s="214" t="e">
        <f t="shared" si="182"/>
        <v>#DIV/0!</v>
      </c>
      <c r="BY5366" s="215">
        <f t="shared" si="183"/>
        <v>0</v>
      </c>
    </row>
    <row r="5367" spans="76:77" x14ac:dyDescent="0.2">
      <c r="BX5367" s="214" t="e">
        <f t="shared" si="182"/>
        <v>#DIV/0!</v>
      </c>
      <c r="BY5367" s="215">
        <f t="shared" si="183"/>
        <v>0</v>
      </c>
    </row>
    <row r="5368" spans="76:77" x14ac:dyDescent="0.2">
      <c r="BX5368" s="214" t="e">
        <f t="shared" si="182"/>
        <v>#DIV/0!</v>
      </c>
      <c r="BY5368" s="215">
        <f t="shared" si="183"/>
        <v>0</v>
      </c>
    </row>
    <row r="5369" spans="76:77" x14ac:dyDescent="0.2">
      <c r="BX5369" s="214" t="e">
        <f t="shared" si="182"/>
        <v>#DIV/0!</v>
      </c>
      <c r="BY5369" s="215">
        <f t="shared" si="183"/>
        <v>0</v>
      </c>
    </row>
    <row r="5370" spans="76:77" x14ac:dyDescent="0.2">
      <c r="BX5370" s="214" t="e">
        <f t="shared" si="182"/>
        <v>#DIV/0!</v>
      </c>
      <c r="BY5370" s="215">
        <f t="shared" si="183"/>
        <v>0</v>
      </c>
    </row>
    <row r="5371" spans="76:77" x14ac:dyDescent="0.2">
      <c r="BX5371" s="214" t="e">
        <f t="shared" si="182"/>
        <v>#DIV/0!</v>
      </c>
      <c r="BY5371" s="215">
        <f t="shared" si="183"/>
        <v>0</v>
      </c>
    </row>
    <row r="5372" spans="76:77" x14ac:dyDescent="0.2">
      <c r="BX5372" s="214" t="e">
        <f t="shared" si="182"/>
        <v>#DIV/0!</v>
      </c>
      <c r="BY5372" s="215">
        <f t="shared" si="183"/>
        <v>0</v>
      </c>
    </row>
    <row r="5373" spans="76:77" x14ac:dyDescent="0.2">
      <c r="BX5373" s="214" t="e">
        <f t="shared" si="182"/>
        <v>#DIV/0!</v>
      </c>
      <c r="BY5373" s="215">
        <f t="shared" si="183"/>
        <v>0</v>
      </c>
    </row>
    <row r="5374" spans="76:77" x14ac:dyDescent="0.2">
      <c r="BX5374" s="214" t="e">
        <f t="shared" si="182"/>
        <v>#DIV/0!</v>
      </c>
      <c r="BY5374" s="215">
        <f t="shared" si="183"/>
        <v>0</v>
      </c>
    </row>
    <row r="5375" spans="76:77" x14ac:dyDescent="0.2">
      <c r="BX5375" s="214" t="e">
        <f t="shared" si="182"/>
        <v>#DIV/0!</v>
      </c>
      <c r="BY5375" s="215">
        <f t="shared" si="183"/>
        <v>0</v>
      </c>
    </row>
    <row r="5376" spans="76:77" x14ac:dyDescent="0.2">
      <c r="BX5376" s="214" t="e">
        <f t="shared" si="182"/>
        <v>#DIV/0!</v>
      </c>
      <c r="BY5376" s="215">
        <f t="shared" si="183"/>
        <v>0</v>
      </c>
    </row>
    <row r="5377" spans="76:77" x14ac:dyDescent="0.2">
      <c r="BX5377" s="214" t="e">
        <f t="shared" si="182"/>
        <v>#DIV/0!</v>
      </c>
      <c r="BY5377" s="215">
        <f t="shared" si="183"/>
        <v>0</v>
      </c>
    </row>
    <row r="5378" spans="76:77" x14ac:dyDescent="0.2">
      <c r="BX5378" s="214" t="e">
        <f t="shared" si="182"/>
        <v>#DIV/0!</v>
      </c>
      <c r="BY5378" s="215">
        <f t="shared" si="183"/>
        <v>0</v>
      </c>
    </row>
    <row r="5379" spans="76:77" x14ac:dyDescent="0.2">
      <c r="BX5379" s="214" t="e">
        <f t="shared" si="182"/>
        <v>#DIV/0!</v>
      </c>
      <c r="BY5379" s="215">
        <f t="shared" si="183"/>
        <v>0</v>
      </c>
    </row>
    <row r="5380" spans="76:77" x14ac:dyDescent="0.2">
      <c r="BX5380" s="214" t="e">
        <f t="shared" si="182"/>
        <v>#DIV/0!</v>
      </c>
      <c r="BY5380" s="215">
        <f t="shared" si="183"/>
        <v>0</v>
      </c>
    </row>
    <row r="5381" spans="76:77" x14ac:dyDescent="0.2">
      <c r="BX5381" s="214" t="e">
        <f t="shared" si="182"/>
        <v>#DIV/0!</v>
      </c>
      <c r="BY5381" s="215">
        <f t="shared" si="183"/>
        <v>0</v>
      </c>
    </row>
    <row r="5382" spans="76:77" x14ac:dyDescent="0.2">
      <c r="BX5382" s="214" t="e">
        <f t="shared" si="182"/>
        <v>#DIV/0!</v>
      </c>
      <c r="BY5382" s="215">
        <f t="shared" si="183"/>
        <v>0</v>
      </c>
    </row>
    <row r="5383" spans="76:77" x14ac:dyDescent="0.2">
      <c r="BX5383" s="214" t="e">
        <f t="shared" si="182"/>
        <v>#DIV/0!</v>
      </c>
      <c r="BY5383" s="215">
        <f t="shared" si="183"/>
        <v>0</v>
      </c>
    </row>
    <row r="5384" spans="76:77" x14ac:dyDescent="0.2">
      <c r="BX5384" s="214" t="e">
        <f t="shared" si="182"/>
        <v>#DIV/0!</v>
      </c>
      <c r="BY5384" s="215">
        <f t="shared" si="183"/>
        <v>0</v>
      </c>
    </row>
    <row r="5385" spans="76:77" x14ac:dyDescent="0.2">
      <c r="BX5385" s="214" t="e">
        <f t="shared" si="182"/>
        <v>#DIV/0!</v>
      </c>
      <c r="BY5385" s="215">
        <f t="shared" si="183"/>
        <v>0</v>
      </c>
    </row>
    <row r="5386" spans="76:77" x14ac:dyDescent="0.2">
      <c r="BX5386" s="214" t="e">
        <f t="shared" si="182"/>
        <v>#DIV/0!</v>
      </c>
      <c r="BY5386" s="215">
        <f t="shared" si="183"/>
        <v>0</v>
      </c>
    </row>
    <row r="5387" spans="76:77" x14ac:dyDescent="0.2">
      <c r="BX5387" s="214" t="e">
        <f t="shared" si="182"/>
        <v>#DIV/0!</v>
      </c>
      <c r="BY5387" s="215">
        <f t="shared" si="183"/>
        <v>0</v>
      </c>
    </row>
    <row r="5388" spans="76:77" x14ac:dyDescent="0.2">
      <c r="BX5388" s="214" t="e">
        <f t="shared" si="182"/>
        <v>#DIV/0!</v>
      </c>
      <c r="BY5388" s="215">
        <f t="shared" si="183"/>
        <v>0</v>
      </c>
    </row>
    <row r="5389" spans="76:77" x14ac:dyDescent="0.2">
      <c r="BX5389" s="214" t="e">
        <f t="shared" ref="BX5389:BX5452" si="184">BY5389/BV5389</f>
        <v>#DIV/0!</v>
      </c>
      <c r="BY5389" s="215">
        <f t="shared" si="183"/>
        <v>0</v>
      </c>
    </row>
    <row r="5390" spans="76:77" x14ac:dyDescent="0.2">
      <c r="BX5390" s="214" t="e">
        <f t="shared" si="184"/>
        <v>#DIV/0!</v>
      </c>
      <c r="BY5390" s="215">
        <f t="shared" ref="BY5390:BY5453" si="185">BY5389+BW5390*(BV5390-BV5389)</f>
        <v>0</v>
      </c>
    </row>
    <row r="5391" spans="76:77" x14ac:dyDescent="0.2">
      <c r="BX5391" s="214" t="e">
        <f t="shared" si="184"/>
        <v>#DIV/0!</v>
      </c>
      <c r="BY5391" s="215">
        <f t="shared" si="185"/>
        <v>0</v>
      </c>
    </row>
    <row r="5392" spans="76:77" x14ac:dyDescent="0.2">
      <c r="BX5392" s="214" t="e">
        <f t="shared" si="184"/>
        <v>#DIV/0!</v>
      </c>
      <c r="BY5392" s="215">
        <f t="shared" si="185"/>
        <v>0</v>
      </c>
    </row>
    <row r="5393" spans="76:77" x14ac:dyDescent="0.2">
      <c r="BX5393" s="214" t="e">
        <f t="shared" si="184"/>
        <v>#DIV/0!</v>
      </c>
      <c r="BY5393" s="215">
        <f t="shared" si="185"/>
        <v>0</v>
      </c>
    </row>
    <row r="5394" spans="76:77" x14ac:dyDescent="0.2">
      <c r="BX5394" s="214" t="e">
        <f t="shared" si="184"/>
        <v>#DIV/0!</v>
      </c>
      <c r="BY5394" s="215">
        <f t="shared" si="185"/>
        <v>0</v>
      </c>
    </row>
    <row r="5395" spans="76:77" x14ac:dyDescent="0.2">
      <c r="BX5395" s="214" t="e">
        <f t="shared" si="184"/>
        <v>#DIV/0!</v>
      </c>
      <c r="BY5395" s="215">
        <f t="shared" si="185"/>
        <v>0</v>
      </c>
    </row>
    <row r="5396" spans="76:77" x14ac:dyDescent="0.2">
      <c r="BX5396" s="214" t="e">
        <f t="shared" si="184"/>
        <v>#DIV/0!</v>
      </c>
      <c r="BY5396" s="215">
        <f t="shared" si="185"/>
        <v>0</v>
      </c>
    </row>
    <row r="5397" spans="76:77" x14ac:dyDescent="0.2">
      <c r="BX5397" s="214" t="e">
        <f t="shared" si="184"/>
        <v>#DIV/0!</v>
      </c>
      <c r="BY5397" s="215">
        <f t="shared" si="185"/>
        <v>0</v>
      </c>
    </row>
    <row r="5398" spans="76:77" x14ac:dyDescent="0.2">
      <c r="BX5398" s="214" t="e">
        <f t="shared" si="184"/>
        <v>#DIV/0!</v>
      </c>
      <c r="BY5398" s="215">
        <f t="shared" si="185"/>
        <v>0</v>
      </c>
    </row>
    <row r="5399" spans="76:77" x14ac:dyDescent="0.2">
      <c r="BX5399" s="214" t="e">
        <f t="shared" si="184"/>
        <v>#DIV/0!</v>
      </c>
      <c r="BY5399" s="215">
        <f t="shared" si="185"/>
        <v>0</v>
      </c>
    </row>
    <row r="5400" spans="76:77" x14ac:dyDescent="0.2">
      <c r="BX5400" s="214" t="e">
        <f t="shared" si="184"/>
        <v>#DIV/0!</v>
      </c>
      <c r="BY5400" s="215">
        <f t="shared" si="185"/>
        <v>0</v>
      </c>
    </row>
    <row r="5401" spans="76:77" x14ac:dyDescent="0.2">
      <c r="BX5401" s="214" t="e">
        <f t="shared" si="184"/>
        <v>#DIV/0!</v>
      </c>
      <c r="BY5401" s="215">
        <f t="shared" si="185"/>
        <v>0</v>
      </c>
    </row>
    <row r="5402" spans="76:77" x14ac:dyDescent="0.2">
      <c r="BX5402" s="214" t="e">
        <f t="shared" si="184"/>
        <v>#DIV/0!</v>
      </c>
      <c r="BY5402" s="215">
        <f t="shared" si="185"/>
        <v>0</v>
      </c>
    </row>
    <row r="5403" spans="76:77" x14ac:dyDescent="0.2">
      <c r="BX5403" s="214" t="e">
        <f t="shared" si="184"/>
        <v>#DIV/0!</v>
      </c>
      <c r="BY5403" s="215">
        <f t="shared" si="185"/>
        <v>0</v>
      </c>
    </row>
    <row r="5404" spans="76:77" x14ac:dyDescent="0.2">
      <c r="BX5404" s="214" t="e">
        <f t="shared" si="184"/>
        <v>#DIV/0!</v>
      </c>
      <c r="BY5404" s="215">
        <f t="shared" si="185"/>
        <v>0</v>
      </c>
    </row>
    <row r="5405" spans="76:77" x14ac:dyDescent="0.2">
      <c r="BX5405" s="214" t="e">
        <f t="shared" si="184"/>
        <v>#DIV/0!</v>
      </c>
      <c r="BY5405" s="215">
        <f t="shared" si="185"/>
        <v>0</v>
      </c>
    </row>
    <row r="5406" spans="76:77" x14ac:dyDescent="0.2">
      <c r="BX5406" s="214" t="e">
        <f t="shared" si="184"/>
        <v>#DIV/0!</v>
      </c>
      <c r="BY5406" s="215">
        <f t="shared" si="185"/>
        <v>0</v>
      </c>
    </row>
    <row r="5407" spans="76:77" x14ac:dyDescent="0.2">
      <c r="BX5407" s="214" t="e">
        <f t="shared" si="184"/>
        <v>#DIV/0!</v>
      </c>
      <c r="BY5407" s="215">
        <f t="shared" si="185"/>
        <v>0</v>
      </c>
    </row>
    <row r="5408" spans="76:77" x14ac:dyDescent="0.2">
      <c r="BX5408" s="214" t="e">
        <f t="shared" si="184"/>
        <v>#DIV/0!</v>
      </c>
      <c r="BY5408" s="215">
        <f t="shared" si="185"/>
        <v>0</v>
      </c>
    </row>
    <row r="5409" spans="76:77" x14ac:dyDescent="0.2">
      <c r="BX5409" s="214" t="e">
        <f t="shared" si="184"/>
        <v>#DIV/0!</v>
      </c>
      <c r="BY5409" s="215">
        <f t="shared" si="185"/>
        <v>0</v>
      </c>
    </row>
    <row r="5410" spans="76:77" x14ac:dyDescent="0.2">
      <c r="BX5410" s="214" t="e">
        <f t="shared" si="184"/>
        <v>#DIV/0!</v>
      </c>
      <c r="BY5410" s="215">
        <f t="shared" si="185"/>
        <v>0</v>
      </c>
    </row>
    <row r="5411" spans="76:77" x14ac:dyDescent="0.2">
      <c r="BX5411" s="214" t="e">
        <f t="shared" si="184"/>
        <v>#DIV/0!</v>
      </c>
      <c r="BY5411" s="215">
        <f t="shared" si="185"/>
        <v>0</v>
      </c>
    </row>
    <row r="5412" spans="76:77" x14ac:dyDescent="0.2">
      <c r="BX5412" s="214" t="e">
        <f t="shared" si="184"/>
        <v>#DIV/0!</v>
      </c>
      <c r="BY5412" s="215">
        <f t="shared" si="185"/>
        <v>0</v>
      </c>
    </row>
    <row r="5413" spans="76:77" x14ac:dyDescent="0.2">
      <c r="BX5413" s="214" t="e">
        <f t="shared" si="184"/>
        <v>#DIV/0!</v>
      </c>
      <c r="BY5413" s="215">
        <f t="shared" si="185"/>
        <v>0</v>
      </c>
    </row>
    <row r="5414" spans="76:77" x14ac:dyDescent="0.2">
      <c r="BX5414" s="214" t="e">
        <f t="shared" si="184"/>
        <v>#DIV/0!</v>
      </c>
      <c r="BY5414" s="215">
        <f t="shared" si="185"/>
        <v>0</v>
      </c>
    </row>
    <row r="5415" spans="76:77" x14ac:dyDescent="0.2">
      <c r="BX5415" s="214" t="e">
        <f t="shared" si="184"/>
        <v>#DIV/0!</v>
      </c>
      <c r="BY5415" s="215">
        <f t="shared" si="185"/>
        <v>0</v>
      </c>
    </row>
    <row r="5416" spans="76:77" x14ac:dyDescent="0.2">
      <c r="BX5416" s="214" t="e">
        <f t="shared" si="184"/>
        <v>#DIV/0!</v>
      </c>
      <c r="BY5416" s="215">
        <f t="shared" si="185"/>
        <v>0</v>
      </c>
    </row>
    <row r="5417" spans="76:77" x14ac:dyDescent="0.2">
      <c r="BX5417" s="214" t="e">
        <f t="shared" si="184"/>
        <v>#DIV/0!</v>
      </c>
      <c r="BY5417" s="215">
        <f t="shared" si="185"/>
        <v>0</v>
      </c>
    </row>
    <row r="5418" spans="76:77" x14ac:dyDescent="0.2">
      <c r="BX5418" s="214" t="e">
        <f t="shared" si="184"/>
        <v>#DIV/0!</v>
      </c>
      <c r="BY5418" s="215">
        <f t="shared" si="185"/>
        <v>0</v>
      </c>
    </row>
    <row r="5419" spans="76:77" x14ac:dyDescent="0.2">
      <c r="BX5419" s="214" t="e">
        <f t="shared" si="184"/>
        <v>#DIV/0!</v>
      </c>
      <c r="BY5419" s="215">
        <f t="shared" si="185"/>
        <v>0</v>
      </c>
    </row>
    <row r="5420" spans="76:77" x14ac:dyDescent="0.2">
      <c r="BX5420" s="214" t="e">
        <f t="shared" si="184"/>
        <v>#DIV/0!</v>
      </c>
      <c r="BY5420" s="215">
        <f t="shared" si="185"/>
        <v>0</v>
      </c>
    </row>
    <row r="5421" spans="76:77" x14ac:dyDescent="0.2">
      <c r="BX5421" s="214" t="e">
        <f t="shared" si="184"/>
        <v>#DIV/0!</v>
      </c>
      <c r="BY5421" s="215">
        <f t="shared" si="185"/>
        <v>0</v>
      </c>
    </row>
    <row r="5422" spans="76:77" x14ac:dyDescent="0.2">
      <c r="BX5422" s="214" t="e">
        <f t="shared" si="184"/>
        <v>#DIV/0!</v>
      </c>
      <c r="BY5422" s="215">
        <f t="shared" si="185"/>
        <v>0</v>
      </c>
    </row>
    <row r="5423" spans="76:77" x14ac:dyDescent="0.2">
      <c r="BX5423" s="214" t="e">
        <f t="shared" si="184"/>
        <v>#DIV/0!</v>
      </c>
      <c r="BY5423" s="215">
        <f t="shared" si="185"/>
        <v>0</v>
      </c>
    </row>
    <row r="5424" spans="76:77" x14ac:dyDescent="0.2">
      <c r="BX5424" s="214" t="e">
        <f t="shared" si="184"/>
        <v>#DIV/0!</v>
      </c>
      <c r="BY5424" s="215">
        <f t="shared" si="185"/>
        <v>0</v>
      </c>
    </row>
    <row r="5425" spans="76:77" x14ac:dyDescent="0.2">
      <c r="BX5425" s="214" t="e">
        <f t="shared" si="184"/>
        <v>#DIV/0!</v>
      </c>
      <c r="BY5425" s="215">
        <f t="shared" si="185"/>
        <v>0</v>
      </c>
    </row>
    <row r="5426" spans="76:77" x14ac:dyDescent="0.2">
      <c r="BX5426" s="214" t="e">
        <f t="shared" si="184"/>
        <v>#DIV/0!</v>
      </c>
      <c r="BY5426" s="215">
        <f t="shared" si="185"/>
        <v>0</v>
      </c>
    </row>
    <row r="5427" spans="76:77" x14ac:dyDescent="0.2">
      <c r="BX5427" s="214" t="e">
        <f t="shared" si="184"/>
        <v>#DIV/0!</v>
      </c>
      <c r="BY5427" s="215">
        <f t="shared" si="185"/>
        <v>0</v>
      </c>
    </row>
    <row r="5428" spans="76:77" x14ac:dyDescent="0.2">
      <c r="BX5428" s="214" t="e">
        <f t="shared" si="184"/>
        <v>#DIV/0!</v>
      </c>
      <c r="BY5428" s="215">
        <f t="shared" si="185"/>
        <v>0</v>
      </c>
    </row>
    <row r="5429" spans="76:77" x14ac:dyDescent="0.2">
      <c r="BX5429" s="214" t="e">
        <f t="shared" si="184"/>
        <v>#DIV/0!</v>
      </c>
      <c r="BY5429" s="215">
        <f t="shared" si="185"/>
        <v>0</v>
      </c>
    </row>
    <row r="5430" spans="76:77" x14ac:dyDescent="0.2">
      <c r="BX5430" s="214" t="e">
        <f t="shared" si="184"/>
        <v>#DIV/0!</v>
      </c>
      <c r="BY5430" s="215">
        <f t="shared" si="185"/>
        <v>0</v>
      </c>
    </row>
    <row r="5431" spans="76:77" x14ac:dyDescent="0.2">
      <c r="BX5431" s="214" t="e">
        <f t="shared" si="184"/>
        <v>#DIV/0!</v>
      </c>
      <c r="BY5431" s="215">
        <f t="shared" si="185"/>
        <v>0</v>
      </c>
    </row>
    <row r="5432" spans="76:77" x14ac:dyDescent="0.2">
      <c r="BX5432" s="214" t="e">
        <f t="shared" si="184"/>
        <v>#DIV/0!</v>
      </c>
      <c r="BY5432" s="215">
        <f t="shared" si="185"/>
        <v>0</v>
      </c>
    </row>
    <row r="5433" spans="76:77" x14ac:dyDescent="0.2">
      <c r="BX5433" s="214" t="e">
        <f t="shared" si="184"/>
        <v>#DIV/0!</v>
      </c>
      <c r="BY5433" s="215">
        <f t="shared" si="185"/>
        <v>0</v>
      </c>
    </row>
    <row r="5434" spans="76:77" x14ac:dyDescent="0.2">
      <c r="BX5434" s="214" t="e">
        <f t="shared" si="184"/>
        <v>#DIV/0!</v>
      </c>
      <c r="BY5434" s="215">
        <f t="shared" si="185"/>
        <v>0</v>
      </c>
    </row>
    <row r="5435" spans="76:77" x14ac:dyDescent="0.2">
      <c r="BX5435" s="214" t="e">
        <f t="shared" si="184"/>
        <v>#DIV/0!</v>
      </c>
      <c r="BY5435" s="215">
        <f t="shared" si="185"/>
        <v>0</v>
      </c>
    </row>
    <row r="5436" spans="76:77" x14ac:dyDescent="0.2">
      <c r="BX5436" s="214" t="e">
        <f t="shared" si="184"/>
        <v>#DIV/0!</v>
      </c>
      <c r="BY5436" s="215">
        <f t="shared" si="185"/>
        <v>0</v>
      </c>
    </row>
    <row r="5437" spans="76:77" x14ac:dyDescent="0.2">
      <c r="BX5437" s="214" t="e">
        <f t="shared" si="184"/>
        <v>#DIV/0!</v>
      </c>
      <c r="BY5437" s="215">
        <f t="shared" si="185"/>
        <v>0</v>
      </c>
    </row>
    <row r="5438" spans="76:77" x14ac:dyDescent="0.2">
      <c r="BX5438" s="214" t="e">
        <f t="shared" si="184"/>
        <v>#DIV/0!</v>
      </c>
      <c r="BY5438" s="215">
        <f t="shared" si="185"/>
        <v>0</v>
      </c>
    </row>
    <row r="5439" spans="76:77" x14ac:dyDescent="0.2">
      <c r="BX5439" s="214" t="e">
        <f t="shared" si="184"/>
        <v>#DIV/0!</v>
      </c>
      <c r="BY5439" s="215">
        <f t="shared" si="185"/>
        <v>0</v>
      </c>
    </row>
    <row r="5440" spans="76:77" x14ac:dyDescent="0.2">
      <c r="BX5440" s="214" t="e">
        <f t="shared" si="184"/>
        <v>#DIV/0!</v>
      </c>
      <c r="BY5440" s="215">
        <f t="shared" si="185"/>
        <v>0</v>
      </c>
    </row>
    <row r="5441" spans="76:77" x14ac:dyDescent="0.2">
      <c r="BX5441" s="214" t="e">
        <f t="shared" si="184"/>
        <v>#DIV/0!</v>
      </c>
      <c r="BY5441" s="215">
        <f t="shared" si="185"/>
        <v>0</v>
      </c>
    </row>
    <row r="5442" spans="76:77" x14ac:dyDescent="0.2">
      <c r="BX5442" s="214" t="e">
        <f t="shared" si="184"/>
        <v>#DIV/0!</v>
      </c>
      <c r="BY5442" s="215">
        <f t="shared" si="185"/>
        <v>0</v>
      </c>
    </row>
    <row r="5443" spans="76:77" x14ac:dyDescent="0.2">
      <c r="BX5443" s="214" t="e">
        <f t="shared" si="184"/>
        <v>#DIV/0!</v>
      </c>
      <c r="BY5443" s="215">
        <f t="shared" si="185"/>
        <v>0</v>
      </c>
    </row>
    <row r="5444" spans="76:77" x14ac:dyDescent="0.2">
      <c r="BX5444" s="214" t="e">
        <f t="shared" si="184"/>
        <v>#DIV/0!</v>
      </c>
      <c r="BY5444" s="215">
        <f t="shared" si="185"/>
        <v>0</v>
      </c>
    </row>
    <row r="5445" spans="76:77" x14ac:dyDescent="0.2">
      <c r="BX5445" s="214" t="e">
        <f t="shared" si="184"/>
        <v>#DIV/0!</v>
      </c>
      <c r="BY5445" s="215">
        <f t="shared" si="185"/>
        <v>0</v>
      </c>
    </row>
    <row r="5446" spans="76:77" x14ac:dyDescent="0.2">
      <c r="BX5446" s="214" t="e">
        <f t="shared" si="184"/>
        <v>#DIV/0!</v>
      </c>
      <c r="BY5446" s="215">
        <f t="shared" si="185"/>
        <v>0</v>
      </c>
    </row>
    <row r="5447" spans="76:77" x14ac:dyDescent="0.2">
      <c r="BX5447" s="214" t="e">
        <f t="shared" si="184"/>
        <v>#DIV/0!</v>
      </c>
      <c r="BY5447" s="215">
        <f t="shared" si="185"/>
        <v>0</v>
      </c>
    </row>
    <row r="5448" spans="76:77" x14ac:dyDescent="0.2">
      <c r="BX5448" s="214" t="e">
        <f t="shared" si="184"/>
        <v>#DIV/0!</v>
      </c>
      <c r="BY5448" s="215">
        <f t="shared" si="185"/>
        <v>0</v>
      </c>
    </row>
    <row r="5449" spans="76:77" x14ac:dyDescent="0.2">
      <c r="BX5449" s="214" t="e">
        <f t="shared" si="184"/>
        <v>#DIV/0!</v>
      </c>
      <c r="BY5449" s="215">
        <f t="shared" si="185"/>
        <v>0</v>
      </c>
    </row>
    <row r="5450" spans="76:77" x14ac:dyDescent="0.2">
      <c r="BX5450" s="214" t="e">
        <f t="shared" si="184"/>
        <v>#DIV/0!</v>
      </c>
      <c r="BY5450" s="215">
        <f t="shared" si="185"/>
        <v>0</v>
      </c>
    </row>
    <row r="5451" spans="76:77" x14ac:dyDescent="0.2">
      <c r="BX5451" s="214" t="e">
        <f t="shared" si="184"/>
        <v>#DIV/0!</v>
      </c>
      <c r="BY5451" s="215">
        <f t="shared" si="185"/>
        <v>0</v>
      </c>
    </row>
    <row r="5452" spans="76:77" x14ac:dyDescent="0.2">
      <c r="BX5452" s="214" t="e">
        <f t="shared" si="184"/>
        <v>#DIV/0!</v>
      </c>
      <c r="BY5452" s="215">
        <f t="shared" si="185"/>
        <v>0</v>
      </c>
    </row>
    <row r="5453" spans="76:77" x14ac:dyDescent="0.2">
      <c r="BX5453" s="214" t="e">
        <f t="shared" ref="BX5453:BX5516" si="186">BY5453/BV5453</f>
        <v>#DIV/0!</v>
      </c>
      <c r="BY5453" s="215">
        <f t="shared" si="185"/>
        <v>0</v>
      </c>
    </row>
    <row r="5454" spans="76:77" x14ac:dyDescent="0.2">
      <c r="BX5454" s="214" t="e">
        <f t="shared" si="186"/>
        <v>#DIV/0!</v>
      </c>
      <c r="BY5454" s="215">
        <f t="shared" ref="BY5454:BY5517" si="187">BY5453+BW5454*(BV5454-BV5453)</f>
        <v>0</v>
      </c>
    </row>
    <row r="5455" spans="76:77" x14ac:dyDescent="0.2">
      <c r="BX5455" s="214" t="e">
        <f t="shared" si="186"/>
        <v>#DIV/0!</v>
      </c>
      <c r="BY5455" s="215">
        <f t="shared" si="187"/>
        <v>0</v>
      </c>
    </row>
    <row r="5456" spans="76:77" x14ac:dyDescent="0.2">
      <c r="BX5456" s="214" t="e">
        <f t="shared" si="186"/>
        <v>#DIV/0!</v>
      </c>
      <c r="BY5456" s="215">
        <f t="shared" si="187"/>
        <v>0</v>
      </c>
    </row>
    <row r="5457" spans="76:77" x14ac:dyDescent="0.2">
      <c r="BX5457" s="214" t="e">
        <f t="shared" si="186"/>
        <v>#DIV/0!</v>
      </c>
      <c r="BY5457" s="215">
        <f t="shared" si="187"/>
        <v>0</v>
      </c>
    </row>
    <row r="5458" spans="76:77" x14ac:dyDescent="0.2">
      <c r="BX5458" s="214" t="e">
        <f t="shared" si="186"/>
        <v>#DIV/0!</v>
      </c>
      <c r="BY5458" s="215">
        <f t="shared" si="187"/>
        <v>0</v>
      </c>
    </row>
    <row r="5459" spans="76:77" x14ac:dyDescent="0.2">
      <c r="BX5459" s="214" t="e">
        <f t="shared" si="186"/>
        <v>#DIV/0!</v>
      </c>
      <c r="BY5459" s="215">
        <f t="shared" si="187"/>
        <v>0</v>
      </c>
    </row>
    <row r="5460" spans="76:77" x14ac:dyDescent="0.2">
      <c r="BX5460" s="214" t="e">
        <f t="shared" si="186"/>
        <v>#DIV/0!</v>
      </c>
      <c r="BY5460" s="215">
        <f t="shared" si="187"/>
        <v>0</v>
      </c>
    </row>
    <row r="5461" spans="76:77" x14ac:dyDescent="0.2">
      <c r="BX5461" s="214" t="e">
        <f t="shared" si="186"/>
        <v>#DIV/0!</v>
      </c>
      <c r="BY5461" s="215">
        <f t="shared" si="187"/>
        <v>0</v>
      </c>
    </row>
    <row r="5462" spans="76:77" x14ac:dyDescent="0.2">
      <c r="BX5462" s="214" t="e">
        <f t="shared" si="186"/>
        <v>#DIV/0!</v>
      </c>
      <c r="BY5462" s="215">
        <f t="shared" si="187"/>
        <v>0</v>
      </c>
    </row>
    <row r="5463" spans="76:77" x14ac:dyDescent="0.2">
      <c r="BX5463" s="214" t="e">
        <f t="shared" si="186"/>
        <v>#DIV/0!</v>
      </c>
      <c r="BY5463" s="215">
        <f t="shared" si="187"/>
        <v>0</v>
      </c>
    </row>
    <row r="5464" spans="76:77" x14ac:dyDescent="0.2">
      <c r="BX5464" s="214" t="e">
        <f t="shared" si="186"/>
        <v>#DIV/0!</v>
      </c>
      <c r="BY5464" s="215">
        <f t="shared" si="187"/>
        <v>0</v>
      </c>
    </row>
    <row r="5465" spans="76:77" x14ac:dyDescent="0.2">
      <c r="BX5465" s="214" t="e">
        <f t="shared" si="186"/>
        <v>#DIV/0!</v>
      </c>
      <c r="BY5465" s="215">
        <f t="shared" si="187"/>
        <v>0</v>
      </c>
    </row>
    <row r="5466" spans="76:77" x14ac:dyDescent="0.2">
      <c r="BX5466" s="214" t="e">
        <f t="shared" si="186"/>
        <v>#DIV/0!</v>
      </c>
      <c r="BY5466" s="215">
        <f t="shared" si="187"/>
        <v>0</v>
      </c>
    </row>
    <row r="5467" spans="76:77" x14ac:dyDescent="0.2">
      <c r="BX5467" s="214" t="e">
        <f t="shared" si="186"/>
        <v>#DIV/0!</v>
      </c>
      <c r="BY5467" s="215">
        <f t="shared" si="187"/>
        <v>0</v>
      </c>
    </row>
    <row r="5468" spans="76:77" x14ac:dyDescent="0.2">
      <c r="BX5468" s="214" t="e">
        <f t="shared" si="186"/>
        <v>#DIV/0!</v>
      </c>
      <c r="BY5468" s="215">
        <f t="shared" si="187"/>
        <v>0</v>
      </c>
    </row>
    <row r="5469" spans="76:77" x14ac:dyDescent="0.2">
      <c r="BX5469" s="214" t="e">
        <f t="shared" si="186"/>
        <v>#DIV/0!</v>
      </c>
      <c r="BY5469" s="215">
        <f t="shared" si="187"/>
        <v>0</v>
      </c>
    </row>
    <row r="5470" spans="76:77" x14ac:dyDescent="0.2">
      <c r="BX5470" s="214" t="e">
        <f t="shared" si="186"/>
        <v>#DIV/0!</v>
      </c>
      <c r="BY5470" s="215">
        <f t="shared" si="187"/>
        <v>0</v>
      </c>
    </row>
    <row r="5471" spans="76:77" x14ac:dyDescent="0.2">
      <c r="BX5471" s="214" t="e">
        <f t="shared" si="186"/>
        <v>#DIV/0!</v>
      </c>
      <c r="BY5471" s="215">
        <f t="shared" si="187"/>
        <v>0</v>
      </c>
    </row>
    <row r="5472" spans="76:77" x14ac:dyDescent="0.2">
      <c r="BX5472" s="214" t="e">
        <f t="shared" si="186"/>
        <v>#DIV/0!</v>
      </c>
      <c r="BY5472" s="215">
        <f t="shared" si="187"/>
        <v>0</v>
      </c>
    </row>
    <row r="5473" spans="76:77" x14ac:dyDescent="0.2">
      <c r="BX5473" s="214" t="e">
        <f t="shared" si="186"/>
        <v>#DIV/0!</v>
      </c>
      <c r="BY5473" s="215">
        <f t="shared" si="187"/>
        <v>0</v>
      </c>
    </row>
    <row r="5474" spans="76:77" x14ac:dyDescent="0.2">
      <c r="BX5474" s="214" t="e">
        <f t="shared" si="186"/>
        <v>#DIV/0!</v>
      </c>
      <c r="BY5474" s="215">
        <f t="shared" si="187"/>
        <v>0</v>
      </c>
    </row>
    <row r="5475" spans="76:77" x14ac:dyDescent="0.2">
      <c r="BX5475" s="214" t="e">
        <f t="shared" si="186"/>
        <v>#DIV/0!</v>
      </c>
      <c r="BY5475" s="215">
        <f t="shared" si="187"/>
        <v>0</v>
      </c>
    </row>
    <row r="5476" spans="76:77" x14ac:dyDescent="0.2">
      <c r="BX5476" s="214" t="e">
        <f t="shared" si="186"/>
        <v>#DIV/0!</v>
      </c>
      <c r="BY5476" s="215">
        <f t="shared" si="187"/>
        <v>0</v>
      </c>
    </row>
    <row r="5477" spans="76:77" x14ac:dyDescent="0.2">
      <c r="BX5477" s="214" t="e">
        <f t="shared" si="186"/>
        <v>#DIV/0!</v>
      </c>
      <c r="BY5477" s="215">
        <f t="shared" si="187"/>
        <v>0</v>
      </c>
    </row>
    <row r="5478" spans="76:77" x14ac:dyDescent="0.2">
      <c r="BX5478" s="214" t="e">
        <f t="shared" si="186"/>
        <v>#DIV/0!</v>
      </c>
      <c r="BY5478" s="215">
        <f t="shared" si="187"/>
        <v>0</v>
      </c>
    </row>
    <row r="5479" spans="76:77" x14ac:dyDescent="0.2">
      <c r="BX5479" s="214" t="e">
        <f t="shared" si="186"/>
        <v>#DIV/0!</v>
      </c>
      <c r="BY5479" s="215">
        <f t="shared" si="187"/>
        <v>0</v>
      </c>
    </row>
    <row r="5480" spans="76:77" x14ac:dyDescent="0.2">
      <c r="BX5480" s="214" t="e">
        <f t="shared" si="186"/>
        <v>#DIV/0!</v>
      </c>
      <c r="BY5480" s="215">
        <f t="shared" si="187"/>
        <v>0</v>
      </c>
    </row>
    <row r="5481" spans="76:77" x14ac:dyDescent="0.2">
      <c r="BX5481" s="214" t="e">
        <f t="shared" si="186"/>
        <v>#DIV/0!</v>
      </c>
      <c r="BY5481" s="215">
        <f t="shared" si="187"/>
        <v>0</v>
      </c>
    </row>
    <row r="5482" spans="76:77" x14ac:dyDescent="0.2">
      <c r="BX5482" s="214" t="e">
        <f t="shared" si="186"/>
        <v>#DIV/0!</v>
      </c>
      <c r="BY5482" s="215">
        <f t="shared" si="187"/>
        <v>0</v>
      </c>
    </row>
    <row r="5483" spans="76:77" x14ac:dyDescent="0.2">
      <c r="BX5483" s="214" t="e">
        <f t="shared" si="186"/>
        <v>#DIV/0!</v>
      </c>
      <c r="BY5483" s="215">
        <f t="shared" si="187"/>
        <v>0</v>
      </c>
    </row>
    <row r="5484" spans="76:77" x14ac:dyDescent="0.2">
      <c r="BX5484" s="214" t="e">
        <f t="shared" si="186"/>
        <v>#DIV/0!</v>
      </c>
      <c r="BY5484" s="215">
        <f t="shared" si="187"/>
        <v>0</v>
      </c>
    </row>
    <row r="5485" spans="76:77" x14ac:dyDescent="0.2">
      <c r="BX5485" s="214" t="e">
        <f t="shared" si="186"/>
        <v>#DIV/0!</v>
      </c>
      <c r="BY5485" s="215">
        <f t="shared" si="187"/>
        <v>0</v>
      </c>
    </row>
    <row r="5486" spans="76:77" x14ac:dyDescent="0.2">
      <c r="BX5486" s="214" t="e">
        <f t="shared" si="186"/>
        <v>#DIV/0!</v>
      </c>
      <c r="BY5486" s="215">
        <f t="shared" si="187"/>
        <v>0</v>
      </c>
    </row>
    <row r="5487" spans="76:77" x14ac:dyDescent="0.2">
      <c r="BX5487" s="214" t="e">
        <f t="shared" si="186"/>
        <v>#DIV/0!</v>
      </c>
      <c r="BY5487" s="215">
        <f t="shared" si="187"/>
        <v>0</v>
      </c>
    </row>
    <row r="5488" spans="76:77" x14ac:dyDescent="0.2">
      <c r="BX5488" s="214" t="e">
        <f t="shared" si="186"/>
        <v>#DIV/0!</v>
      </c>
      <c r="BY5488" s="215">
        <f t="shared" si="187"/>
        <v>0</v>
      </c>
    </row>
    <row r="5489" spans="76:77" x14ac:dyDescent="0.2">
      <c r="BX5489" s="214" t="e">
        <f t="shared" si="186"/>
        <v>#DIV/0!</v>
      </c>
      <c r="BY5489" s="215">
        <f t="shared" si="187"/>
        <v>0</v>
      </c>
    </row>
    <row r="5490" spans="76:77" x14ac:dyDescent="0.2">
      <c r="BX5490" s="214" t="e">
        <f t="shared" si="186"/>
        <v>#DIV/0!</v>
      </c>
      <c r="BY5490" s="215">
        <f t="shared" si="187"/>
        <v>0</v>
      </c>
    </row>
    <row r="5491" spans="76:77" x14ac:dyDescent="0.2">
      <c r="BX5491" s="214" t="e">
        <f t="shared" si="186"/>
        <v>#DIV/0!</v>
      </c>
      <c r="BY5491" s="215">
        <f t="shared" si="187"/>
        <v>0</v>
      </c>
    </row>
    <row r="5492" spans="76:77" x14ac:dyDescent="0.2">
      <c r="BX5492" s="214" t="e">
        <f t="shared" si="186"/>
        <v>#DIV/0!</v>
      </c>
      <c r="BY5492" s="215">
        <f t="shared" si="187"/>
        <v>0</v>
      </c>
    </row>
    <row r="5493" spans="76:77" x14ac:dyDescent="0.2">
      <c r="BX5493" s="214" t="e">
        <f t="shared" si="186"/>
        <v>#DIV/0!</v>
      </c>
      <c r="BY5493" s="215">
        <f t="shared" si="187"/>
        <v>0</v>
      </c>
    </row>
    <row r="5494" spans="76:77" x14ac:dyDescent="0.2">
      <c r="BX5494" s="214" t="e">
        <f t="shared" si="186"/>
        <v>#DIV/0!</v>
      </c>
      <c r="BY5494" s="215">
        <f t="shared" si="187"/>
        <v>0</v>
      </c>
    </row>
    <row r="5495" spans="76:77" x14ac:dyDescent="0.2">
      <c r="BX5495" s="214" t="e">
        <f t="shared" si="186"/>
        <v>#DIV/0!</v>
      </c>
      <c r="BY5495" s="215">
        <f t="shared" si="187"/>
        <v>0</v>
      </c>
    </row>
    <row r="5496" spans="76:77" x14ac:dyDescent="0.2">
      <c r="BX5496" s="214" t="e">
        <f t="shared" si="186"/>
        <v>#DIV/0!</v>
      </c>
      <c r="BY5496" s="215">
        <f t="shared" si="187"/>
        <v>0</v>
      </c>
    </row>
    <row r="5497" spans="76:77" x14ac:dyDescent="0.2">
      <c r="BX5497" s="214" t="e">
        <f t="shared" si="186"/>
        <v>#DIV/0!</v>
      </c>
      <c r="BY5497" s="215">
        <f t="shared" si="187"/>
        <v>0</v>
      </c>
    </row>
    <row r="5498" spans="76:77" x14ac:dyDescent="0.2">
      <c r="BX5498" s="214" t="e">
        <f t="shared" si="186"/>
        <v>#DIV/0!</v>
      </c>
      <c r="BY5498" s="215">
        <f t="shared" si="187"/>
        <v>0</v>
      </c>
    </row>
    <row r="5499" spans="76:77" x14ac:dyDescent="0.2">
      <c r="BX5499" s="214" t="e">
        <f t="shared" si="186"/>
        <v>#DIV/0!</v>
      </c>
      <c r="BY5499" s="215">
        <f t="shared" si="187"/>
        <v>0</v>
      </c>
    </row>
    <row r="5500" spans="76:77" x14ac:dyDescent="0.2">
      <c r="BX5500" s="214" t="e">
        <f t="shared" si="186"/>
        <v>#DIV/0!</v>
      </c>
      <c r="BY5500" s="215">
        <f t="shared" si="187"/>
        <v>0</v>
      </c>
    </row>
    <row r="5501" spans="76:77" x14ac:dyDescent="0.2">
      <c r="BX5501" s="214" t="e">
        <f t="shared" si="186"/>
        <v>#DIV/0!</v>
      </c>
      <c r="BY5501" s="215">
        <f t="shared" si="187"/>
        <v>0</v>
      </c>
    </row>
    <row r="5502" spans="76:77" x14ac:dyDescent="0.2">
      <c r="BX5502" s="214" t="e">
        <f t="shared" si="186"/>
        <v>#DIV/0!</v>
      </c>
      <c r="BY5502" s="215">
        <f t="shared" si="187"/>
        <v>0</v>
      </c>
    </row>
    <row r="5503" spans="76:77" x14ac:dyDescent="0.2">
      <c r="BX5503" s="214" t="e">
        <f t="shared" si="186"/>
        <v>#DIV/0!</v>
      </c>
      <c r="BY5503" s="215">
        <f t="shared" si="187"/>
        <v>0</v>
      </c>
    </row>
    <row r="5504" spans="76:77" x14ac:dyDescent="0.2">
      <c r="BX5504" s="214" t="e">
        <f t="shared" si="186"/>
        <v>#DIV/0!</v>
      </c>
      <c r="BY5504" s="215">
        <f t="shared" si="187"/>
        <v>0</v>
      </c>
    </row>
    <row r="5505" spans="76:77" x14ac:dyDescent="0.2">
      <c r="BX5505" s="214" t="e">
        <f t="shared" si="186"/>
        <v>#DIV/0!</v>
      </c>
      <c r="BY5505" s="215">
        <f t="shared" si="187"/>
        <v>0</v>
      </c>
    </row>
    <row r="5506" spans="76:77" x14ac:dyDescent="0.2">
      <c r="BX5506" s="214" t="e">
        <f t="shared" si="186"/>
        <v>#DIV/0!</v>
      </c>
      <c r="BY5506" s="215">
        <f t="shared" si="187"/>
        <v>0</v>
      </c>
    </row>
    <row r="5507" spans="76:77" x14ac:dyDescent="0.2">
      <c r="BX5507" s="214" t="e">
        <f t="shared" si="186"/>
        <v>#DIV/0!</v>
      </c>
      <c r="BY5507" s="215">
        <f t="shared" si="187"/>
        <v>0</v>
      </c>
    </row>
    <row r="5508" spans="76:77" x14ac:dyDescent="0.2">
      <c r="BX5508" s="214" t="e">
        <f t="shared" si="186"/>
        <v>#DIV/0!</v>
      </c>
      <c r="BY5508" s="215">
        <f t="shared" si="187"/>
        <v>0</v>
      </c>
    </row>
    <row r="5509" spans="76:77" x14ac:dyDescent="0.2">
      <c r="BX5509" s="214" t="e">
        <f t="shared" si="186"/>
        <v>#DIV/0!</v>
      </c>
      <c r="BY5509" s="215">
        <f t="shared" si="187"/>
        <v>0</v>
      </c>
    </row>
    <row r="5510" spans="76:77" x14ac:dyDescent="0.2">
      <c r="BX5510" s="214" t="e">
        <f t="shared" si="186"/>
        <v>#DIV/0!</v>
      </c>
      <c r="BY5510" s="215">
        <f t="shared" si="187"/>
        <v>0</v>
      </c>
    </row>
    <row r="5511" spans="76:77" x14ac:dyDescent="0.2">
      <c r="BX5511" s="214" t="e">
        <f t="shared" si="186"/>
        <v>#DIV/0!</v>
      </c>
      <c r="BY5511" s="215">
        <f t="shared" si="187"/>
        <v>0</v>
      </c>
    </row>
    <row r="5512" spans="76:77" x14ac:dyDescent="0.2">
      <c r="BX5512" s="214" t="e">
        <f t="shared" si="186"/>
        <v>#DIV/0!</v>
      </c>
      <c r="BY5512" s="215">
        <f t="shared" si="187"/>
        <v>0</v>
      </c>
    </row>
    <row r="5513" spans="76:77" x14ac:dyDescent="0.2">
      <c r="BX5513" s="214" t="e">
        <f t="shared" si="186"/>
        <v>#DIV/0!</v>
      </c>
      <c r="BY5513" s="215">
        <f t="shared" si="187"/>
        <v>0</v>
      </c>
    </row>
    <row r="5514" spans="76:77" x14ac:dyDescent="0.2">
      <c r="BX5514" s="214" t="e">
        <f t="shared" si="186"/>
        <v>#DIV/0!</v>
      </c>
      <c r="BY5514" s="215">
        <f t="shared" si="187"/>
        <v>0</v>
      </c>
    </row>
    <row r="5515" spans="76:77" x14ac:dyDescent="0.2">
      <c r="BX5515" s="214" t="e">
        <f t="shared" si="186"/>
        <v>#DIV/0!</v>
      </c>
      <c r="BY5515" s="215">
        <f t="shared" si="187"/>
        <v>0</v>
      </c>
    </row>
    <row r="5516" spans="76:77" x14ac:dyDescent="0.2">
      <c r="BX5516" s="214" t="e">
        <f t="shared" si="186"/>
        <v>#DIV/0!</v>
      </c>
      <c r="BY5516" s="215">
        <f t="shared" si="187"/>
        <v>0</v>
      </c>
    </row>
    <row r="5517" spans="76:77" x14ac:dyDescent="0.2">
      <c r="BX5517" s="214" t="e">
        <f t="shared" ref="BX5517:BX5580" si="188">BY5517/BV5517</f>
        <v>#DIV/0!</v>
      </c>
      <c r="BY5517" s="215">
        <f t="shared" si="187"/>
        <v>0</v>
      </c>
    </row>
    <row r="5518" spans="76:77" x14ac:dyDescent="0.2">
      <c r="BX5518" s="214" t="e">
        <f t="shared" si="188"/>
        <v>#DIV/0!</v>
      </c>
      <c r="BY5518" s="215">
        <f t="shared" ref="BY5518:BY5581" si="189">BY5517+BW5518*(BV5518-BV5517)</f>
        <v>0</v>
      </c>
    </row>
    <row r="5519" spans="76:77" x14ac:dyDescent="0.2">
      <c r="BX5519" s="214" t="e">
        <f t="shared" si="188"/>
        <v>#DIV/0!</v>
      </c>
      <c r="BY5519" s="215">
        <f t="shared" si="189"/>
        <v>0</v>
      </c>
    </row>
    <row r="5520" spans="76:77" x14ac:dyDescent="0.2">
      <c r="BX5520" s="214" t="e">
        <f t="shared" si="188"/>
        <v>#DIV/0!</v>
      </c>
      <c r="BY5520" s="215">
        <f t="shared" si="189"/>
        <v>0</v>
      </c>
    </row>
    <row r="5521" spans="76:77" x14ac:dyDescent="0.2">
      <c r="BX5521" s="214" t="e">
        <f t="shared" si="188"/>
        <v>#DIV/0!</v>
      </c>
      <c r="BY5521" s="215">
        <f t="shared" si="189"/>
        <v>0</v>
      </c>
    </row>
    <row r="5522" spans="76:77" x14ac:dyDescent="0.2">
      <c r="BX5522" s="214" t="e">
        <f t="shared" si="188"/>
        <v>#DIV/0!</v>
      </c>
      <c r="BY5522" s="215">
        <f t="shared" si="189"/>
        <v>0</v>
      </c>
    </row>
    <row r="5523" spans="76:77" x14ac:dyDescent="0.2">
      <c r="BX5523" s="214" t="e">
        <f t="shared" si="188"/>
        <v>#DIV/0!</v>
      </c>
      <c r="BY5523" s="215">
        <f t="shared" si="189"/>
        <v>0</v>
      </c>
    </row>
    <row r="5524" spans="76:77" x14ac:dyDescent="0.2">
      <c r="BX5524" s="214" t="e">
        <f t="shared" si="188"/>
        <v>#DIV/0!</v>
      </c>
      <c r="BY5524" s="215">
        <f t="shared" si="189"/>
        <v>0</v>
      </c>
    </row>
    <row r="5525" spans="76:77" x14ac:dyDescent="0.2">
      <c r="BX5525" s="214" t="e">
        <f t="shared" si="188"/>
        <v>#DIV/0!</v>
      </c>
      <c r="BY5525" s="215">
        <f t="shared" si="189"/>
        <v>0</v>
      </c>
    </row>
    <row r="5526" spans="76:77" x14ac:dyDescent="0.2">
      <c r="BX5526" s="214" t="e">
        <f t="shared" si="188"/>
        <v>#DIV/0!</v>
      </c>
      <c r="BY5526" s="215">
        <f t="shared" si="189"/>
        <v>0</v>
      </c>
    </row>
    <row r="5527" spans="76:77" x14ac:dyDescent="0.2">
      <c r="BX5527" s="214" t="e">
        <f t="shared" si="188"/>
        <v>#DIV/0!</v>
      </c>
      <c r="BY5527" s="215">
        <f t="shared" si="189"/>
        <v>0</v>
      </c>
    </row>
    <row r="5528" spans="76:77" x14ac:dyDescent="0.2">
      <c r="BX5528" s="214" t="e">
        <f t="shared" si="188"/>
        <v>#DIV/0!</v>
      </c>
      <c r="BY5528" s="215">
        <f t="shared" si="189"/>
        <v>0</v>
      </c>
    </row>
    <row r="5529" spans="76:77" x14ac:dyDescent="0.2">
      <c r="BX5529" s="214" t="e">
        <f t="shared" si="188"/>
        <v>#DIV/0!</v>
      </c>
      <c r="BY5529" s="215">
        <f t="shared" si="189"/>
        <v>0</v>
      </c>
    </row>
    <row r="5530" spans="76:77" x14ac:dyDescent="0.2">
      <c r="BX5530" s="214" t="e">
        <f t="shared" si="188"/>
        <v>#DIV/0!</v>
      </c>
      <c r="BY5530" s="215">
        <f t="shared" si="189"/>
        <v>0</v>
      </c>
    </row>
    <row r="5531" spans="76:77" x14ac:dyDescent="0.2">
      <c r="BX5531" s="214" t="e">
        <f t="shared" si="188"/>
        <v>#DIV/0!</v>
      </c>
      <c r="BY5531" s="215">
        <f t="shared" si="189"/>
        <v>0</v>
      </c>
    </row>
    <row r="5532" spans="76:77" x14ac:dyDescent="0.2">
      <c r="BX5532" s="214" t="e">
        <f t="shared" si="188"/>
        <v>#DIV/0!</v>
      </c>
      <c r="BY5532" s="215">
        <f t="shared" si="189"/>
        <v>0</v>
      </c>
    </row>
    <row r="5533" spans="76:77" x14ac:dyDescent="0.2">
      <c r="BX5533" s="214" t="e">
        <f t="shared" si="188"/>
        <v>#DIV/0!</v>
      </c>
      <c r="BY5533" s="215">
        <f t="shared" si="189"/>
        <v>0</v>
      </c>
    </row>
    <row r="5534" spans="76:77" x14ac:dyDescent="0.2">
      <c r="BX5534" s="214" t="e">
        <f t="shared" si="188"/>
        <v>#DIV/0!</v>
      </c>
      <c r="BY5534" s="215">
        <f t="shared" si="189"/>
        <v>0</v>
      </c>
    </row>
    <row r="5535" spans="76:77" x14ac:dyDescent="0.2">
      <c r="BX5535" s="214" t="e">
        <f t="shared" si="188"/>
        <v>#DIV/0!</v>
      </c>
      <c r="BY5535" s="215">
        <f t="shared" si="189"/>
        <v>0</v>
      </c>
    </row>
    <row r="5536" spans="76:77" x14ac:dyDescent="0.2">
      <c r="BX5536" s="214" t="e">
        <f t="shared" si="188"/>
        <v>#DIV/0!</v>
      </c>
      <c r="BY5536" s="215">
        <f t="shared" si="189"/>
        <v>0</v>
      </c>
    </row>
    <row r="5537" spans="76:77" x14ac:dyDescent="0.2">
      <c r="BX5537" s="214" t="e">
        <f t="shared" si="188"/>
        <v>#DIV/0!</v>
      </c>
      <c r="BY5537" s="215">
        <f t="shared" si="189"/>
        <v>0</v>
      </c>
    </row>
    <row r="5538" spans="76:77" x14ac:dyDescent="0.2">
      <c r="BX5538" s="214" t="e">
        <f t="shared" si="188"/>
        <v>#DIV/0!</v>
      </c>
      <c r="BY5538" s="215">
        <f t="shared" si="189"/>
        <v>0</v>
      </c>
    </row>
    <row r="5539" spans="76:77" x14ac:dyDescent="0.2">
      <c r="BX5539" s="214" t="e">
        <f t="shared" si="188"/>
        <v>#DIV/0!</v>
      </c>
      <c r="BY5539" s="215">
        <f t="shared" si="189"/>
        <v>0</v>
      </c>
    </row>
    <row r="5540" spans="76:77" x14ac:dyDescent="0.2">
      <c r="BX5540" s="214" t="e">
        <f t="shared" si="188"/>
        <v>#DIV/0!</v>
      </c>
      <c r="BY5540" s="215">
        <f t="shared" si="189"/>
        <v>0</v>
      </c>
    </row>
    <row r="5541" spans="76:77" x14ac:dyDescent="0.2">
      <c r="BX5541" s="214" t="e">
        <f t="shared" si="188"/>
        <v>#DIV/0!</v>
      </c>
      <c r="BY5541" s="215">
        <f t="shared" si="189"/>
        <v>0</v>
      </c>
    </row>
    <row r="5542" spans="76:77" x14ac:dyDescent="0.2">
      <c r="BX5542" s="214" t="e">
        <f t="shared" si="188"/>
        <v>#DIV/0!</v>
      </c>
      <c r="BY5542" s="215">
        <f t="shared" si="189"/>
        <v>0</v>
      </c>
    </row>
    <row r="5543" spans="76:77" x14ac:dyDescent="0.2">
      <c r="BX5543" s="214" t="e">
        <f t="shared" si="188"/>
        <v>#DIV/0!</v>
      </c>
      <c r="BY5543" s="215">
        <f t="shared" si="189"/>
        <v>0</v>
      </c>
    </row>
    <row r="5544" spans="76:77" x14ac:dyDescent="0.2">
      <c r="BX5544" s="214" t="e">
        <f t="shared" si="188"/>
        <v>#DIV/0!</v>
      </c>
      <c r="BY5544" s="215">
        <f t="shared" si="189"/>
        <v>0</v>
      </c>
    </row>
    <row r="5545" spans="76:77" x14ac:dyDescent="0.2">
      <c r="BX5545" s="214" t="e">
        <f t="shared" si="188"/>
        <v>#DIV/0!</v>
      </c>
      <c r="BY5545" s="215">
        <f t="shared" si="189"/>
        <v>0</v>
      </c>
    </row>
    <row r="5546" spans="76:77" x14ac:dyDescent="0.2">
      <c r="BX5546" s="214" t="e">
        <f t="shared" si="188"/>
        <v>#DIV/0!</v>
      </c>
      <c r="BY5546" s="215">
        <f t="shared" si="189"/>
        <v>0</v>
      </c>
    </row>
    <row r="5547" spans="76:77" x14ac:dyDescent="0.2">
      <c r="BX5547" s="214" t="e">
        <f t="shared" si="188"/>
        <v>#DIV/0!</v>
      </c>
      <c r="BY5547" s="215">
        <f t="shared" si="189"/>
        <v>0</v>
      </c>
    </row>
    <row r="5548" spans="76:77" x14ac:dyDescent="0.2">
      <c r="BX5548" s="214" t="e">
        <f t="shared" si="188"/>
        <v>#DIV/0!</v>
      </c>
      <c r="BY5548" s="215">
        <f t="shared" si="189"/>
        <v>0</v>
      </c>
    </row>
    <row r="5549" spans="76:77" x14ac:dyDescent="0.2">
      <c r="BX5549" s="214" t="e">
        <f t="shared" si="188"/>
        <v>#DIV/0!</v>
      </c>
      <c r="BY5549" s="215">
        <f t="shared" si="189"/>
        <v>0</v>
      </c>
    </row>
    <row r="5550" spans="76:77" x14ac:dyDescent="0.2">
      <c r="BX5550" s="214" t="e">
        <f t="shared" si="188"/>
        <v>#DIV/0!</v>
      </c>
      <c r="BY5550" s="215">
        <f t="shared" si="189"/>
        <v>0</v>
      </c>
    </row>
    <row r="5551" spans="76:77" x14ac:dyDescent="0.2">
      <c r="BX5551" s="214" t="e">
        <f t="shared" si="188"/>
        <v>#DIV/0!</v>
      </c>
      <c r="BY5551" s="215">
        <f t="shared" si="189"/>
        <v>0</v>
      </c>
    </row>
    <row r="5552" spans="76:77" x14ac:dyDescent="0.2">
      <c r="BX5552" s="214" t="e">
        <f t="shared" si="188"/>
        <v>#DIV/0!</v>
      </c>
      <c r="BY5552" s="215">
        <f t="shared" si="189"/>
        <v>0</v>
      </c>
    </row>
    <row r="5553" spans="76:77" x14ac:dyDescent="0.2">
      <c r="BX5553" s="214" t="e">
        <f t="shared" si="188"/>
        <v>#DIV/0!</v>
      </c>
      <c r="BY5553" s="215">
        <f t="shared" si="189"/>
        <v>0</v>
      </c>
    </row>
    <row r="5554" spans="76:77" x14ac:dyDescent="0.2">
      <c r="BX5554" s="214" t="e">
        <f t="shared" si="188"/>
        <v>#DIV/0!</v>
      </c>
      <c r="BY5554" s="215">
        <f t="shared" si="189"/>
        <v>0</v>
      </c>
    </row>
    <row r="5555" spans="76:77" x14ac:dyDescent="0.2">
      <c r="BX5555" s="214" t="e">
        <f t="shared" si="188"/>
        <v>#DIV/0!</v>
      </c>
      <c r="BY5555" s="215">
        <f t="shared" si="189"/>
        <v>0</v>
      </c>
    </row>
    <row r="5556" spans="76:77" x14ac:dyDescent="0.2">
      <c r="BX5556" s="214" t="e">
        <f t="shared" si="188"/>
        <v>#DIV/0!</v>
      </c>
      <c r="BY5556" s="215">
        <f t="shared" si="189"/>
        <v>0</v>
      </c>
    </row>
    <row r="5557" spans="76:77" x14ac:dyDescent="0.2">
      <c r="BX5557" s="214" t="e">
        <f t="shared" si="188"/>
        <v>#DIV/0!</v>
      </c>
      <c r="BY5557" s="215">
        <f t="shared" si="189"/>
        <v>0</v>
      </c>
    </row>
    <row r="5558" spans="76:77" x14ac:dyDescent="0.2">
      <c r="BX5558" s="214" t="e">
        <f t="shared" si="188"/>
        <v>#DIV/0!</v>
      </c>
      <c r="BY5558" s="215">
        <f t="shared" si="189"/>
        <v>0</v>
      </c>
    </row>
    <row r="5559" spans="76:77" x14ac:dyDescent="0.2">
      <c r="BX5559" s="214" t="e">
        <f t="shared" si="188"/>
        <v>#DIV/0!</v>
      </c>
      <c r="BY5559" s="215">
        <f t="shared" si="189"/>
        <v>0</v>
      </c>
    </row>
    <row r="5560" spans="76:77" x14ac:dyDescent="0.2">
      <c r="BX5560" s="214" t="e">
        <f t="shared" si="188"/>
        <v>#DIV/0!</v>
      </c>
      <c r="BY5560" s="215">
        <f t="shared" si="189"/>
        <v>0</v>
      </c>
    </row>
    <row r="5561" spans="76:77" x14ac:dyDescent="0.2">
      <c r="BX5561" s="214" t="e">
        <f t="shared" si="188"/>
        <v>#DIV/0!</v>
      </c>
      <c r="BY5561" s="215">
        <f t="shared" si="189"/>
        <v>0</v>
      </c>
    </row>
    <row r="5562" spans="76:77" x14ac:dyDescent="0.2">
      <c r="BX5562" s="214" t="e">
        <f t="shared" si="188"/>
        <v>#DIV/0!</v>
      </c>
      <c r="BY5562" s="215">
        <f t="shared" si="189"/>
        <v>0</v>
      </c>
    </row>
    <row r="5563" spans="76:77" x14ac:dyDescent="0.2">
      <c r="BX5563" s="214" t="e">
        <f t="shared" si="188"/>
        <v>#DIV/0!</v>
      </c>
      <c r="BY5563" s="215">
        <f t="shared" si="189"/>
        <v>0</v>
      </c>
    </row>
    <row r="5564" spans="76:77" x14ac:dyDescent="0.2">
      <c r="BX5564" s="214" t="e">
        <f t="shared" si="188"/>
        <v>#DIV/0!</v>
      </c>
      <c r="BY5564" s="215">
        <f t="shared" si="189"/>
        <v>0</v>
      </c>
    </row>
    <row r="5565" spans="76:77" x14ac:dyDescent="0.2">
      <c r="BX5565" s="214" t="e">
        <f t="shared" si="188"/>
        <v>#DIV/0!</v>
      </c>
      <c r="BY5565" s="215">
        <f t="shared" si="189"/>
        <v>0</v>
      </c>
    </row>
    <row r="5566" spans="76:77" x14ac:dyDescent="0.2">
      <c r="BX5566" s="214" t="e">
        <f t="shared" si="188"/>
        <v>#DIV/0!</v>
      </c>
      <c r="BY5566" s="215">
        <f t="shared" si="189"/>
        <v>0</v>
      </c>
    </row>
    <row r="5567" spans="76:77" x14ac:dyDescent="0.2">
      <c r="BX5567" s="214" t="e">
        <f t="shared" si="188"/>
        <v>#DIV/0!</v>
      </c>
      <c r="BY5567" s="215">
        <f t="shared" si="189"/>
        <v>0</v>
      </c>
    </row>
    <row r="5568" spans="76:77" x14ac:dyDescent="0.2">
      <c r="BX5568" s="214" t="e">
        <f t="shared" si="188"/>
        <v>#DIV/0!</v>
      </c>
      <c r="BY5568" s="215">
        <f t="shared" si="189"/>
        <v>0</v>
      </c>
    </row>
    <row r="5569" spans="76:77" x14ac:dyDescent="0.2">
      <c r="BX5569" s="214" t="e">
        <f t="shared" si="188"/>
        <v>#DIV/0!</v>
      </c>
      <c r="BY5569" s="215">
        <f t="shared" si="189"/>
        <v>0</v>
      </c>
    </row>
    <row r="5570" spans="76:77" x14ac:dyDescent="0.2">
      <c r="BX5570" s="214" t="e">
        <f t="shared" si="188"/>
        <v>#DIV/0!</v>
      </c>
      <c r="BY5570" s="215">
        <f t="shared" si="189"/>
        <v>0</v>
      </c>
    </row>
    <row r="5571" spans="76:77" x14ac:dyDescent="0.2">
      <c r="BX5571" s="214" t="e">
        <f t="shared" si="188"/>
        <v>#DIV/0!</v>
      </c>
      <c r="BY5571" s="215">
        <f t="shared" si="189"/>
        <v>0</v>
      </c>
    </row>
    <row r="5572" spans="76:77" x14ac:dyDescent="0.2">
      <c r="BX5572" s="214" t="e">
        <f t="shared" si="188"/>
        <v>#DIV/0!</v>
      </c>
      <c r="BY5572" s="215">
        <f t="shared" si="189"/>
        <v>0</v>
      </c>
    </row>
    <row r="5573" spans="76:77" x14ac:dyDescent="0.2">
      <c r="BX5573" s="214" t="e">
        <f t="shared" si="188"/>
        <v>#DIV/0!</v>
      </c>
      <c r="BY5573" s="215">
        <f t="shared" si="189"/>
        <v>0</v>
      </c>
    </row>
    <row r="5574" spans="76:77" x14ac:dyDescent="0.2">
      <c r="BX5574" s="214" t="e">
        <f t="shared" si="188"/>
        <v>#DIV/0!</v>
      </c>
      <c r="BY5574" s="215">
        <f t="shared" si="189"/>
        <v>0</v>
      </c>
    </row>
    <row r="5575" spans="76:77" x14ac:dyDescent="0.2">
      <c r="BX5575" s="214" t="e">
        <f t="shared" si="188"/>
        <v>#DIV/0!</v>
      </c>
      <c r="BY5575" s="215">
        <f t="shared" si="189"/>
        <v>0</v>
      </c>
    </row>
    <row r="5576" spans="76:77" x14ac:dyDescent="0.2">
      <c r="BX5576" s="214" t="e">
        <f t="shared" si="188"/>
        <v>#DIV/0!</v>
      </c>
      <c r="BY5576" s="215">
        <f t="shared" si="189"/>
        <v>0</v>
      </c>
    </row>
    <row r="5577" spans="76:77" x14ac:dyDescent="0.2">
      <c r="BX5577" s="214" t="e">
        <f t="shared" si="188"/>
        <v>#DIV/0!</v>
      </c>
      <c r="BY5577" s="215">
        <f t="shared" si="189"/>
        <v>0</v>
      </c>
    </row>
    <row r="5578" spans="76:77" x14ac:dyDescent="0.2">
      <c r="BX5578" s="214" t="e">
        <f t="shared" si="188"/>
        <v>#DIV/0!</v>
      </c>
      <c r="BY5578" s="215">
        <f t="shared" si="189"/>
        <v>0</v>
      </c>
    </row>
    <row r="5579" spans="76:77" x14ac:dyDescent="0.2">
      <c r="BX5579" s="214" t="e">
        <f t="shared" si="188"/>
        <v>#DIV/0!</v>
      </c>
      <c r="BY5579" s="215">
        <f t="shared" si="189"/>
        <v>0</v>
      </c>
    </row>
    <row r="5580" spans="76:77" x14ac:dyDescent="0.2">
      <c r="BX5580" s="214" t="e">
        <f t="shared" si="188"/>
        <v>#DIV/0!</v>
      </c>
      <c r="BY5580" s="215">
        <f t="shared" si="189"/>
        <v>0</v>
      </c>
    </row>
    <row r="5581" spans="76:77" x14ac:dyDescent="0.2">
      <c r="BX5581" s="214" t="e">
        <f t="shared" ref="BX5581:BX5644" si="190">BY5581/BV5581</f>
        <v>#DIV/0!</v>
      </c>
      <c r="BY5581" s="215">
        <f t="shared" si="189"/>
        <v>0</v>
      </c>
    </row>
    <row r="5582" spans="76:77" x14ac:dyDescent="0.2">
      <c r="BX5582" s="214" t="e">
        <f t="shared" si="190"/>
        <v>#DIV/0!</v>
      </c>
      <c r="BY5582" s="215">
        <f t="shared" ref="BY5582:BY5645" si="191">BY5581+BW5582*(BV5582-BV5581)</f>
        <v>0</v>
      </c>
    </row>
    <row r="5583" spans="76:77" x14ac:dyDescent="0.2">
      <c r="BX5583" s="214" t="e">
        <f t="shared" si="190"/>
        <v>#DIV/0!</v>
      </c>
      <c r="BY5583" s="215">
        <f t="shared" si="191"/>
        <v>0</v>
      </c>
    </row>
    <row r="5584" spans="76:77" x14ac:dyDescent="0.2">
      <c r="BX5584" s="214" t="e">
        <f t="shared" si="190"/>
        <v>#DIV/0!</v>
      </c>
      <c r="BY5584" s="215">
        <f t="shared" si="191"/>
        <v>0</v>
      </c>
    </row>
    <row r="5585" spans="76:77" x14ac:dyDescent="0.2">
      <c r="BX5585" s="214" t="e">
        <f t="shared" si="190"/>
        <v>#DIV/0!</v>
      </c>
      <c r="BY5585" s="215">
        <f t="shared" si="191"/>
        <v>0</v>
      </c>
    </row>
    <row r="5586" spans="76:77" x14ac:dyDescent="0.2">
      <c r="BX5586" s="214" t="e">
        <f t="shared" si="190"/>
        <v>#DIV/0!</v>
      </c>
      <c r="BY5586" s="215">
        <f t="shared" si="191"/>
        <v>0</v>
      </c>
    </row>
    <row r="5587" spans="76:77" x14ac:dyDescent="0.2">
      <c r="BX5587" s="214" t="e">
        <f t="shared" si="190"/>
        <v>#DIV/0!</v>
      </c>
      <c r="BY5587" s="215">
        <f t="shared" si="191"/>
        <v>0</v>
      </c>
    </row>
    <row r="5588" spans="76:77" x14ac:dyDescent="0.2">
      <c r="BX5588" s="214" t="e">
        <f t="shared" si="190"/>
        <v>#DIV/0!</v>
      </c>
      <c r="BY5588" s="215">
        <f t="shared" si="191"/>
        <v>0</v>
      </c>
    </row>
    <row r="5589" spans="76:77" x14ac:dyDescent="0.2">
      <c r="BX5589" s="214" t="e">
        <f t="shared" si="190"/>
        <v>#DIV/0!</v>
      </c>
      <c r="BY5589" s="215">
        <f t="shared" si="191"/>
        <v>0</v>
      </c>
    </row>
    <row r="5590" spans="76:77" x14ac:dyDescent="0.2">
      <c r="BX5590" s="214" t="e">
        <f t="shared" si="190"/>
        <v>#DIV/0!</v>
      </c>
      <c r="BY5590" s="215">
        <f t="shared" si="191"/>
        <v>0</v>
      </c>
    </row>
    <row r="5591" spans="76:77" x14ac:dyDescent="0.2">
      <c r="BX5591" s="214" t="e">
        <f t="shared" si="190"/>
        <v>#DIV/0!</v>
      </c>
      <c r="BY5591" s="215">
        <f t="shared" si="191"/>
        <v>0</v>
      </c>
    </row>
    <row r="5592" spans="76:77" x14ac:dyDescent="0.2">
      <c r="BX5592" s="214" t="e">
        <f t="shared" si="190"/>
        <v>#DIV/0!</v>
      </c>
      <c r="BY5592" s="215">
        <f t="shared" si="191"/>
        <v>0</v>
      </c>
    </row>
    <row r="5593" spans="76:77" x14ac:dyDescent="0.2">
      <c r="BX5593" s="214" t="e">
        <f t="shared" si="190"/>
        <v>#DIV/0!</v>
      </c>
      <c r="BY5593" s="215">
        <f t="shared" si="191"/>
        <v>0</v>
      </c>
    </row>
    <row r="5594" spans="76:77" x14ac:dyDescent="0.2">
      <c r="BX5594" s="214" t="e">
        <f t="shared" si="190"/>
        <v>#DIV/0!</v>
      </c>
      <c r="BY5594" s="215">
        <f t="shared" si="191"/>
        <v>0</v>
      </c>
    </row>
    <row r="5595" spans="76:77" x14ac:dyDescent="0.2">
      <c r="BX5595" s="214" t="e">
        <f t="shared" si="190"/>
        <v>#DIV/0!</v>
      </c>
      <c r="BY5595" s="215">
        <f t="shared" si="191"/>
        <v>0</v>
      </c>
    </row>
    <row r="5596" spans="76:77" x14ac:dyDescent="0.2">
      <c r="BX5596" s="214" t="e">
        <f t="shared" si="190"/>
        <v>#DIV/0!</v>
      </c>
      <c r="BY5596" s="215">
        <f t="shared" si="191"/>
        <v>0</v>
      </c>
    </row>
    <row r="5597" spans="76:77" x14ac:dyDescent="0.2">
      <c r="BX5597" s="214" t="e">
        <f t="shared" si="190"/>
        <v>#DIV/0!</v>
      </c>
      <c r="BY5597" s="215">
        <f t="shared" si="191"/>
        <v>0</v>
      </c>
    </row>
    <row r="5598" spans="76:77" x14ac:dyDescent="0.2">
      <c r="BX5598" s="214" t="e">
        <f t="shared" si="190"/>
        <v>#DIV/0!</v>
      </c>
      <c r="BY5598" s="215">
        <f t="shared" si="191"/>
        <v>0</v>
      </c>
    </row>
    <row r="5599" spans="76:77" x14ac:dyDescent="0.2">
      <c r="BX5599" s="214" t="e">
        <f t="shared" si="190"/>
        <v>#DIV/0!</v>
      </c>
      <c r="BY5599" s="215">
        <f t="shared" si="191"/>
        <v>0</v>
      </c>
    </row>
    <row r="5600" spans="76:77" x14ac:dyDescent="0.2">
      <c r="BX5600" s="214" t="e">
        <f t="shared" si="190"/>
        <v>#DIV/0!</v>
      </c>
      <c r="BY5600" s="215">
        <f t="shared" si="191"/>
        <v>0</v>
      </c>
    </row>
    <row r="5601" spans="76:77" x14ac:dyDescent="0.2">
      <c r="BX5601" s="214" t="e">
        <f t="shared" si="190"/>
        <v>#DIV/0!</v>
      </c>
      <c r="BY5601" s="215">
        <f t="shared" si="191"/>
        <v>0</v>
      </c>
    </row>
    <row r="5602" spans="76:77" x14ac:dyDescent="0.2">
      <c r="BX5602" s="214" t="e">
        <f t="shared" si="190"/>
        <v>#DIV/0!</v>
      </c>
      <c r="BY5602" s="215">
        <f t="shared" si="191"/>
        <v>0</v>
      </c>
    </row>
    <row r="5603" spans="76:77" x14ac:dyDescent="0.2">
      <c r="BX5603" s="214" t="e">
        <f t="shared" si="190"/>
        <v>#DIV/0!</v>
      </c>
      <c r="BY5603" s="215">
        <f t="shared" si="191"/>
        <v>0</v>
      </c>
    </row>
    <row r="5604" spans="76:77" x14ac:dyDescent="0.2">
      <c r="BX5604" s="214" t="e">
        <f t="shared" si="190"/>
        <v>#DIV/0!</v>
      </c>
      <c r="BY5604" s="215">
        <f t="shared" si="191"/>
        <v>0</v>
      </c>
    </row>
    <row r="5605" spans="76:77" x14ac:dyDescent="0.2">
      <c r="BX5605" s="214" t="e">
        <f t="shared" si="190"/>
        <v>#DIV/0!</v>
      </c>
      <c r="BY5605" s="215">
        <f t="shared" si="191"/>
        <v>0</v>
      </c>
    </row>
    <row r="5606" spans="76:77" x14ac:dyDescent="0.2">
      <c r="BX5606" s="214" t="e">
        <f t="shared" si="190"/>
        <v>#DIV/0!</v>
      </c>
      <c r="BY5606" s="215">
        <f t="shared" si="191"/>
        <v>0</v>
      </c>
    </row>
    <row r="5607" spans="76:77" x14ac:dyDescent="0.2">
      <c r="BX5607" s="214" t="e">
        <f t="shared" si="190"/>
        <v>#DIV/0!</v>
      </c>
      <c r="BY5607" s="215">
        <f t="shared" si="191"/>
        <v>0</v>
      </c>
    </row>
    <row r="5608" spans="76:77" x14ac:dyDescent="0.2">
      <c r="BX5608" s="214" t="e">
        <f t="shared" si="190"/>
        <v>#DIV/0!</v>
      </c>
      <c r="BY5608" s="215">
        <f t="shared" si="191"/>
        <v>0</v>
      </c>
    </row>
    <row r="5609" spans="76:77" x14ac:dyDescent="0.2">
      <c r="BX5609" s="214" t="e">
        <f t="shared" si="190"/>
        <v>#DIV/0!</v>
      </c>
      <c r="BY5609" s="215">
        <f t="shared" si="191"/>
        <v>0</v>
      </c>
    </row>
    <row r="5610" spans="76:77" x14ac:dyDescent="0.2">
      <c r="BX5610" s="214" t="e">
        <f t="shared" si="190"/>
        <v>#DIV/0!</v>
      </c>
      <c r="BY5610" s="215">
        <f t="shared" si="191"/>
        <v>0</v>
      </c>
    </row>
    <row r="5611" spans="76:77" x14ac:dyDescent="0.2">
      <c r="BX5611" s="214" t="e">
        <f t="shared" si="190"/>
        <v>#DIV/0!</v>
      </c>
      <c r="BY5611" s="215">
        <f t="shared" si="191"/>
        <v>0</v>
      </c>
    </row>
    <row r="5612" spans="76:77" x14ac:dyDescent="0.2">
      <c r="BX5612" s="214" t="e">
        <f t="shared" si="190"/>
        <v>#DIV/0!</v>
      </c>
      <c r="BY5612" s="215">
        <f t="shared" si="191"/>
        <v>0</v>
      </c>
    </row>
    <row r="5613" spans="76:77" x14ac:dyDescent="0.2">
      <c r="BX5613" s="214" t="e">
        <f t="shared" si="190"/>
        <v>#DIV/0!</v>
      </c>
      <c r="BY5613" s="215">
        <f t="shared" si="191"/>
        <v>0</v>
      </c>
    </row>
    <row r="5614" spans="76:77" x14ac:dyDescent="0.2">
      <c r="BX5614" s="214" t="e">
        <f t="shared" si="190"/>
        <v>#DIV/0!</v>
      </c>
      <c r="BY5614" s="215">
        <f t="shared" si="191"/>
        <v>0</v>
      </c>
    </row>
    <row r="5615" spans="76:77" x14ac:dyDescent="0.2">
      <c r="BX5615" s="214" t="e">
        <f t="shared" si="190"/>
        <v>#DIV/0!</v>
      </c>
      <c r="BY5615" s="215">
        <f t="shared" si="191"/>
        <v>0</v>
      </c>
    </row>
    <row r="5616" spans="76:77" x14ac:dyDescent="0.2">
      <c r="BX5616" s="214" t="e">
        <f t="shared" si="190"/>
        <v>#DIV/0!</v>
      </c>
      <c r="BY5616" s="215">
        <f t="shared" si="191"/>
        <v>0</v>
      </c>
    </row>
    <row r="5617" spans="76:77" x14ac:dyDescent="0.2">
      <c r="BX5617" s="214" t="e">
        <f t="shared" si="190"/>
        <v>#DIV/0!</v>
      </c>
      <c r="BY5617" s="215">
        <f t="shared" si="191"/>
        <v>0</v>
      </c>
    </row>
    <row r="5618" spans="76:77" x14ac:dyDescent="0.2">
      <c r="BX5618" s="214" t="e">
        <f t="shared" si="190"/>
        <v>#DIV/0!</v>
      </c>
      <c r="BY5618" s="215">
        <f t="shared" si="191"/>
        <v>0</v>
      </c>
    </row>
    <row r="5619" spans="76:77" x14ac:dyDescent="0.2">
      <c r="BX5619" s="214" t="e">
        <f t="shared" si="190"/>
        <v>#DIV/0!</v>
      </c>
      <c r="BY5619" s="215">
        <f t="shared" si="191"/>
        <v>0</v>
      </c>
    </row>
    <row r="5620" spans="76:77" x14ac:dyDescent="0.2">
      <c r="BX5620" s="214" t="e">
        <f t="shared" si="190"/>
        <v>#DIV/0!</v>
      </c>
      <c r="BY5620" s="215">
        <f t="shared" si="191"/>
        <v>0</v>
      </c>
    </row>
    <row r="5621" spans="76:77" x14ac:dyDescent="0.2">
      <c r="BX5621" s="214" t="e">
        <f t="shared" si="190"/>
        <v>#DIV/0!</v>
      </c>
      <c r="BY5621" s="215">
        <f t="shared" si="191"/>
        <v>0</v>
      </c>
    </row>
    <row r="5622" spans="76:77" x14ac:dyDescent="0.2">
      <c r="BX5622" s="214" t="e">
        <f t="shared" si="190"/>
        <v>#DIV/0!</v>
      </c>
      <c r="BY5622" s="215">
        <f t="shared" si="191"/>
        <v>0</v>
      </c>
    </row>
    <row r="5623" spans="76:77" x14ac:dyDescent="0.2">
      <c r="BX5623" s="214" t="e">
        <f t="shared" si="190"/>
        <v>#DIV/0!</v>
      </c>
      <c r="BY5623" s="215">
        <f t="shared" si="191"/>
        <v>0</v>
      </c>
    </row>
    <row r="5624" spans="76:77" x14ac:dyDescent="0.2">
      <c r="BX5624" s="214" t="e">
        <f t="shared" si="190"/>
        <v>#DIV/0!</v>
      </c>
      <c r="BY5624" s="215">
        <f t="shared" si="191"/>
        <v>0</v>
      </c>
    </row>
    <row r="5625" spans="76:77" x14ac:dyDescent="0.2">
      <c r="BX5625" s="214" t="e">
        <f t="shared" si="190"/>
        <v>#DIV/0!</v>
      </c>
      <c r="BY5625" s="215">
        <f t="shared" si="191"/>
        <v>0</v>
      </c>
    </row>
    <row r="5626" spans="76:77" x14ac:dyDescent="0.2">
      <c r="BX5626" s="214" t="e">
        <f t="shared" si="190"/>
        <v>#DIV/0!</v>
      </c>
      <c r="BY5626" s="215">
        <f t="shared" si="191"/>
        <v>0</v>
      </c>
    </row>
    <row r="5627" spans="76:77" x14ac:dyDescent="0.2">
      <c r="BX5627" s="214" t="e">
        <f t="shared" si="190"/>
        <v>#DIV/0!</v>
      </c>
      <c r="BY5627" s="215">
        <f t="shared" si="191"/>
        <v>0</v>
      </c>
    </row>
    <row r="5628" spans="76:77" x14ac:dyDescent="0.2">
      <c r="BX5628" s="214" t="e">
        <f t="shared" si="190"/>
        <v>#DIV/0!</v>
      </c>
      <c r="BY5628" s="215">
        <f t="shared" si="191"/>
        <v>0</v>
      </c>
    </row>
    <row r="5629" spans="76:77" x14ac:dyDescent="0.2">
      <c r="BX5629" s="214" t="e">
        <f t="shared" si="190"/>
        <v>#DIV/0!</v>
      </c>
      <c r="BY5629" s="215">
        <f t="shared" si="191"/>
        <v>0</v>
      </c>
    </row>
    <row r="5630" spans="76:77" x14ac:dyDescent="0.2">
      <c r="BX5630" s="214" t="e">
        <f t="shared" si="190"/>
        <v>#DIV/0!</v>
      </c>
      <c r="BY5630" s="215">
        <f t="shared" si="191"/>
        <v>0</v>
      </c>
    </row>
    <row r="5631" spans="76:77" x14ac:dyDescent="0.2">
      <c r="BX5631" s="214" t="e">
        <f t="shared" si="190"/>
        <v>#DIV/0!</v>
      </c>
      <c r="BY5631" s="215">
        <f t="shared" si="191"/>
        <v>0</v>
      </c>
    </row>
    <row r="5632" spans="76:77" x14ac:dyDescent="0.2">
      <c r="BX5632" s="214" t="e">
        <f t="shared" si="190"/>
        <v>#DIV/0!</v>
      </c>
      <c r="BY5632" s="215">
        <f t="shared" si="191"/>
        <v>0</v>
      </c>
    </row>
    <row r="5633" spans="76:77" x14ac:dyDescent="0.2">
      <c r="BX5633" s="214" t="e">
        <f t="shared" si="190"/>
        <v>#DIV/0!</v>
      </c>
      <c r="BY5633" s="215">
        <f t="shared" si="191"/>
        <v>0</v>
      </c>
    </row>
    <row r="5634" spans="76:77" x14ac:dyDescent="0.2">
      <c r="BX5634" s="214" t="e">
        <f t="shared" si="190"/>
        <v>#DIV/0!</v>
      </c>
      <c r="BY5634" s="215">
        <f t="shared" si="191"/>
        <v>0</v>
      </c>
    </row>
    <row r="5635" spans="76:77" x14ac:dyDescent="0.2">
      <c r="BX5635" s="214" t="e">
        <f t="shared" si="190"/>
        <v>#DIV/0!</v>
      </c>
      <c r="BY5635" s="215">
        <f t="shared" si="191"/>
        <v>0</v>
      </c>
    </row>
    <row r="5636" spans="76:77" x14ac:dyDescent="0.2">
      <c r="BX5636" s="214" t="e">
        <f t="shared" si="190"/>
        <v>#DIV/0!</v>
      </c>
      <c r="BY5636" s="215">
        <f t="shared" si="191"/>
        <v>0</v>
      </c>
    </row>
    <row r="5637" spans="76:77" x14ac:dyDescent="0.2">
      <c r="BX5637" s="214" t="e">
        <f t="shared" si="190"/>
        <v>#DIV/0!</v>
      </c>
      <c r="BY5637" s="215">
        <f t="shared" si="191"/>
        <v>0</v>
      </c>
    </row>
    <row r="5638" spans="76:77" x14ac:dyDescent="0.2">
      <c r="BX5638" s="214" t="e">
        <f t="shared" si="190"/>
        <v>#DIV/0!</v>
      </c>
      <c r="BY5638" s="215">
        <f t="shared" si="191"/>
        <v>0</v>
      </c>
    </row>
    <row r="5639" spans="76:77" x14ac:dyDescent="0.2">
      <c r="BX5639" s="214" t="e">
        <f t="shared" si="190"/>
        <v>#DIV/0!</v>
      </c>
      <c r="BY5639" s="215">
        <f t="shared" si="191"/>
        <v>0</v>
      </c>
    </row>
    <row r="5640" spans="76:77" x14ac:dyDescent="0.2">
      <c r="BX5640" s="214" t="e">
        <f t="shared" si="190"/>
        <v>#DIV/0!</v>
      </c>
      <c r="BY5640" s="215">
        <f t="shared" si="191"/>
        <v>0</v>
      </c>
    </row>
    <row r="5641" spans="76:77" x14ac:dyDescent="0.2">
      <c r="BX5641" s="214" t="e">
        <f t="shared" si="190"/>
        <v>#DIV/0!</v>
      </c>
      <c r="BY5641" s="215">
        <f t="shared" si="191"/>
        <v>0</v>
      </c>
    </row>
    <row r="5642" spans="76:77" x14ac:dyDescent="0.2">
      <c r="BX5642" s="214" t="e">
        <f t="shared" si="190"/>
        <v>#DIV/0!</v>
      </c>
      <c r="BY5642" s="215">
        <f t="shared" si="191"/>
        <v>0</v>
      </c>
    </row>
    <row r="5643" spans="76:77" x14ac:dyDescent="0.2">
      <c r="BX5643" s="214" t="e">
        <f t="shared" si="190"/>
        <v>#DIV/0!</v>
      </c>
      <c r="BY5643" s="215">
        <f t="shared" si="191"/>
        <v>0</v>
      </c>
    </row>
    <row r="5644" spans="76:77" x14ac:dyDescent="0.2">
      <c r="BX5644" s="214" t="e">
        <f t="shared" si="190"/>
        <v>#DIV/0!</v>
      </c>
      <c r="BY5644" s="215">
        <f t="shared" si="191"/>
        <v>0</v>
      </c>
    </row>
    <row r="5645" spans="76:77" x14ac:dyDescent="0.2">
      <c r="BX5645" s="214" t="e">
        <f t="shared" ref="BX5645:BX5708" si="192">BY5645/BV5645</f>
        <v>#DIV/0!</v>
      </c>
      <c r="BY5645" s="215">
        <f t="shared" si="191"/>
        <v>0</v>
      </c>
    </row>
    <row r="5646" spans="76:77" x14ac:dyDescent="0.2">
      <c r="BX5646" s="214" t="e">
        <f t="shared" si="192"/>
        <v>#DIV/0!</v>
      </c>
      <c r="BY5646" s="215">
        <f t="shared" ref="BY5646:BY5709" si="193">BY5645+BW5646*(BV5646-BV5645)</f>
        <v>0</v>
      </c>
    </row>
    <row r="5647" spans="76:77" x14ac:dyDescent="0.2">
      <c r="BX5647" s="214" t="e">
        <f t="shared" si="192"/>
        <v>#DIV/0!</v>
      </c>
      <c r="BY5647" s="215">
        <f t="shared" si="193"/>
        <v>0</v>
      </c>
    </row>
    <row r="5648" spans="76:77" x14ac:dyDescent="0.2">
      <c r="BX5648" s="214" t="e">
        <f t="shared" si="192"/>
        <v>#DIV/0!</v>
      </c>
      <c r="BY5648" s="215">
        <f t="shared" si="193"/>
        <v>0</v>
      </c>
    </row>
    <row r="5649" spans="76:77" x14ac:dyDescent="0.2">
      <c r="BX5649" s="214" t="e">
        <f t="shared" si="192"/>
        <v>#DIV/0!</v>
      </c>
      <c r="BY5649" s="215">
        <f t="shared" si="193"/>
        <v>0</v>
      </c>
    </row>
    <row r="5650" spans="76:77" x14ac:dyDescent="0.2">
      <c r="BX5650" s="214" t="e">
        <f t="shared" si="192"/>
        <v>#DIV/0!</v>
      </c>
      <c r="BY5650" s="215">
        <f t="shared" si="193"/>
        <v>0</v>
      </c>
    </row>
    <row r="5651" spans="76:77" x14ac:dyDescent="0.2">
      <c r="BX5651" s="214" t="e">
        <f t="shared" si="192"/>
        <v>#DIV/0!</v>
      </c>
      <c r="BY5651" s="215">
        <f t="shared" si="193"/>
        <v>0</v>
      </c>
    </row>
    <row r="5652" spans="76:77" x14ac:dyDescent="0.2">
      <c r="BX5652" s="214" t="e">
        <f t="shared" si="192"/>
        <v>#DIV/0!</v>
      </c>
      <c r="BY5652" s="215">
        <f t="shared" si="193"/>
        <v>0</v>
      </c>
    </row>
    <row r="5653" spans="76:77" x14ac:dyDescent="0.2">
      <c r="BX5653" s="214" t="e">
        <f t="shared" si="192"/>
        <v>#DIV/0!</v>
      </c>
      <c r="BY5653" s="215">
        <f t="shared" si="193"/>
        <v>0</v>
      </c>
    </row>
    <row r="5654" spans="76:77" x14ac:dyDescent="0.2">
      <c r="BX5654" s="214" t="e">
        <f t="shared" si="192"/>
        <v>#DIV/0!</v>
      </c>
      <c r="BY5654" s="215">
        <f t="shared" si="193"/>
        <v>0</v>
      </c>
    </row>
    <row r="5655" spans="76:77" x14ac:dyDescent="0.2">
      <c r="BX5655" s="214" t="e">
        <f t="shared" si="192"/>
        <v>#DIV/0!</v>
      </c>
      <c r="BY5655" s="215">
        <f t="shared" si="193"/>
        <v>0</v>
      </c>
    </row>
    <row r="5656" spans="76:77" x14ac:dyDescent="0.2">
      <c r="BX5656" s="214" t="e">
        <f t="shared" si="192"/>
        <v>#DIV/0!</v>
      </c>
      <c r="BY5656" s="215">
        <f t="shared" si="193"/>
        <v>0</v>
      </c>
    </row>
    <row r="5657" spans="76:77" x14ac:dyDescent="0.2">
      <c r="BX5657" s="214" t="e">
        <f t="shared" si="192"/>
        <v>#DIV/0!</v>
      </c>
      <c r="BY5657" s="215">
        <f t="shared" si="193"/>
        <v>0</v>
      </c>
    </row>
    <row r="5658" spans="76:77" x14ac:dyDescent="0.2">
      <c r="BX5658" s="214" t="e">
        <f t="shared" si="192"/>
        <v>#DIV/0!</v>
      </c>
      <c r="BY5658" s="215">
        <f t="shared" si="193"/>
        <v>0</v>
      </c>
    </row>
    <row r="5659" spans="76:77" x14ac:dyDescent="0.2">
      <c r="BX5659" s="214" t="e">
        <f t="shared" si="192"/>
        <v>#DIV/0!</v>
      </c>
      <c r="BY5659" s="215">
        <f t="shared" si="193"/>
        <v>0</v>
      </c>
    </row>
    <row r="5660" spans="76:77" x14ac:dyDescent="0.2">
      <c r="BX5660" s="214" t="e">
        <f t="shared" si="192"/>
        <v>#DIV/0!</v>
      </c>
      <c r="BY5660" s="215">
        <f t="shared" si="193"/>
        <v>0</v>
      </c>
    </row>
    <row r="5661" spans="76:77" x14ac:dyDescent="0.2">
      <c r="BX5661" s="214" t="e">
        <f t="shared" si="192"/>
        <v>#DIV/0!</v>
      </c>
      <c r="BY5661" s="215">
        <f t="shared" si="193"/>
        <v>0</v>
      </c>
    </row>
    <row r="5662" spans="76:77" x14ac:dyDescent="0.2">
      <c r="BX5662" s="214" t="e">
        <f t="shared" si="192"/>
        <v>#DIV/0!</v>
      </c>
      <c r="BY5662" s="215">
        <f t="shared" si="193"/>
        <v>0</v>
      </c>
    </row>
    <row r="5663" spans="76:77" x14ac:dyDescent="0.2">
      <c r="BX5663" s="214" t="e">
        <f t="shared" si="192"/>
        <v>#DIV/0!</v>
      </c>
      <c r="BY5663" s="215">
        <f t="shared" si="193"/>
        <v>0</v>
      </c>
    </row>
    <row r="5664" spans="76:77" x14ac:dyDescent="0.2">
      <c r="BX5664" s="214" t="e">
        <f t="shared" si="192"/>
        <v>#DIV/0!</v>
      </c>
      <c r="BY5664" s="215">
        <f t="shared" si="193"/>
        <v>0</v>
      </c>
    </row>
    <row r="5665" spans="76:77" x14ac:dyDescent="0.2">
      <c r="BX5665" s="214" t="e">
        <f t="shared" si="192"/>
        <v>#DIV/0!</v>
      </c>
      <c r="BY5665" s="215">
        <f t="shared" si="193"/>
        <v>0</v>
      </c>
    </row>
    <row r="5666" spans="76:77" x14ac:dyDescent="0.2">
      <c r="BX5666" s="214" t="e">
        <f t="shared" si="192"/>
        <v>#DIV/0!</v>
      </c>
      <c r="BY5666" s="215">
        <f t="shared" si="193"/>
        <v>0</v>
      </c>
    </row>
    <row r="5667" spans="76:77" x14ac:dyDescent="0.2">
      <c r="BX5667" s="214" t="e">
        <f t="shared" si="192"/>
        <v>#DIV/0!</v>
      </c>
      <c r="BY5667" s="215">
        <f t="shared" si="193"/>
        <v>0</v>
      </c>
    </row>
    <row r="5668" spans="76:77" x14ac:dyDescent="0.2">
      <c r="BX5668" s="214" t="e">
        <f t="shared" si="192"/>
        <v>#DIV/0!</v>
      </c>
      <c r="BY5668" s="215">
        <f t="shared" si="193"/>
        <v>0</v>
      </c>
    </row>
    <row r="5669" spans="76:77" x14ac:dyDescent="0.2">
      <c r="BX5669" s="214" t="e">
        <f t="shared" si="192"/>
        <v>#DIV/0!</v>
      </c>
      <c r="BY5669" s="215">
        <f t="shared" si="193"/>
        <v>0</v>
      </c>
    </row>
    <row r="5670" spans="76:77" x14ac:dyDescent="0.2">
      <c r="BX5670" s="214" t="e">
        <f t="shared" si="192"/>
        <v>#DIV/0!</v>
      </c>
      <c r="BY5670" s="215">
        <f t="shared" si="193"/>
        <v>0</v>
      </c>
    </row>
    <row r="5671" spans="76:77" x14ac:dyDescent="0.2">
      <c r="BX5671" s="214" t="e">
        <f t="shared" si="192"/>
        <v>#DIV/0!</v>
      </c>
      <c r="BY5671" s="215">
        <f t="shared" si="193"/>
        <v>0</v>
      </c>
    </row>
    <row r="5672" spans="76:77" x14ac:dyDescent="0.2">
      <c r="BX5672" s="214" t="e">
        <f t="shared" si="192"/>
        <v>#DIV/0!</v>
      </c>
      <c r="BY5672" s="215">
        <f t="shared" si="193"/>
        <v>0</v>
      </c>
    </row>
    <row r="5673" spans="76:77" x14ac:dyDescent="0.2">
      <c r="BX5673" s="214" t="e">
        <f t="shared" si="192"/>
        <v>#DIV/0!</v>
      </c>
      <c r="BY5673" s="215">
        <f t="shared" si="193"/>
        <v>0</v>
      </c>
    </row>
    <row r="5674" spans="76:77" x14ac:dyDescent="0.2">
      <c r="BX5674" s="214" t="e">
        <f t="shared" si="192"/>
        <v>#DIV/0!</v>
      </c>
      <c r="BY5674" s="215">
        <f t="shared" si="193"/>
        <v>0</v>
      </c>
    </row>
    <row r="5675" spans="76:77" x14ac:dyDescent="0.2">
      <c r="BX5675" s="214" t="e">
        <f t="shared" si="192"/>
        <v>#DIV/0!</v>
      </c>
      <c r="BY5675" s="215">
        <f t="shared" si="193"/>
        <v>0</v>
      </c>
    </row>
    <row r="5676" spans="76:77" x14ac:dyDescent="0.2">
      <c r="BX5676" s="214" t="e">
        <f t="shared" si="192"/>
        <v>#DIV/0!</v>
      </c>
      <c r="BY5676" s="215">
        <f t="shared" si="193"/>
        <v>0</v>
      </c>
    </row>
    <row r="5677" spans="76:77" x14ac:dyDescent="0.2">
      <c r="BX5677" s="214" t="e">
        <f t="shared" si="192"/>
        <v>#DIV/0!</v>
      </c>
      <c r="BY5677" s="215">
        <f t="shared" si="193"/>
        <v>0</v>
      </c>
    </row>
    <row r="5678" spans="76:77" x14ac:dyDescent="0.2">
      <c r="BX5678" s="214" t="e">
        <f t="shared" si="192"/>
        <v>#DIV/0!</v>
      </c>
      <c r="BY5678" s="215">
        <f t="shared" si="193"/>
        <v>0</v>
      </c>
    </row>
    <row r="5679" spans="76:77" x14ac:dyDescent="0.2">
      <c r="BX5679" s="214" t="e">
        <f t="shared" si="192"/>
        <v>#DIV/0!</v>
      </c>
      <c r="BY5679" s="215">
        <f t="shared" si="193"/>
        <v>0</v>
      </c>
    </row>
    <row r="5680" spans="76:77" x14ac:dyDescent="0.2">
      <c r="BX5680" s="214" t="e">
        <f t="shared" si="192"/>
        <v>#DIV/0!</v>
      </c>
      <c r="BY5680" s="215">
        <f t="shared" si="193"/>
        <v>0</v>
      </c>
    </row>
    <row r="5681" spans="76:77" x14ac:dyDescent="0.2">
      <c r="BX5681" s="214" t="e">
        <f t="shared" si="192"/>
        <v>#DIV/0!</v>
      </c>
      <c r="BY5681" s="215">
        <f t="shared" si="193"/>
        <v>0</v>
      </c>
    </row>
    <row r="5682" spans="76:77" x14ac:dyDescent="0.2">
      <c r="BX5682" s="214" t="e">
        <f t="shared" si="192"/>
        <v>#DIV/0!</v>
      </c>
      <c r="BY5682" s="215">
        <f t="shared" si="193"/>
        <v>0</v>
      </c>
    </row>
    <row r="5683" spans="76:77" x14ac:dyDescent="0.2">
      <c r="BX5683" s="214" t="e">
        <f t="shared" si="192"/>
        <v>#DIV/0!</v>
      </c>
      <c r="BY5683" s="215">
        <f t="shared" si="193"/>
        <v>0</v>
      </c>
    </row>
    <row r="5684" spans="76:77" x14ac:dyDescent="0.2">
      <c r="BX5684" s="214" t="e">
        <f t="shared" si="192"/>
        <v>#DIV/0!</v>
      </c>
      <c r="BY5684" s="215">
        <f t="shared" si="193"/>
        <v>0</v>
      </c>
    </row>
    <row r="5685" spans="76:77" x14ac:dyDescent="0.2">
      <c r="BX5685" s="214" t="e">
        <f t="shared" si="192"/>
        <v>#DIV/0!</v>
      </c>
      <c r="BY5685" s="215">
        <f t="shared" si="193"/>
        <v>0</v>
      </c>
    </row>
    <row r="5686" spans="76:77" x14ac:dyDescent="0.2">
      <c r="BX5686" s="214" t="e">
        <f t="shared" si="192"/>
        <v>#DIV/0!</v>
      </c>
      <c r="BY5686" s="215">
        <f t="shared" si="193"/>
        <v>0</v>
      </c>
    </row>
    <row r="5687" spans="76:77" x14ac:dyDescent="0.2">
      <c r="BX5687" s="214" t="e">
        <f t="shared" si="192"/>
        <v>#DIV/0!</v>
      </c>
      <c r="BY5687" s="215">
        <f t="shared" si="193"/>
        <v>0</v>
      </c>
    </row>
    <row r="5688" spans="76:77" x14ac:dyDescent="0.2">
      <c r="BX5688" s="214" t="e">
        <f t="shared" si="192"/>
        <v>#DIV/0!</v>
      </c>
      <c r="BY5688" s="215">
        <f t="shared" si="193"/>
        <v>0</v>
      </c>
    </row>
    <row r="5689" spans="76:77" x14ac:dyDescent="0.2">
      <c r="BX5689" s="214" t="e">
        <f t="shared" si="192"/>
        <v>#DIV/0!</v>
      </c>
      <c r="BY5689" s="215">
        <f t="shared" si="193"/>
        <v>0</v>
      </c>
    </row>
    <row r="5690" spans="76:77" x14ac:dyDescent="0.2">
      <c r="BX5690" s="214" t="e">
        <f t="shared" si="192"/>
        <v>#DIV/0!</v>
      </c>
      <c r="BY5690" s="215">
        <f t="shared" si="193"/>
        <v>0</v>
      </c>
    </row>
    <row r="5691" spans="76:77" x14ac:dyDescent="0.2">
      <c r="BX5691" s="214" t="e">
        <f t="shared" si="192"/>
        <v>#DIV/0!</v>
      </c>
      <c r="BY5691" s="215">
        <f t="shared" si="193"/>
        <v>0</v>
      </c>
    </row>
    <row r="5692" spans="76:77" x14ac:dyDescent="0.2">
      <c r="BX5692" s="214" t="e">
        <f t="shared" si="192"/>
        <v>#DIV/0!</v>
      </c>
      <c r="BY5692" s="215">
        <f t="shared" si="193"/>
        <v>0</v>
      </c>
    </row>
    <row r="5693" spans="76:77" x14ac:dyDescent="0.2">
      <c r="BX5693" s="214" t="e">
        <f t="shared" si="192"/>
        <v>#DIV/0!</v>
      </c>
      <c r="BY5693" s="215">
        <f t="shared" si="193"/>
        <v>0</v>
      </c>
    </row>
    <row r="5694" spans="76:77" x14ac:dyDescent="0.2">
      <c r="BX5694" s="214" t="e">
        <f t="shared" si="192"/>
        <v>#DIV/0!</v>
      </c>
      <c r="BY5694" s="215">
        <f t="shared" si="193"/>
        <v>0</v>
      </c>
    </row>
    <row r="5695" spans="76:77" x14ac:dyDescent="0.2">
      <c r="BX5695" s="214" t="e">
        <f t="shared" si="192"/>
        <v>#DIV/0!</v>
      </c>
      <c r="BY5695" s="215">
        <f t="shared" si="193"/>
        <v>0</v>
      </c>
    </row>
    <row r="5696" spans="76:77" x14ac:dyDescent="0.2">
      <c r="BX5696" s="214" t="e">
        <f t="shared" si="192"/>
        <v>#DIV/0!</v>
      </c>
      <c r="BY5696" s="215">
        <f t="shared" si="193"/>
        <v>0</v>
      </c>
    </row>
    <row r="5697" spans="76:77" x14ac:dyDescent="0.2">
      <c r="BX5697" s="214" t="e">
        <f t="shared" si="192"/>
        <v>#DIV/0!</v>
      </c>
      <c r="BY5697" s="215">
        <f t="shared" si="193"/>
        <v>0</v>
      </c>
    </row>
    <row r="5698" spans="76:77" x14ac:dyDescent="0.2">
      <c r="BX5698" s="214" t="e">
        <f t="shared" si="192"/>
        <v>#DIV/0!</v>
      </c>
      <c r="BY5698" s="215">
        <f t="shared" si="193"/>
        <v>0</v>
      </c>
    </row>
    <row r="5699" spans="76:77" x14ac:dyDescent="0.2">
      <c r="BX5699" s="214" t="e">
        <f t="shared" si="192"/>
        <v>#DIV/0!</v>
      </c>
      <c r="BY5699" s="215">
        <f t="shared" si="193"/>
        <v>0</v>
      </c>
    </row>
    <row r="5700" spans="76:77" x14ac:dyDescent="0.2">
      <c r="BX5700" s="214" t="e">
        <f t="shared" si="192"/>
        <v>#DIV/0!</v>
      </c>
      <c r="BY5700" s="215">
        <f t="shared" si="193"/>
        <v>0</v>
      </c>
    </row>
    <row r="5701" spans="76:77" x14ac:dyDescent="0.2">
      <c r="BX5701" s="214" t="e">
        <f t="shared" si="192"/>
        <v>#DIV/0!</v>
      </c>
      <c r="BY5701" s="215">
        <f t="shared" si="193"/>
        <v>0</v>
      </c>
    </row>
    <row r="5702" spans="76:77" x14ac:dyDescent="0.2">
      <c r="BX5702" s="214" t="e">
        <f t="shared" si="192"/>
        <v>#DIV/0!</v>
      </c>
      <c r="BY5702" s="215">
        <f t="shared" si="193"/>
        <v>0</v>
      </c>
    </row>
    <row r="5703" spans="76:77" x14ac:dyDescent="0.2">
      <c r="BX5703" s="214" t="e">
        <f t="shared" si="192"/>
        <v>#DIV/0!</v>
      </c>
      <c r="BY5703" s="215">
        <f t="shared" si="193"/>
        <v>0</v>
      </c>
    </row>
    <row r="5704" spans="76:77" x14ac:dyDescent="0.2">
      <c r="BX5704" s="214" t="e">
        <f t="shared" si="192"/>
        <v>#DIV/0!</v>
      </c>
      <c r="BY5704" s="215">
        <f t="shared" si="193"/>
        <v>0</v>
      </c>
    </row>
    <row r="5705" spans="76:77" x14ac:dyDescent="0.2">
      <c r="BX5705" s="214" t="e">
        <f t="shared" si="192"/>
        <v>#DIV/0!</v>
      </c>
      <c r="BY5705" s="215">
        <f t="shared" si="193"/>
        <v>0</v>
      </c>
    </row>
    <row r="5706" spans="76:77" x14ac:dyDescent="0.2">
      <c r="BX5706" s="214" t="e">
        <f t="shared" si="192"/>
        <v>#DIV/0!</v>
      </c>
      <c r="BY5706" s="215">
        <f t="shared" si="193"/>
        <v>0</v>
      </c>
    </row>
    <row r="5707" spans="76:77" x14ac:dyDescent="0.2">
      <c r="BX5707" s="214" t="e">
        <f t="shared" si="192"/>
        <v>#DIV/0!</v>
      </c>
      <c r="BY5707" s="215">
        <f t="shared" si="193"/>
        <v>0</v>
      </c>
    </row>
    <row r="5708" spans="76:77" x14ac:dyDescent="0.2">
      <c r="BX5708" s="214" t="e">
        <f t="shared" si="192"/>
        <v>#DIV/0!</v>
      </c>
      <c r="BY5708" s="215">
        <f t="shared" si="193"/>
        <v>0</v>
      </c>
    </row>
    <row r="5709" spans="76:77" x14ac:dyDescent="0.2">
      <c r="BX5709" s="214" t="e">
        <f t="shared" ref="BX5709:BX5772" si="194">BY5709/BV5709</f>
        <v>#DIV/0!</v>
      </c>
      <c r="BY5709" s="215">
        <f t="shared" si="193"/>
        <v>0</v>
      </c>
    </row>
    <row r="5710" spans="76:77" x14ac:dyDescent="0.2">
      <c r="BX5710" s="214" t="e">
        <f t="shared" si="194"/>
        <v>#DIV/0!</v>
      </c>
      <c r="BY5710" s="215">
        <f t="shared" ref="BY5710:BY5773" si="195">BY5709+BW5710*(BV5710-BV5709)</f>
        <v>0</v>
      </c>
    </row>
    <row r="5711" spans="76:77" x14ac:dyDescent="0.2">
      <c r="BX5711" s="214" t="e">
        <f t="shared" si="194"/>
        <v>#DIV/0!</v>
      </c>
      <c r="BY5711" s="215">
        <f t="shared" si="195"/>
        <v>0</v>
      </c>
    </row>
    <row r="5712" spans="76:77" x14ac:dyDescent="0.2">
      <c r="BX5712" s="214" t="e">
        <f t="shared" si="194"/>
        <v>#DIV/0!</v>
      </c>
      <c r="BY5712" s="215">
        <f t="shared" si="195"/>
        <v>0</v>
      </c>
    </row>
    <row r="5713" spans="76:77" x14ac:dyDescent="0.2">
      <c r="BX5713" s="214" t="e">
        <f t="shared" si="194"/>
        <v>#DIV/0!</v>
      </c>
      <c r="BY5713" s="215">
        <f t="shared" si="195"/>
        <v>0</v>
      </c>
    </row>
    <row r="5714" spans="76:77" x14ac:dyDescent="0.2">
      <c r="BX5714" s="214" t="e">
        <f t="shared" si="194"/>
        <v>#DIV/0!</v>
      </c>
      <c r="BY5714" s="215">
        <f t="shared" si="195"/>
        <v>0</v>
      </c>
    </row>
    <row r="5715" spans="76:77" x14ac:dyDescent="0.2">
      <c r="BX5715" s="214" t="e">
        <f t="shared" si="194"/>
        <v>#DIV/0!</v>
      </c>
      <c r="BY5715" s="215">
        <f t="shared" si="195"/>
        <v>0</v>
      </c>
    </row>
    <row r="5716" spans="76:77" x14ac:dyDescent="0.2">
      <c r="BX5716" s="214" t="e">
        <f t="shared" si="194"/>
        <v>#DIV/0!</v>
      </c>
      <c r="BY5716" s="215">
        <f t="shared" si="195"/>
        <v>0</v>
      </c>
    </row>
    <row r="5717" spans="76:77" x14ac:dyDescent="0.2">
      <c r="BX5717" s="214" t="e">
        <f t="shared" si="194"/>
        <v>#DIV/0!</v>
      </c>
      <c r="BY5717" s="215">
        <f t="shared" si="195"/>
        <v>0</v>
      </c>
    </row>
    <row r="5718" spans="76:77" x14ac:dyDescent="0.2">
      <c r="BX5718" s="214" t="e">
        <f t="shared" si="194"/>
        <v>#DIV/0!</v>
      </c>
      <c r="BY5718" s="215">
        <f t="shared" si="195"/>
        <v>0</v>
      </c>
    </row>
    <row r="5719" spans="76:77" x14ac:dyDescent="0.2">
      <c r="BX5719" s="214" t="e">
        <f t="shared" si="194"/>
        <v>#DIV/0!</v>
      </c>
      <c r="BY5719" s="215">
        <f t="shared" si="195"/>
        <v>0</v>
      </c>
    </row>
    <row r="5720" spans="76:77" x14ac:dyDescent="0.2">
      <c r="BX5720" s="214" t="e">
        <f t="shared" si="194"/>
        <v>#DIV/0!</v>
      </c>
      <c r="BY5720" s="215">
        <f t="shared" si="195"/>
        <v>0</v>
      </c>
    </row>
    <row r="5721" spans="76:77" x14ac:dyDescent="0.2">
      <c r="BX5721" s="214" t="e">
        <f t="shared" si="194"/>
        <v>#DIV/0!</v>
      </c>
      <c r="BY5721" s="215">
        <f t="shared" si="195"/>
        <v>0</v>
      </c>
    </row>
    <row r="5722" spans="76:77" x14ac:dyDescent="0.2">
      <c r="BX5722" s="214" t="e">
        <f t="shared" si="194"/>
        <v>#DIV/0!</v>
      </c>
      <c r="BY5722" s="215">
        <f t="shared" si="195"/>
        <v>0</v>
      </c>
    </row>
    <row r="5723" spans="76:77" x14ac:dyDescent="0.2">
      <c r="BX5723" s="214" t="e">
        <f t="shared" si="194"/>
        <v>#DIV/0!</v>
      </c>
      <c r="BY5723" s="215">
        <f t="shared" si="195"/>
        <v>0</v>
      </c>
    </row>
    <row r="5724" spans="76:77" x14ac:dyDescent="0.2">
      <c r="BX5724" s="214" t="e">
        <f t="shared" si="194"/>
        <v>#DIV/0!</v>
      </c>
      <c r="BY5724" s="215">
        <f t="shared" si="195"/>
        <v>0</v>
      </c>
    </row>
    <row r="5725" spans="76:77" x14ac:dyDescent="0.2">
      <c r="BX5725" s="214" t="e">
        <f t="shared" si="194"/>
        <v>#DIV/0!</v>
      </c>
      <c r="BY5725" s="215">
        <f t="shared" si="195"/>
        <v>0</v>
      </c>
    </row>
    <row r="5726" spans="76:77" x14ac:dyDescent="0.2">
      <c r="BX5726" s="214" t="e">
        <f t="shared" si="194"/>
        <v>#DIV/0!</v>
      </c>
      <c r="BY5726" s="215">
        <f t="shared" si="195"/>
        <v>0</v>
      </c>
    </row>
    <row r="5727" spans="76:77" x14ac:dyDescent="0.2">
      <c r="BX5727" s="214" t="e">
        <f t="shared" si="194"/>
        <v>#DIV/0!</v>
      </c>
      <c r="BY5727" s="215">
        <f t="shared" si="195"/>
        <v>0</v>
      </c>
    </row>
    <row r="5728" spans="76:77" x14ac:dyDescent="0.2">
      <c r="BX5728" s="214" t="e">
        <f t="shared" si="194"/>
        <v>#DIV/0!</v>
      </c>
      <c r="BY5728" s="215">
        <f t="shared" si="195"/>
        <v>0</v>
      </c>
    </row>
    <row r="5729" spans="76:77" x14ac:dyDescent="0.2">
      <c r="BX5729" s="214" t="e">
        <f t="shared" si="194"/>
        <v>#DIV/0!</v>
      </c>
      <c r="BY5729" s="215">
        <f t="shared" si="195"/>
        <v>0</v>
      </c>
    </row>
    <row r="5730" spans="76:77" x14ac:dyDescent="0.2">
      <c r="BX5730" s="214" t="e">
        <f t="shared" si="194"/>
        <v>#DIV/0!</v>
      </c>
      <c r="BY5730" s="215">
        <f t="shared" si="195"/>
        <v>0</v>
      </c>
    </row>
    <row r="5731" spans="76:77" x14ac:dyDescent="0.2">
      <c r="BX5731" s="214" t="e">
        <f t="shared" si="194"/>
        <v>#DIV/0!</v>
      </c>
      <c r="BY5731" s="215">
        <f t="shared" si="195"/>
        <v>0</v>
      </c>
    </row>
    <row r="5732" spans="76:77" x14ac:dyDescent="0.2">
      <c r="BX5732" s="214" t="e">
        <f t="shared" si="194"/>
        <v>#DIV/0!</v>
      </c>
      <c r="BY5732" s="215">
        <f t="shared" si="195"/>
        <v>0</v>
      </c>
    </row>
    <row r="5733" spans="76:77" x14ac:dyDescent="0.2">
      <c r="BX5733" s="214" t="e">
        <f t="shared" si="194"/>
        <v>#DIV/0!</v>
      </c>
      <c r="BY5733" s="215">
        <f t="shared" si="195"/>
        <v>0</v>
      </c>
    </row>
    <row r="5734" spans="76:77" x14ac:dyDescent="0.2">
      <c r="BX5734" s="214" t="e">
        <f t="shared" si="194"/>
        <v>#DIV/0!</v>
      </c>
      <c r="BY5734" s="215">
        <f t="shared" si="195"/>
        <v>0</v>
      </c>
    </row>
    <row r="5735" spans="76:77" x14ac:dyDescent="0.2">
      <c r="BX5735" s="214" t="e">
        <f t="shared" si="194"/>
        <v>#DIV/0!</v>
      </c>
      <c r="BY5735" s="215">
        <f t="shared" si="195"/>
        <v>0</v>
      </c>
    </row>
    <row r="5736" spans="76:77" x14ac:dyDescent="0.2">
      <c r="BX5736" s="214" t="e">
        <f t="shared" si="194"/>
        <v>#DIV/0!</v>
      </c>
      <c r="BY5736" s="215">
        <f t="shared" si="195"/>
        <v>0</v>
      </c>
    </row>
    <row r="5737" spans="76:77" x14ac:dyDescent="0.2">
      <c r="BX5737" s="214" t="e">
        <f t="shared" si="194"/>
        <v>#DIV/0!</v>
      </c>
      <c r="BY5737" s="215">
        <f t="shared" si="195"/>
        <v>0</v>
      </c>
    </row>
    <row r="5738" spans="76:77" x14ac:dyDescent="0.2">
      <c r="BX5738" s="214" t="e">
        <f t="shared" si="194"/>
        <v>#DIV/0!</v>
      </c>
      <c r="BY5738" s="215">
        <f t="shared" si="195"/>
        <v>0</v>
      </c>
    </row>
    <row r="5739" spans="76:77" x14ac:dyDescent="0.2">
      <c r="BX5739" s="214" t="e">
        <f t="shared" si="194"/>
        <v>#DIV/0!</v>
      </c>
      <c r="BY5739" s="215">
        <f t="shared" si="195"/>
        <v>0</v>
      </c>
    </row>
    <row r="5740" spans="76:77" x14ac:dyDescent="0.2">
      <c r="BX5740" s="214" t="e">
        <f t="shared" si="194"/>
        <v>#DIV/0!</v>
      </c>
      <c r="BY5740" s="215">
        <f t="shared" si="195"/>
        <v>0</v>
      </c>
    </row>
    <row r="5741" spans="76:77" x14ac:dyDescent="0.2">
      <c r="BX5741" s="214" t="e">
        <f t="shared" si="194"/>
        <v>#DIV/0!</v>
      </c>
      <c r="BY5741" s="215">
        <f t="shared" si="195"/>
        <v>0</v>
      </c>
    </row>
    <row r="5742" spans="76:77" x14ac:dyDescent="0.2">
      <c r="BX5742" s="214" t="e">
        <f t="shared" si="194"/>
        <v>#DIV/0!</v>
      </c>
      <c r="BY5742" s="215">
        <f t="shared" si="195"/>
        <v>0</v>
      </c>
    </row>
    <row r="5743" spans="76:77" x14ac:dyDescent="0.2">
      <c r="BX5743" s="214" t="e">
        <f t="shared" si="194"/>
        <v>#DIV/0!</v>
      </c>
      <c r="BY5743" s="215">
        <f t="shared" si="195"/>
        <v>0</v>
      </c>
    </row>
    <row r="5744" spans="76:77" x14ac:dyDescent="0.2">
      <c r="BX5744" s="214" t="e">
        <f t="shared" si="194"/>
        <v>#DIV/0!</v>
      </c>
      <c r="BY5744" s="215">
        <f t="shared" si="195"/>
        <v>0</v>
      </c>
    </row>
    <row r="5745" spans="76:77" x14ac:dyDescent="0.2">
      <c r="BX5745" s="214" t="e">
        <f t="shared" si="194"/>
        <v>#DIV/0!</v>
      </c>
      <c r="BY5745" s="215">
        <f t="shared" si="195"/>
        <v>0</v>
      </c>
    </row>
    <row r="5746" spans="76:77" x14ac:dyDescent="0.2">
      <c r="BX5746" s="214" t="e">
        <f t="shared" si="194"/>
        <v>#DIV/0!</v>
      </c>
      <c r="BY5746" s="215">
        <f t="shared" si="195"/>
        <v>0</v>
      </c>
    </row>
    <row r="5747" spans="76:77" x14ac:dyDescent="0.2">
      <c r="BX5747" s="214" t="e">
        <f t="shared" si="194"/>
        <v>#DIV/0!</v>
      </c>
      <c r="BY5747" s="215">
        <f t="shared" si="195"/>
        <v>0</v>
      </c>
    </row>
    <row r="5748" spans="76:77" x14ac:dyDescent="0.2">
      <c r="BX5748" s="214" t="e">
        <f t="shared" si="194"/>
        <v>#DIV/0!</v>
      </c>
      <c r="BY5748" s="215">
        <f t="shared" si="195"/>
        <v>0</v>
      </c>
    </row>
    <row r="5749" spans="76:77" x14ac:dyDescent="0.2">
      <c r="BX5749" s="214" t="e">
        <f t="shared" si="194"/>
        <v>#DIV/0!</v>
      </c>
      <c r="BY5749" s="215">
        <f t="shared" si="195"/>
        <v>0</v>
      </c>
    </row>
    <row r="5750" spans="76:77" x14ac:dyDescent="0.2">
      <c r="BX5750" s="214" t="e">
        <f t="shared" si="194"/>
        <v>#DIV/0!</v>
      </c>
      <c r="BY5750" s="215">
        <f t="shared" si="195"/>
        <v>0</v>
      </c>
    </row>
    <row r="5751" spans="76:77" x14ac:dyDescent="0.2">
      <c r="BX5751" s="214" t="e">
        <f t="shared" si="194"/>
        <v>#DIV/0!</v>
      </c>
      <c r="BY5751" s="215">
        <f t="shared" si="195"/>
        <v>0</v>
      </c>
    </row>
    <row r="5752" spans="76:77" x14ac:dyDescent="0.2">
      <c r="BX5752" s="214" t="e">
        <f t="shared" si="194"/>
        <v>#DIV/0!</v>
      </c>
      <c r="BY5752" s="215">
        <f t="shared" si="195"/>
        <v>0</v>
      </c>
    </row>
    <row r="5753" spans="76:77" x14ac:dyDescent="0.2">
      <c r="BX5753" s="214" t="e">
        <f t="shared" si="194"/>
        <v>#DIV/0!</v>
      </c>
      <c r="BY5753" s="215">
        <f t="shared" si="195"/>
        <v>0</v>
      </c>
    </row>
    <row r="5754" spans="76:77" x14ac:dyDescent="0.2">
      <c r="BX5754" s="214" t="e">
        <f t="shared" si="194"/>
        <v>#DIV/0!</v>
      </c>
      <c r="BY5754" s="215">
        <f t="shared" si="195"/>
        <v>0</v>
      </c>
    </row>
    <row r="5755" spans="76:77" x14ac:dyDescent="0.2">
      <c r="BX5755" s="214" t="e">
        <f t="shared" si="194"/>
        <v>#DIV/0!</v>
      </c>
      <c r="BY5755" s="215">
        <f t="shared" si="195"/>
        <v>0</v>
      </c>
    </row>
    <row r="5756" spans="76:77" x14ac:dyDescent="0.2">
      <c r="BX5756" s="214" t="e">
        <f t="shared" si="194"/>
        <v>#DIV/0!</v>
      </c>
      <c r="BY5756" s="215">
        <f t="shared" si="195"/>
        <v>0</v>
      </c>
    </row>
    <row r="5757" spans="76:77" x14ac:dyDescent="0.2">
      <c r="BX5757" s="214" t="e">
        <f t="shared" si="194"/>
        <v>#DIV/0!</v>
      </c>
      <c r="BY5757" s="215">
        <f t="shared" si="195"/>
        <v>0</v>
      </c>
    </row>
    <row r="5758" spans="76:77" x14ac:dyDescent="0.2">
      <c r="BX5758" s="214" t="e">
        <f t="shared" si="194"/>
        <v>#DIV/0!</v>
      </c>
      <c r="BY5758" s="215">
        <f t="shared" si="195"/>
        <v>0</v>
      </c>
    </row>
    <row r="5759" spans="76:77" x14ac:dyDescent="0.2">
      <c r="BX5759" s="214" t="e">
        <f t="shared" si="194"/>
        <v>#DIV/0!</v>
      </c>
      <c r="BY5759" s="215">
        <f t="shared" si="195"/>
        <v>0</v>
      </c>
    </row>
    <row r="5760" spans="76:77" x14ac:dyDescent="0.2">
      <c r="BX5760" s="214" t="e">
        <f t="shared" si="194"/>
        <v>#DIV/0!</v>
      </c>
      <c r="BY5760" s="215">
        <f t="shared" si="195"/>
        <v>0</v>
      </c>
    </row>
    <row r="5761" spans="76:77" x14ac:dyDescent="0.2">
      <c r="BX5761" s="214" t="e">
        <f t="shared" si="194"/>
        <v>#DIV/0!</v>
      </c>
      <c r="BY5761" s="215">
        <f t="shared" si="195"/>
        <v>0</v>
      </c>
    </row>
    <row r="5762" spans="76:77" x14ac:dyDescent="0.2">
      <c r="BX5762" s="214" t="e">
        <f t="shared" si="194"/>
        <v>#DIV/0!</v>
      </c>
      <c r="BY5762" s="215">
        <f t="shared" si="195"/>
        <v>0</v>
      </c>
    </row>
    <row r="5763" spans="76:77" x14ac:dyDescent="0.2">
      <c r="BX5763" s="214" t="e">
        <f t="shared" si="194"/>
        <v>#DIV/0!</v>
      </c>
      <c r="BY5763" s="215">
        <f t="shared" si="195"/>
        <v>0</v>
      </c>
    </row>
    <row r="5764" spans="76:77" x14ac:dyDescent="0.2">
      <c r="BX5764" s="214" t="e">
        <f t="shared" si="194"/>
        <v>#DIV/0!</v>
      </c>
      <c r="BY5764" s="215">
        <f t="shared" si="195"/>
        <v>0</v>
      </c>
    </row>
    <row r="5765" spans="76:77" x14ac:dyDescent="0.2">
      <c r="BX5765" s="214" t="e">
        <f t="shared" si="194"/>
        <v>#DIV/0!</v>
      </c>
      <c r="BY5765" s="215">
        <f t="shared" si="195"/>
        <v>0</v>
      </c>
    </row>
    <row r="5766" spans="76:77" x14ac:dyDescent="0.2">
      <c r="BX5766" s="214" t="e">
        <f t="shared" si="194"/>
        <v>#DIV/0!</v>
      </c>
      <c r="BY5766" s="215">
        <f t="shared" si="195"/>
        <v>0</v>
      </c>
    </row>
    <row r="5767" spans="76:77" x14ac:dyDescent="0.2">
      <c r="BX5767" s="214" t="e">
        <f t="shared" si="194"/>
        <v>#DIV/0!</v>
      </c>
      <c r="BY5767" s="215">
        <f t="shared" si="195"/>
        <v>0</v>
      </c>
    </row>
    <row r="5768" spans="76:77" x14ac:dyDescent="0.2">
      <c r="BX5768" s="214" t="e">
        <f t="shared" si="194"/>
        <v>#DIV/0!</v>
      </c>
      <c r="BY5768" s="215">
        <f t="shared" si="195"/>
        <v>0</v>
      </c>
    </row>
    <row r="5769" spans="76:77" x14ac:dyDescent="0.2">
      <c r="BX5769" s="214" t="e">
        <f t="shared" si="194"/>
        <v>#DIV/0!</v>
      </c>
      <c r="BY5769" s="215">
        <f t="shared" si="195"/>
        <v>0</v>
      </c>
    </row>
    <row r="5770" spans="76:77" x14ac:dyDescent="0.2">
      <c r="BX5770" s="214" t="e">
        <f t="shared" si="194"/>
        <v>#DIV/0!</v>
      </c>
      <c r="BY5770" s="215">
        <f t="shared" si="195"/>
        <v>0</v>
      </c>
    </row>
    <row r="5771" spans="76:77" x14ac:dyDescent="0.2">
      <c r="BX5771" s="214" t="e">
        <f t="shared" si="194"/>
        <v>#DIV/0!</v>
      </c>
      <c r="BY5771" s="215">
        <f t="shared" si="195"/>
        <v>0</v>
      </c>
    </row>
    <row r="5772" spans="76:77" x14ac:dyDescent="0.2">
      <c r="BX5772" s="214" t="e">
        <f t="shared" si="194"/>
        <v>#DIV/0!</v>
      </c>
      <c r="BY5772" s="215">
        <f t="shared" si="195"/>
        <v>0</v>
      </c>
    </row>
    <row r="5773" spans="76:77" x14ac:dyDescent="0.2">
      <c r="BX5773" s="214" t="e">
        <f t="shared" ref="BX5773:BX5836" si="196">BY5773/BV5773</f>
        <v>#DIV/0!</v>
      </c>
      <c r="BY5773" s="215">
        <f t="shared" si="195"/>
        <v>0</v>
      </c>
    </row>
    <row r="5774" spans="76:77" x14ac:dyDescent="0.2">
      <c r="BX5774" s="214" t="e">
        <f t="shared" si="196"/>
        <v>#DIV/0!</v>
      </c>
      <c r="BY5774" s="215">
        <f t="shared" ref="BY5774:BY5837" si="197">BY5773+BW5774*(BV5774-BV5773)</f>
        <v>0</v>
      </c>
    </row>
    <row r="5775" spans="76:77" x14ac:dyDescent="0.2">
      <c r="BX5775" s="214" t="e">
        <f t="shared" si="196"/>
        <v>#DIV/0!</v>
      </c>
      <c r="BY5775" s="215">
        <f t="shared" si="197"/>
        <v>0</v>
      </c>
    </row>
    <row r="5776" spans="76:77" x14ac:dyDescent="0.2">
      <c r="BX5776" s="214" t="e">
        <f t="shared" si="196"/>
        <v>#DIV/0!</v>
      </c>
      <c r="BY5776" s="215">
        <f t="shared" si="197"/>
        <v>0</v>
      </c>
    </row>
    <row r="5777" spans="76:77" x14ac:dyDescent="0.2">
      <c r="BX5777" s="214" t="e">
        <f t="shared" si="196"/>
        <v>#DIV/0!</v>
      </c>
      <c r="BY5777" s="215">
        <f t="shared" si="197"/>
        <v>0</v>
      </c>
    </row>
    <row r="5778" spans="76:77" x14ac:dyDescent="0.2">
      <c r="BX5778" s="214" t="e">
        <f t="shared" si="196"/>
        <v>#DIV/0!</v>
      </c>
      <c r="BY5778" s="215">
        <f t="shared" si="197"/>
        <v>0</v>
      </c>
    </row>
    <row r="5779" spans="76:77" x14ac:dyDescent="0.2">
      <c r="BX5779" s="214" t="e">
        <f t="shared" si="196"/>
        <v>#DIV/0!</v>
      </c>
      <c r="BY5779" s="215">
        <f t="shared" si="197"/>
        <v>0</v>
      </c>
    </row>
    <row r="5780" spans="76:77" x14ac:dyDescent="0.2">
      <c r="BX5780" s="214" t="e">
        <f t="shared" si="196"/>
        <v>#DIV/0!</v>
      </c>
      <c r="BY5780" s="215">
        <f t="shared" si="197"/>
        <v>0</v>
      </c>
    </row>
    <row r="5781" spans="76:77" x14ac:dyDescent="0.2">
      <c r="BX5781" s="214" t="e">
        <f t="shared" si="196"/>
        <v>#DIV/0!</v>
      </c>
      <c r="BY5781" s="215">
        <f t="shared" si="197"/>
        <v>0</v>
      </c>
    </row>
    <row r="5782" spans="76:77" x14ac:dyDescent="0.2">
      <c r="BX5782" s="214" t="e">
        <f t="shared" si="196"/>
        <v>#DIV/0!</v>
      </c>
      <c r="BY5782" s="215">
        <f t="shared" si="197"/>
        <v>0</v>
      </c>
    </row>
    <row r="5783" spans="76:77" x14ac:dyDescent="0.2">
      <c r="BX5783" s="214" t="e">
        <f t="shared" si="196"/>
        <v>#DIV/0!</v>
      </c>
      <c r="BY5783" s="215">
        <f t="shared" si="197"/>
        <v>0</v>
      </c>
    </row>
    <row r="5784" spans="76:77" x14ac:dyDescent="0.2">
      <c r="BX5784" s="214" t="e">
        <f t="shared" si="196"/>
        <v>#DIV/0!</v>
      </c>
      <c r="BY5784" s="215">
        <f t="shared" si="197"/>
        <v>0</v>
      </c>
    </row>
    <row r="5785" spans="76:77" x14ac:dyDescent="0.2">
      <c r="BX5785" s="214" t="e">
        <f t="shared" si="196"/>
        <v>#DIV/0!</v>
      </c>
      <c r="BY5785" s="215">
        <f t="shared" si="197"/>
        <v>0</v>
      </c>
    </row>
    <row r="5786" spans="76:77" x14ac:dyDescent="0.2">
      <c r="BX5786" s="214" t="e">
        <f t="shared" si="196"/>
        <v>#DIV/0!</v>
      </c>
      <c r="BY5786" s="215">
        <f t="shared" si="197"/>
        <v>0</v>
      </c>
    </row>
    <row r="5787" spans="76:77" x14ac:dyDescent="0.2">
      <c r="BX5787" s="214" t="e">
        <f t="shared" si="196"/>
        <v>#DIV/0!</v>
      </c>
      <c r="BY5787" s="215">
        <f t="shared" si="197"/>
        <v>0</v>
      </c>
    </row>
    <row r="5788" spans="76:77" x14ac:dyDescent="0.2">
      <c r="BX5788" s="214" t="e">
        <f t="shared" si="196"/>
        <v>#DIV/0!</v>
      </c>
      <c r="BY5788" s="215">
        <f t="shared" si="197"/>
        <v>0</v>
      </c>
    </row>
    <row r="5789" spans="76:77" x14ac:dyDescent="0.2">
      <c r="BX5789" s="214" t="e">
        <f t="shared" si="196"/>
        <v>#DIV/0!</v>
      </c>
      <c r="BY5789" s="215">
        <f t="shared" si="197"/>
        <v>0</v>
      </c>
    </row>
    <row r="5790" spans="76:77" x14ac:dyDescent="0.2">
      <c r="BX5790" s="214" t="e">
        <f t="shared" si="196"/>
        <v>#DIV/0!</v>
      </c>
      <c r="BY5790" s="215">
        <f t="shared" si="197"/>
        <v>0</v>
      </c>
    </row>
    <row r="5791" spans="76:77" x14ac:dyDescent="0.2">
      <c r="BX5791" s="214" t="e">
        <f t="shared" si="196"/>
        <v>#DIV/0!</v>
      </c>
      <c r="BY5791" s="215">
        <f t="shared" si="197"/>
        <v>0</v>
      </c>
    </row>
    <row r="5792" spans="76:77" x14ac:dyDescent="0.2">
      <c r="BX5792" s="214" t="e">
        <f t="shared" si="196"/>
        <v>#DIV/0!</v>
      </c>
      <c r="BY5792" s="215">
        <f t="shared" si="197"/>
        <v>0</v>
      </c>
    </row>
    <row r="5793" spans="76:77" x14ac:dyDescent="0.2">
      <c r="BX5793" s="214" t="e">
        <f t="shared" si="196"/>
        <v>#DIV/0!</v>
      </c>
      <c r="BY5793" s="215">
        <f t="shared" si="197"/>
        <v>0</v>
      </c>
    </row>
    <row r="5794" spans="76:77" x14ac:dyDescent="0.2">
      <c r="BX5794" s="214" t="e">
        <f t="shared" si="196"/>
        <v>#DIV/0!</v>
      </c>
      <c r="BY5794" s="215">
        <f t="shared" si="197"/>
        <v>0</v>
      </c>
    </row>
    <row r="5795" spans="76:77" x14ac:dyDescent="0.2">
      <c r="BX5795" s="214" t="e">
        <f t="shared" si="196"/>
        <v>#DIV/0!</v>
      </c>
      <c r="BY5795" s="215">
        <f t="shared" si="197"/>
        <v>0</v>
      </c>
    </row>
    <row r="5796" spans="76:77" x14ac:dyDescent="0.2">
      <c r="BX5796" s="214" t="e">
        <f t="shared" si="196"/>
        <v>#DIV/0!</v>
      </c>
      <c r="BY5796" s="215">
        <f t="shared" si="197"/>
        <v>0</v>
      </c>
    </row>
    <row r="5797" spans="76:77" x14ac:dyDescent="0.2">
      <c r="BX5797" s="214" t="e">
        <f t="shared" si="196"/>
        <v>#DIV/0!</v>
      </c>
      <c r="BY5797" s="215">
        <f t="shared" si="197"/>
        <v>0</v>
      </c>
    </row>
    <row r="5798" spans="76:77" x14ac:dyDescent="0.2">
      <c r="BX5798" s="214" t="e">
        <f t="shared" si="196"/>
        <v>#DIV/0!</v>
      </c>
      <c r="BY5798" s="215">
        <f t="shared" si="197"/>
        <v>0</v>
      </c>
    </row>
    <row r="5799" spans="76:77" x14ac:dyDescent="0.2">
      <c r="BX5799" s="214" t="e">
        <f t="shared" si="196"/>
        <v>#DIV/0!</v>
      </c>
      <c r="BY5799" s="215">
        <f t="shared" si="197"/>
        <v>0</v>
      </c>
    </row>
    <row r="5800" spans="76:77" x14ac:dyDescent="0.2">
      <c r="BX5800" s="214" t="e">
        <f t="shared" si="196"/>
        <v>#DIV/0!</v>
      </c>
      <c r="BY5800" s="215">
        <f t="shared" si="197"/>
        <v>0</v>
      </c>
    </row>
    <row r="5801" spans="76:77" x14ac:dyDescent="0.2">
      <c r="BX5801" s="214" t="e">
        <f t="shared" si="196"/>
        <v>#DIV/0!</v>
      </c>
      <c r="BY5801" s="215">
        <f t="shared" si="197"/>
        <v>0</v>
      </c>
    </row>
    <row r="5802" spans="76:77" x14ac:dyDescent="0.2">
      <c r="BX5802" s="214" t="e">
        <f t="shared" si="196"/>
        <v>#DIV/0!</v>
      </c>
      <c r="BY5802" s="215">
        <f t="shared" si="197"/>
        <v>0</v>
      </c>
    </row>
    <row r="5803" spans="76:77" x14ac:dyDescent="0.2">
      <c r="BX5803" s="214" t="e">
        <f t="shared" si="196"/>
        <v>#DIV/0!</v>
      </c>
      <c r="BY5803" s="215">
        <f t="shared" si="197"/>
        <v>0</v>
      </c>
    </row>
    <row r="5804" spans="76:77" x14ac:dyDescent="0.2">
      <c r="BX5804" s="214" t="e">
        <f t="shared" si="196"/>
        <v>#DIV/0!</v>
      </c>
      <c r="BY5804" s="215">
        <f t="shared" si="197"/>
        <v>0</v>
      </c>
    </row>
    <row r="5805" spans="76:77" x14ac:dyDescent="0.2">
      <c r="BX5805" s="214" t="e">
        <f t="shared" si="196"/>
        <v>#DIV/0!</v>
      </c>
      <c r="BY5805" s="215">
        <f t="shared" si="197"/>
        <v>0</v>
      </c>
    </row>
    <row r="5806" spans="76:77" x14ac:dyDescent="0.2">
      <c r="BX5806" s="214" t="e">
        <f t="shared" si="196"/>
        <v>#DIV/0!</v>
      </c>
      <c r="BY5806" s="215">
        <f t="shared" si="197"/>
        <v>0</v>
      </c>
    </row>
    <row r="5807" spans="76:77" x14ac:dyDescent="0.2">
      <c r="BX5807" s="214" t="e">
        <f t="shared" si="196"/>
        <v>#DIV/0!</v>
      </c>
      <c r="BY5807" s="215">
        <f t="shared" si="197"/>
        <v>0</v>
      </c>
    </row>
    <row r="5808" spans="76:77" x14ac:dyDescent="0.2">
      <c r="BX5808" s="214" t="e">
        <f t="shared" si="196"/>
        <v>#DIV/0!</v>
      </c>
      <c r="BY5808" s="215">
        <f t="shared" si="197"/>
        <v>0</v>
      </c>
    </row>
    <row r="5809" spans="76:77" x14ac:dyDescent="0.2">
      <c r="BX5809" s="214" t="e">
        <f t="shared" si="196"/>
        <v>#DIV/0!</v>
      </c>
      <c r="BY5809" s="215">
        <f t="shared" si="197"/>
        <v>0</v>
      </c>
    </row>
    <row r="5810" spans="76:77" x14ac:dyDescent="0.2">
      <c r="BX5810" s="214" t="e">
        <f t="shared" si="196"/>
        <v>#DIV/0!</v>
      </c>
      <c r="BY5810" s="215">
        <f t="shared" si="197"/>
        <v>0</v>
      </c>
    </row>
    <row r="5811" spans="76:77" x14ac:dyDescent="0.2">
      <c r="BX5811" s="214" t="e">
        <f t="shared" si="196"/>
        <v>#DIV/0!</v>
      </c>
      <c r="BY5811" s="215">
        <f t="shared" si="197"/>
        <v>0</v>
      </c>
    </row>
    <row r="5812" spans="76:77" x14ac:dyDescent="0.2">
      <c r="BX5812" s="214" t="e">
        <f t="shared" si="196"/>
        <v>#DIV/0!</v>
      </c>
      <c r="BY5812" s="215">
        <f t="shared" si="197"/>
        <v>0</v>
      </c>
    </row>
    <row r="5813" spans="76:77" x14ac:dyDescent="0.2">
      <c r="BX5813" s="214" t="e">
        <f t="shared" si="196"/>
        <v>#DIV/0!</v>
      </c>
      <c r="BY5813" s="215">
        <f t="shared" si="197"/>
        <v>0</v>
      </c>
    </row>
    <row r="5814" spans="76:77" x14ac:dyDescent="0.2">
      <c r="BX5814" s="214" t="e">
        <f t="shared" si="196"/>
        <v>#DIV/0!</v>
      </c>
      <c r="BY5814" s="215">
        <f t="shared" si="197"/>
        <v>0</v>
      </c>
    </row>
    <row r="5815" spans="76:77" x14ac:dyDescent="0.2">
      <c r="BX5815" s="214" t="e">
        <f t="shared" si="196"/>
        <v>#DIV/0!</v>
      </c>
      <c r="BY5815" s="215">
        <f t="shared" si="197"/>
        <v>0</v>
      </c>
    </row>
    <row r="5816" spans="76:77" x14ac:dyDescent="0.2">
      <c r="BX5816" s="214" t="e">
        <f t="shared" si="196"/>
        <v>#DIV/0!</v>
      </c>
      <c r="BY5816" s="215">
        <f t="shared" si="197"/>
        <v>0</v>
      </c>
    </row>
    <row r="5817" spans="76:77" x14ac:dyDescent="0.2">
      <c r="BX5817" s="214" t="e">
        <f t="shared" si="196"/>
        <v>#DIV/0!</v>
      </c>
      <c r="BY5817" s="215">
        <f t="shared" si="197"/>
        <v>0</v>
      </c>
    </row>
    <row r="5818" spans="76:77" x14ac:dyDescent="0.2">
      <c r="BX5818" s="214" t="e">
        <f t="shared" si="196"/>
        <v>#DIV/0!</v>
      </c>
      <c r="BY5818" s="215">
        <f t="shared" si="197"/>
        <v>0</v>
      </c>
    </row>
    <row r="5819" spans="76:77" x14ac:dyDescent="0.2">
      <c r="BX5819" s="214" t="e">
        <f t="shared" si="196"/>
        <v>#DIV/0!</v>
      </c>
      <c r="BY5819" s="215">
        <f t="shared" si="197"/>
        <v>0</v>
      </c>
    </row>
    <row r="5820" spans="76:77" x14ac:dyDescent="0.2">
      <c r="BX5820" s="214" t="e">
        <f t="shared" si="196"/>
        <v>#DIV/0!</v>
      </c>
      <c r="BY5820" s="215">
        <f t="shared" si="197"/>
        <v>0</v>
      </c>
    </row>
    <row r="5821" spans="76:77" x14ac:dyDescent="0.2">
      <c r="BX5821" s="214" t="e">
        <f t="shared" si="196"/>
        <v>#DIV/0!</v>
      </c>
      <c r="BY5821" s="215">
        <f t="shared" si="197"/>
        <v>0</v>
      </c>
    </row>
    <row r="5822" spans="76:77" x14ac:dyDescent="0.2">
      <c r="BX5822" s="214" t="e">
        <f t="shared" si="196"/>
        <v>#DIV/0!</v>
      </c>
      <c r="BY5822" s="215">
        <f t="shared" si="197"/>
        <v>0</v>
      </c>
    </row>
    <row r="5823" spans="76:77" x14ac:dyDescent="0.2">
      <c r="BX5823" s="214" t="e">
        <f t="shared" si="196"/>
        <v>#DIV/0!</v>
      </c>
      <c r="BY5823" s="215">
        <f t="shared" si="197"/>
        <v>0</v>
      </c>
    </row>
    <row r="5824" spans="76:77" x14ac:dyDescent="0.2">
      <c r="BX5824" s="214" t="e">
        <f t="shared" si="196"/>
        <v>#DIV/0!</v>
      </c>
      <c r="BY5824" s="215">
        <f t="shared" si="197"/>
        <v>0</v>
      </c>
    </row>
    <row r="5825" spans="76:77" x14ac:dyDescent="0.2">
      <c r="BX5825" s="214" t="e">
        <f t="shared" si="196"/>
        <v>#DIV/0!</v>
      </c>
      <c r="BY5825" s="215">
        <f t="shared" si="197"/>
        <v>0</v>
      </c>
    </row>
    <row r="5826" spans="76:77" x14ac:dyDescent="0.2">
      <c r="BX5826" s="214" t="e">
        <f t="shared" si="196"/>
        <v>#DIV/0!</v>
      </c>
      <c r="BY5826" s="215">
        <f t="shared" si="197"/>
        <v>0</v>
      </c>
    </row>
    <row r="5827" spans="76:77" x14ac:dyDescent="0.2">
      <c r="BX5827" s="214" t="e">
        <f t="shared" si="196"/>
        <v>#DIV/0!</v>
      </c>
      <c r="BY5827" s="215">
        <f t="shared" si="197"/>
        <v>0</v>
      </c>
    </row>
    <row r="5828" spans="76:77" x14ac:dyDescent="0.2">
      <c r="BX5828" s="214" t="e">
        <f t="shared" si="196"/>
        <v>#DIV/0!</v>
      </c>
      <c r="BY5828" s="215">
        <f t="shared" si="197"/>
        <v>0</v>
      </c>
    </row>
    <row r="5829" spans="76:77" x14ac:dyDescent="0.2">
      <c r="BX5829" s="214" t="e">
        <f t="shared" si="196"/>
        <v>#DIV/0!</v>
      </c>
      <c r="BY5829" s="215">
        <f t="shared" si="197"/>
        <v>0</v>
      </c>
    </row>
    <row r="5830" spans="76:77" x14ac:dyDescent="0.2">
      <c r="BX5830" s="214" t="e">
        <f t="shared" si="196"/>
        <v>#DIV/0!</v>
      </c>
      <c r="BY5830" s="215">
        <f t="shared" si="197"/>
        <v>0</v>
      </c>
    </row>
    <row r="5831" spans="76:77" x14ac:dyDescent="0.2">
      <c r="BX5831" s="214" t="e">
        <f t="shared" si="196"/>
        <v>#DIV/0!</v>
      </c>
      <c r="BY5831" s="215">
        <f t="shared" si="197"/>
        <v>0</v>
      </c>
    </row>
    <row r="5832" spans="76:77" x14ac:dyDescent="0.2">
      <c r="BX5832" s="214" t="e">
        <f t="shared" si="196"/>
        <v>#DIV/0!</v>
      </c>
      <c r="BY5832" s="215">
        <f t="shared" si="197"/>
        <v>0</v>
      </c>
    </row>
    <row r="5833" spans="76:77" x14ac:dyDescent="0.2">
      <c r="BX5833" s="214" t="e">
        <f t="shared" si="196"/>
        <v>#DIV/0!</v>
      </c>
      <c r="BY5833" s="215">
        <f t="shared" si="197"/>
        <v>0</v>
      </c>
    </row>
    <row r="5834" spans="76:77" x14ac:dyDescent="0.2">
      <c r="BX5834" s="214" t="e">
        <f t="shared" si="196"/>
        <v>#DIV/0!</v>
      </c>
      <c r="BY5834" s="215">
        <f t="shared" si="197"/>
        <v>0</v>
      </c>
    </row>
    <row r="5835" spans="76:77" x14ac:dyDescent="0.2">
      <c r="BX5835" s="214" t="e">
        <f t="shared" si="196"/>
        <v>#DIV/0!</v>
      </c>
      <c r="BY5835" s="215">
        <f t="shared" si="197"/>
        <v>0</v>
      </c>
    </row>
    <row r="5836" spans="76:77" x14ac:dyDescent="0.2">
      <c r="BX5836" s="214" t="e">
        <f t="shared" si="196"/>
        <v>#DIV/0!</v>
      </c>
      <c r="BY5836" s="215">
        <f t="shared" si="197"/>
        <v>0</v>
      </c>
    </row>
    <row r="5837" spans="76:77" x14ac:dyDescent="0.2">
      <c r="BX5837" s="214" t="e">
        <f t="shared" ref="BX5837:BX5900" si="198">BY5837/BV5837</f>
        <v>#DIV/0!</v>
      </c>
      <c r="BY5837" s="215">
        <f t="shared" si="197"/>
        <v>0</v>
      </c>
    </row>
    <row r="5838" spans="76:77" x14ac:dyDescent="0.2">
      <c r="BX5838" s="214" t="e">
        <f t="shared" si="198"/>
        <v>#DIV/0!</v>
      </c>
      <c r="BY5838" s="215">
        <f t="shared" ref="BY5838:BY5901" si="199">BY5837+BW5838*(BV5838-BV5837)</f>
        <v>0</v>
      </c>
    </row>
    <row r="5839" spans="76:77" x14ac:dyDescent="0.2">
      <c r="BX5839" s="214" t="e">
        <f t="shared" si="198"/>
        <v>#DIV/0!</v>
      </c>
      <c r="BY5839" s="215">
        <f t="shared" si="199"/>
        <v>0</v>
      </c>
    </row>
    <row r="5840" spans="76:77" x14ac:dyDescent="0.2">
      <c r="BX5840" s="214" t="e">
        <f t="shared" si="198"/>
        <v>#DIV/0!</v>
      </c>
      <c r="BY5840" s="215">
        <f t="shared" si="199"/>
        <v>0</v>
      </c>
    </row>
    <row r="5841" spans="76:77" x14ac:dyDescent="0.2">
      <c r="BX5841" s="214" t="e">
        <f t="shared" si="198"/>
        <v>#DIV/0!</v>
      </c>
      <c r="BY5841" s="215">
        <f t="shared" si="199"/>
        <v>0</v>
      </c>
    </row>
    <row r="5842" spans="76:77" x14ac:dyDescent="0.2">
      <c r="BX5842" s="214" t="e">
        <f t="shared" si="198"/>
        <v>#DIV/0!</v>
      </c>
      <c r="BY5842" s="215">
        <f t="shared" si="199"/>
        <v>0</v>
      </c>
    </row>
    <row r="5843" spans="76:77" x14ac:dyDescent="0.2">
      <c r="BX5843" s="214" t="e">
        <f t="shared" si="198"/>
        <v>#DIV/0!</v>
      </c>
      <c r="BY5843" s="215">
        <f t="shared" si="199"/>
        <v>0</v>
      </c>
    </row>
    <row r="5844" spans="76:77" x14ac:dyDescent="0.2">
      <c r="BX5844" s="214" t="e">
        <f t="shared" si="198"/>
        <v>#DIV/0!</v>
      </c>
      <c r="BY5844" s="215">
        <f t="shared" si="199"/>
        <v>0</v>
      </c>
    </row>
    <row r="5845" spans="76:77" x14ac:dyDescent="0.2">
      <c r="BX5845" s="214" t="e">
        <f t="shared" si="198"/>
        <v>#DIV/0!</v>
      </c>
      <c r="BY5845" s="215">
        <f t="shared" si="199"/>
        <v>0</v>
      </c>
    </row>
    <row r="5846" spans="76:77" x14ac:dyDescent="0.2">
      <c r="BX5846" s="214" t="e">
        <f t="shared" si="198"/>
        <v>#DIV/0!</v>
      </c>
      <c r="BY5846" s="215">
        <f t="shared" si="199"/>
        <v>0</v>
      </c>
    </row>
    <row r="5847" spans="76:77" x14ac:dyDescent="0.2">
      <c r="BX5847" s="214" t="e">
        <f t="shared" si="198"/>
        <v>#DIV/0!</v>
      </c>
      <c r="BY5847" s="215">
        <f t="shared" si="199"/>
        <v>0</v>
      </c>
    </row>
    <row r="5848" spans="76:77" x14ac:dyDescent="0.2">
      <c r="BX5848" s="214" t="e">
        <f t="shared" si="198"/>
        <v>#DIV/0!</v>
      </c>
      <c r="BY5848" s="215">
        <f t="shared" si="199"/>
        <v>0</v>
      </c>
    </row>
    <row r="5849" spans="76:77" x14ac:dyDescent="0.2">
      <c r="BX5849" s="214" t="e">
        <f t="shared" si="198"/>
        <v>#DIV/0!</v>
      </c>
      <c r="BY5849" s="215">
        <f t="shared" si="199"/>
        <v>0</v>
      </c>
    </row>
    <row r="5850" spans="76:77" x14ac:dyDescent="0.2">
      <c r="BX5850" s="214" t="e">
        <f t="shared" si="198"/>
        <v>#DIV/0!</v>
      </c>
      <c r="BY5850" s="215">
        <f t="shared" si="199"/>
        <v>0</v>
      </c>
    </row>
    <row r="5851" spans="76:77" x14ac:dyDescent="0.2">
      <c r="BX5851" s="214" t="e">
        <f t="shared" si="198"/>
        <v>#DIV/0!</v>
      </c>
      <c r="BY5851" s="215">
        <f t="shared" si="199"/>
        <v>0</v>
      </c>
    </row>
    <row r="5852" spans="76:77" x14ac:dyDescent="0.2">
      <c r="BX5852" s="214" t="e">
        <f t="shared" si="198"/>
        <v>#DIV/0!</v>
      </c>
      <c r="BY5852" s="215">
        <f t="shared" si="199"/>
        <v>0</v>
      </c>
    </row>
    <row r="5853" spans="76:77" x14ac:dyDescent="0.2">
      <c r="BX5853" s="214" t="e">
        <f t="shared" si="198"/>
        <v>#DIV/0!</v>
      </c>
      <c r="BY5853" s="215">
        <f t="shared" si="199"/>
        <v>0</v>
      </c>
    </row>
    <row r="5854" spans="76:77" x14ac:dyDescent="0.2">
      <c r="BX5854" s="214" t="e">
        <f t="shared" si="198"/>
        <v>#DIV/0!</v>
      </c>
      <c r="BY5854" s="215">
        <f t="shared" si="199"/>
        <v>0</v>
      </c>
    </row>
    <row r="5855" spans="76:77" x14ac:dyDescent="0.2">
      <c r="BX5855" s="214" t="e">
        <f t="shared" si="198"/>
        <v>#DIV/0!</v>
      </c>
      <c r="BY5855" s="215">
        <f t="shared" si="199"/>
        <v>0</v>
      </c>
    </row>
    <row r="5856" spans="76:77" x14ac:dyDescent="0.2">
      <c r="BX5856" s="214" t="e">
        <f t="shared" si="198"/>
        <v>#DIV/0!</v>
      </c>
      <c r="BY5856" s="215">
        <f t="shared" si="199"/>
        <v>0</v>
      </c>
    </row>
    <row r="5857" spans="76:77" x14ac:dyDescent="0.2">
      <c r="BX5857" s="214" t="e">
        <f t="shared" si="198"/>
        <v>#DIV/0!</v>
      </c>
      <c r="BY5857" s="215">
        <f t="shared" si="199"/>
        <v>0</v>
      </c>
    </row>
    <row r="5858" spans="76:77" x14ac:dyDescent="0.2">
      <c r="BX5858" s="214" t="e">
        <f t="shared" si="198"/>
        <v>#DIV/0!</v>
      </c>
      <c r="BY5858" s="215">
        <f t="shared" si="199"/>
        <v>0</v>
      </c>
    </row>
    <row r="5859" spans="76:77" x14ac:dyDescent="0.2">
      <c r="BX5859" s="214" t="e">
        <f t="shared" si="198"/>
        <v>#DIV/0!</v>
      </c>
      <c r="BY5859" s="215">
        <f t="shared" si="199"/>
        <v>0</v>
      </c>
    </row>
    <row r="5860" spans="76:77" x14ac:dyDescent="0.2">
      <c r="BX5860" s="214" t="e">
        <f t="shared" si="198"/>
        <v>#DIV/0!</v>
      </c>
      <c r="BY5860" s="215">
        <f t="shared" si="199"/>
        <v>0</v>
      </c>
    </row>
    <row r="5861" spans="76:77" x14ac:dyDescent="0.2">
      <c r="BX5861" s="214" t="e">
        <f t="shared" si="198"/>
        <v>#DIV/0!</v>
      </c>
      <c r="BY5861" s="215">
        <f t="shared" si="199"/>
        <v>0</v>
      </c>
    </row>
    <row r="5862" spans="76:77" x14ac:dyDescent="0.2">
      <c r="BX5862" s="214" t="e">
        <f t="shared" si="198"/>
        <v>#DIV/0!</v>
      </c>
      <c r="BY5862" s="215">
        <f t="shared" si="199"/>
        <v>0</v>
      </c>
    </row>
    <row r="5863" spans="76:77" x14ac:dyDescent="0.2">
      <c r="BX5863" s="214" t="e">
        <f t="shared" si="198"/>
        <v>#DIV/0!</v>
      </c>
      <c r="BY5863" s="215">
        <f t="shared" si="199"/>
        <v>0</v>
      </c>
    </row>
    <row r="5864" spans="76:77" x14ac:dyDescent="0.2">
      <c r="BX5864" s="214" t="e">
        <f t="shared" si="198"/>
        <v>#DIV/0!</v>
      </c>
      <c r="BY5864" s="215">
        <f t="shared" si="199"/>
        <v>0</v>
      </c>
    </row>
    <row r="5865" spans="76:77" x14ac:dyDescent="0.2">
      <c r="BX5865" s="214" t="e">
        <f t="shared" si="198"/>
        <v>#DIV/0!</v>
      </c>
      <c r="BY5865" s="215">
        <f t="shared" si="199"/>
        <v>0</v>
      </c>
    </row>
    <row r="5866" spans="76:77" x14ac:dyDescent="0.2">
      <c r="BX5866" s="214" t="e">
        <f t="shared" si="198"/>
        <v>#DIV/0!</v>
      </c>
      <c r="BY5866" s="215">
        <f t="shared" si="199"/>
        <v>0</v>
      </c>
    </row>
    <row r="5867" spans="76:77" x14ac:dyDescent="0.2">
      <c r="BX5867" s="214" t="e">
        <f t="shared" si="198"/>
        <v>#DIV/0!</v>
      </c>
      <c r="BY5867" s="215">
        <f t="shared" si="199"/>
        <v>0</v>
      </c>
    </row>
    <row r="5868" spans="76:77" x14ac:dyDescent="0.2">
      <c r="BX5868" s="214" t="e">
        <f t="shared" si="198"/>
        <v>#DIV/0!</v>
      </c>
      <c r="BY5868" s="215">
        <f t="shared" si="199"/>
        <v>0</v>
      </c>
    </row>
    <row r="5869" spans="76:77" x14ac:dyDescent="0.2">
      <c r="BX5869" s="214" t="e">
        <f t="shared" si="198"/>
        <v>#DIV/0!</v>
      </c>
      <c r="BY5869" s="215">
        <f t="shared" si="199"/>
        <v>0</v>
      </c>
    </row>
    <row r="5870" spans="76:77" x14ac:dyDescent="0.2">
      <c r="BX5870" s="214" t="e">
        <f t="shared" si="198"/>
        <v>#DIV/0!</v>
      </c>
      <c r="BY5870" s="215">
        <f t="shared" si="199"/>
        <v>0</v>
      </c>
    </row>
    <row r="5871" spans="76:77" x14ac:dyDescent="0.2">
      <c r="BX5871" s="214" t="e">
        <f t="shared" si="198"/>
        <v>#DIV/0!</v>
      </c>
      <c r="BY5871" s="215">
        <f t="shared" si="199"/>
        <v>0</v>
      </c>
    </row>
    <row r="5872" spans="76:77" x14ac:dyDescent="0.2">
      <c r="BX5872" s="214" t="e">
        <f t="shared" si="198"/>
        <v>#DIV/0!</v>
      </c>
      <c r="BY5872" s="215">
        <f t="shared" si="199"/>
        <v>0</v>
      </c>
    </row>
    <row r="5873" spans="76:77" x14ac:dyDescent="0.2">
      <c r="BX5873" s="214" t="e">
        <f t="shared" si="198"/>
        <v>#DIV/0!</v>
      </c>
      <c r="BY5873" s="215">
        <f t="shared" si="199"/>
        <v>0</v>
      </c>
    </row>
    <row r="5874" spans="76:77" x14ac:dyDescent="0.2">
      <c r="BX5874" s="214" t="e">
        <f t="shared" si="198"/>
        <v>#DIV/0!</v>
      </c>
      <c r="BY5874" s="215">
        <f t="shared" si="199"/>
        <v>0</v>
      </c>
    </row>
    <row r="5875" spans="76:77" x14ac:dyDescent="0.2">
      <c r="BX5875" s="214" t="e">
        <f t="shared" si="198"/>
        <v>#DIV/0!</v>
      </c>
      <c r="BY5875" s="215">
        <f t="shared" si="199"/>
        <v>0</v>
      </c>
    </row>
    <row r="5876" spans="76:77" x14ac:dyDescent="0.2">
      <c r="BX5876" s="214" t="e">
        <f t="shared" si="198"/>
        <v>#DIV/0!</v>
      </c>
      <c r="BY5876" s="215">
        <f t="shared" si="199"/>
        <v>0</v>
      </c>
    </row>
    <row r="5877" spans="76:77" x14ac:dyDescent="0.2">
      <c r="BX5877" s="214" t="e">
        <f t="shared" si="198"/>
        <v>#DIV/0!</v>
      </c>
      <c r="BY5877" s="215">
        <f t="shared" si="199"/>
        <v>0</v>
      </c>
    </row>
    <row r="5878" spans="76:77" x14ac:dyDescent="0.2">
      <c r="BX5878" s="214" t="e">
        <f t="shared" si="198"/>
        <v>#DIV/0!</v>
      </c>
      <c r="BY5878" s="215">
        <f t="shared" si="199"/>
        <v>0</v>
      </c>
    </row>
    <row r="5879" spans="76:77" x14ac:dyDescent="0.2">
      <c r="BX5879" s="214" t="e">
        <f t="shared" si="198"/>
        <v>#DIV/0!</v>
      </c>
      <c r="BY5879" s="215">
        <f t="shared" si="199"/>
        <v>0</v>
      </c>
    </row>
    <row r="5880" spans="76:77" x14ac:dyDescent="0.2">
      <c r="BX5880" s="214" t="e">
        <f t="shared" si="198"/>
        <v>#DIV/0!</v>
      </c>
      <c r="BY5880" s="215">
        <f t="shared" si="199"/>
        <v>0</v>
      </c>
    </row>
    <row r="5881" spans="76:77" x14ac:dyDescent="0.2">
      <c r="BX5881" s="214" t="e">
        <f t="shared" si="198"/>
        <v>#DIV/0!</v>
      </c>
      <c r="BY5881" s="215">
        <f t="shared" si="199"/>
        <v>0</v>
      </c>
    </row>
    <row r="5882" spans="76:77" x14ac:dyDescent="0.2">
      <c r="BX5882" s="214" t="e">
        <f t="shared" si="198"/>
        <v>#DIV/0!</v>
      </c>
      <c r="BY5882" s="215">
        <f t="shared" si="199"/>
        <v>0</v>
      </c>
    </row>
    <row r="5883" spans="76:77" x14ac:dyDescent="0.2">
      <c r="BX5883" s="214" t="e">
        <f t="shared" si="198"/>
        <v>#DIV/0!</v>
      </c>
      <c r="BY5883" s="215">
        <f t="shared" si="199"/>
        <v>0</v>
      </c>
    </row>
    <row r="5884" spans="76:77" x14ac:dyDescent="0.2">
      <c r="BX5884" s="214" t="e">
        <f t="shared" si="198"/>
        <v>#DIV/0!</v>
      </c>
      <c r="BY5884" s="215">
        <f t="shared" si="199"/>
        <v>0</v>
      </c>
    </row>
    <row r="5885" spans="76:77" x14ac:dyDescent="0.2">
      <c r="BX5885" s="214" t="e">
        <f t="shared" si="198"/>
        <v>#DIV/0!</v>
      </c>
      <c r="BY5885" s="215">
        <f t="shared" si="199"/>
        <v>0</v>
      </c>
    </row>
    <row r="5886" spans="76:77" x14ac:dyDescent="0.2">
      <c r="BX5886" s="214" t="e">
        <f t="shared" si="198"/>
        <v>#DIV/0!</v>
      </c>
      <c r="BY5886" s="215">
        <f t="shared" si="199"/>
        <v>0</v>
      </c>
    </row>
    <row r="5887" spans="76:77" x14ac:dyDescent="0.2">
      <c r="BX5887" s="214" t="e">
        <f t="shared" si="198"/>
        <v>#DIV/0!</v>
      </c>
      <c r="BY5887" s="215">
        <f t="shared" si="199"/>
        <v>0</v>
      </c>
    </row>
    <row r="5888" spans="76:77" x14ac:dyDescent="0.2">
      <c r="BX5888" s="214" t="e">
        <f t="shared" si="198"/>
        <v>#DIV/0!</v>
      </c>
      <c r="BY5888" s="215">
        <f t="shared" si="199"/>
        <v>0</v>
      </c>
    </row>
    <row r="5889" spans="76:77" x14ac:dyDescent="0.2">
      <c r="BX5889" s="214" t="e">
        <f t="shared" si="198"/>
        <v>#DIV/0!</v>
      </c>
      <c r="BY5889" s="215">
        <f t="shared" si="199"/>
        <v>0</v>
      </c>
    </row>
    <row r="5890" spans="76:77" x14ac:dyDescent="0.2">
      <c r="BX5890" s="214" t="e">
        <f t="shared" si="198"/>
        <v>#DIV/0!</v>
      </c>
      <c r="BY5890" s="215">
        <f t="shared" si="199"/>
        <v>0</v>
      </c>
    </row>
    <row r="5891" spans="76:77" x14ac:dyDescent="0.2">
      <c r="BX5891" s="214" t="e">
        <f t="shared" si="198"/>
        <v>#DIV/0!</v>
      </c>
      <c r="BY5891" s="215">
        <f t="shared" si="199"/>
        <v>0</v>
      </c>
    </row>
    <row r="5892" spans="76:77" x14ac:dyDescent="0.2">
      <c r="BX5892" s="214" t="e">
        <f t="shared" si="198"/>
        <v>#DIV/0!</v>
      </c>
      <c r="BY5892" s="215">
        <f t="shared" si="199"/>
        <v>0</v>
      </c>
    </row>
    <row r="5893" spans="76:77" x14ac:dyDescent="0.2">
      <c r="BX5893" s="214" t="e">
        <f t="shared" si="198"/>
        <v>#DIV/0!</v>
      </c>
      <c r="BY5893" s="215">
        <f t="shared" si="199"/>
        <v>0</v>
      </c>
    </row>
    <row r="5894" spans="76:77" x14ac:dyDescent="0.2">
      <c r="BX5894" s="214" t="e">
        <f t="shared" si="198"/>
        <v>#DIV/0!</v>
      </c>
      <c r="BY5894" s="215">
        <f t="shared" si="199"/>
        <v>0</v>
      </c>
    </row>
    <row r="5895" spans="76:77" x14ac:dyDescent="0.2">
      <c r="BX5895" s="214" t="e">
        <f t="shared" si="198"/>
        <v>#DIV/0!</v>
      </c>
      <c r="BY5895" s="215">
        <f t="shared" si="199"/>
        <v>0</v>
      </c>
    </row>
    <row r="5896" spans="76:77" x14ac:dyDescent="0.2">
      <c r="BX5896" s="214" t="e">
        <f t="shared" si="198"/>
        <v>#DIV/0!</v>
      </c>
      <c r="BY5896" s="215">
        <f t="shared" si="199"/>
        <v>0</v>
      </c>
    </row>
    <row r="5897" spans="76:77" x14ac:dyDescent="0.2">
      <c r="BX5897" s="214" t="e">
        <f t="shared" si="198"/>
        <v>#DIV/0!</v>
      </c>
      <c r="BY5897" s="215">
        <f t="shared" si="199"/>
        <v>0</v>
      </c>
    </row>
    <row r="5898" spans="76:77" x14ac:dyDescent="0.2">
      <c r="BX5898" s="214" t="e">
        <f t="shared" si="198"/>
        <v>#DIV/0!</v>
      </c>
      <c r="BY5898" s="215">
        <f t="shared" si="199"/>
        <v>0</v>
      </c>
    </row>
    <row r="5899" spans="76:77" x14ac:dyDescent="0.2">
      <c r="BX5899" s="214" t="e">
        <f t="shared" si="198"/>
        <v>#DIV/0!</v>
      </c>
      <c r="BY5899" s="215">
        <f t="shared" si="199"/>
        <v>0</v>
      </c>
    </row>
    <row r="5900" spans="76:77" x14ac:dyDescent="0.2">
      <c r="BX5900" s="214" t="e">
        <f t="shared" si="198"/>
        <v>#DIV/0!</v>
      </c>
      <c r="BY5900" s="215">
        <f t="shared" si="199"/>
        <v>0</v>
      </c>
    </row>
    <row r="5901" spans="76:77" x14ac:dyDescent="0.2">
      <c r="BX5901" s="214" t="e">
        <f t="shared" ref="BX5901:BX5964" si="200">BY5901/BV5901</f>
        <v>#DIV/0!</v>
      </c>
      <c r="BY5901" s="215">
        <f t="shared" si="199"/>
        <v>0</v>
      </c>
    </row>
    <row r="5902" spans="76:77" x14ac:dyDescent="0.2">
      <c r="BX5902" s="214" t="e">
        <f t="shared" si="200"/>
        <v>#DIV/0!</v>
      </c>
      <c r="BY5902" s="215">
        <f t="shared" ref="BY5902:BY5965" si="201">BY5901+BW5902*(BV5902-BV5901)</f>
        <v>0</v>
      </c>
    </row>
    <row r="5903" spans="76:77" x14ac:dyDescent="0.2">
      <c r="BX5903" s="214" t="e">
        <f t="shared" si="200"/>
        <v>#DIV/0!</v>
      </c>
      <c r="BY5903" s="215">
        <f t="shared" si="201"/>
        <v>0</v>
      </c>
    </row>
    <row r="5904" spans="76:77" x14ac:dyDescent="0.2">
      <c r="BX5904" s="214" t="e">
        <f t="shared" si="200"/>
        <v>#DIV/0!</v>
      </c>
      <c r="BY5904" s="215">
        <f t="shared" si="201"/>
        <v>0</v>
      </c>
    </row>
    <row r="5905" spans="76:77" x14ac:dyDescent="0.2">
      <c r="BX5905" s="214" t="e">
        <f t="shared" si="200"/>
        <v>#DIV/0!</v>
      </c>
      <c r="BY5905" s="215">
        <f t="shared" si="201"/>
        <v>0</v>
      </c>
    </row>
    <row r="5906" spans="76:77" x14ac:dyDescent="0.2">
      <c r="BX5906" s="214" t="e">
        <f t="shared" si="200"/>
        <v>#DIV/0!</v>
      </c>
      <c r="BY5906" s="215">
        <f t="shared" si="201"/>
        <v>0</v>
      </c>
    </row>
    <row r="5907" spans="76:77" x14ac:dyDescent="0.2">
      <c r="BX5907" s="214" t="e">
        <f t="shared" si="200"/>
        <v>#DIV/0!</v>
      </c>
      <c r="BY5907" s="215">
        <f t="shared" si="201"/>
        <v>0</v>
      </c>
    </row>
    <row r="5908" spans="76:77" x14ac:dyDescent="0.2">
      <c r="BX5908" s="214" t="e">
        <f t="shared" si="200"/>
        <v>#DIV/0!</v>
      </c>
      <c r="BY5908" s="215">
        <f t="shared" si="201"/>
        <v>0</v>
      </c>
    </row>
    <row r="5909" spans="76:77" x14ac:dyDescent="0.2">
      <c r="BX5909" s="214" t="e">
        <f t="shared" si="200"/>
        <v>#DIV/0!</v>
      </c>
      <c r="BY5909" s="215">
        <f t="shared" si="201"/>
        <v>0</v>
      </c>
    </row>
    <row r="5910" spans="76:77" x14ac:dyDescent="0.2">
      <c r="BX5910" s="214" t="e">
        <f t="shared" si="200"/>
        <v>#DIV/0!</v>
      </c>
      <c r="BY5910" s="215">
        <f t="shared" si="201"/>
        <v>0</v>
      </c>
    </row>
    <row r="5911" spans="76:77" x14ac:dyDescent="0.2">
      <c r="BX5911" s="214" t="e">
        <f t="shared" si="200"/>
        <v>#DIV/0!</v>
      </c>
      <c r="BY5911" s="215">
        <f t="shared" si="201"/>
        <v>0</v>
      </c>
    </row>
    <row r="5912" spans="76:77" x14ac:dyDescent="0.2">
      <c r="BX5912" s="214" t="e">
        <f t="shared" si="200"/>
        <v>#DIV/0!</v>
      </c>
      <c r="BY5912" s="215">
        <f t="shared" si="201"/>
        <v>0</v>
      </c>
    </row>
    <row r="5913" spans="76:77" x14ac:dyDescent="0.2">
      <c r="BX5913" s="214" t="e">
        <f t="shared" si="200"/>
        <v>#DIV/0!</v>
      </c>
      <c r="BY5913" s="215">
        <f t="shared" si="201"/>
        <v>0</v>
      </c>
    </row>
    <row r="5914" spans="76:77" x14ac:dyDescent="0.2">
      <c r="BX5914" s="214" t="e">
        <f t="shared" si="200"/>
        <v>#DIV/0!</v>
      </c>
      <c r="BY5914" s="215">
        <f t="shared" si="201"/>
        <v>0</v>
      </c>
    </row>
    <row r="5915" spans="76:77" x14ac:dyDescent="0.2">
      <c r="BX5915" s="214" t="e">
        <f t="shared" si="200"/>
        <v>#DIV/0!</v>
      </c>
      <c r="BY5915" s="215">
        <f t="shared" si="201"/>
        <v>0</v>
      </c>
    </row>
    <row r="5916" spans="76:77" x14ac:dyDescent="0.2">
      <c r="BX5916" s="214" t="e">
        <f t="shared" si="200"/>
        <v>#DIV/0!</v>
      </c>
      <c r="BY5916" s="215">
        <f t="shared" si="201"/>
        <v>0</v>
      </c>
    </row>
    <row r="5917" spans="76:77" x14ac:dyDescent="0.2">
      <c r="BX5917" s="214" t="e">
        <f t="shared" si="200"/>
        <v>#DIV/0!</v>
      </c>
      <c r="BY5917" s="215">
        <f t="shared" si="201"/>
        <v>0</v>
      </c>
    </row>
    <row r="5918" spans="76:77" x14ac:dyDescent="0.2">
      <c r="BX5918" s="214" t="e">
        <f t="shared" si="200"/>
        <v>#DIV/0!</v>
      </c>
      <c r="BY5918" s="215">
        <f t="shared" si="201"/>
        <v>0</v>
      </c>
    </row>
    <row r="5919" spans="76:77" x14ac:dyDescent="0.2">
      <c r="BX5919" s="214" t="e">
        <f t="shared" si="200"/>
        <v>#DIV/0!</v>
      </c>
      <c r="BY5919" s="215">
        <f t="shared" si="201"/>
        <v>0</v>
      </c>
    </row>
    <row r="5920" spans="76:77" x14ac:dyDescent="0.2">
      <c r="BX5920" s="214" t="e">
        <f t="shared" si="200"/>
        <v>#DIV/0!</v>
      </c>
      <c r="BY5920" s="215">
        <f t="shared" si="201"/>
        <v>0</v>
      </c>
    </row>
    <row r="5921" spans="76:77" x14ac:dyDescent="0.2">
      <c r="BX5921" s="214" t="e">
        <f t="shared" si="200"/>
        <v>#DIV/0!</v>
      </c>
      <c r="BY5921" s="215">
        <f t="shared" si="201"/>
        <v>0</v>
      </c>
    </row>
    <row r="5922" spans="76:77" x14ac:dyDescent="0.2">
      <c r="BX5922" s="214" t="e">
        <f t="shared" si="200"/>
        <v>#DIV/0!</v>
      </c>
      <c r="BY5922" s="215">
        <f t="shared" si="201"/>
        <v>0</v>
      </c>
    </row>
    <row r="5923" spans="76:77" x14ac:dyDescent="0.2">
      <c r="BX5923" s="214" t="e">
        <f t="shared" si="200"/>
        <v>#DIV/0!</v>
      </c>
      <c r="BY5923" s="215">
        <f t="shared" si="201"/>
        <v>0</v>
      </c>
    </row>
    <row r="5924" spans="76:77" x14ac:dyDescent="0.2">
      <c r="BX5924" s="214" t="e">
        <f t="shared" si="200"/>
        <v>#DIV/0!</v>
      </c>
      <c r="BY5924" s="215">
        <f t="shared" si="201"/>
        <v>0</v>
      </c>
    </row>
    <row r="5925" spans="76:77" x14ac:dyDescent="0.2">
      <c r="BX5925" s="214" t="e">
        <f t="shared" si="200"/>
        <v>#DIV/0!</v>
      </c>
      <c r="BY5925" s="215">
        <f t="shared" si="201"/>
        <v>0</v>
      </c>
    </row>
    <row r="5926" spans="76:77" x14ac:dyDescent="0.2">
      <c r="BX5926" s="214" t="e">
        <f t="shared" si="200"/>
        <v>#DIV/0!</v>
      </c>
      <c r="BY5926" s="215">
        <f t="shared" si="201"/>
        <v>0</v>
      </c>
    </row>
    <row r="5927" spans="76:77" x14ac:dyDescent="0.2">
      <c r="BX5927" s="214" t="e">
        <f t="shared" si="200"/>
        <v>#DIV/0!</v>
      </c>
      <c r="BY5927" s="215">
        <f t="shared" si="201"/>
        <v>0</v>
      </c>
    </row>
    <row r="5928" spans="76:77" x14ac:dyDescent="0.2">
      <c r="BX5928" s="214" t="e">
        <f t="shared" si="200"/>
        <v>#DIV/0!</v>
      </c>
      <c r="BY5928" s="215">
        <f t="shared" si="201"/>
        <v>0</v>
      </c>
    </row>
    <row r="5929" spans="76:77" x14ac:dyDescent="0.2">
      <c r="BX5929" s="214" t="e">
        <f t="shared" si="200"/>
        <v>#DIV/0!</v>
      </c>
      <c r="BY5929" s="215">
        <f t="shared" si="201"/>
        <v>0</v>
      </c>
    </row>
    <row r="5930" spans="76:77" x14ac:dyDescent="0.2">
      <c r="BX5930" s="214" t="e">
        <f t="shared" si="200"/>
        <v>#DIV/0!</v>
      </c>
      <c r="BY5930" s="215">
        <f t="shared" si="201"/>
        <v>0</v>
      </c>
    </row>
    <row r="5931" spans="76:77" x14ac:dyDescent="0.2">
      <c r="BX5931" s="214" t="e">
        <f t="shared" si="200"/>
        <v>#DIV/0!</v>
      </c>
      <c r="BY5931" s="215">
        <f t="shared" si="201"/>
        <v>0</v>
      </c>
    </row>
    <row r="5932" spans="76:77" x14ac:dyDescent="0.2">
      <c r="BX5932" s="214" t="e">
        <f t="shared" si="200"/>
        <v>#DIV/0!</v>
      </c>
      <c r="BY5932" s="215">
        <f t="shared" si="201"/>
        <v>0</v>
      </c>
    </row>
    <row r="5933" spans="76:77" x14ac:dyDescent="0.2">
      <c r="BX5933" s="214" t="e">
        <f t="shared" si="200"/>
        <v>#DIV/0!</v>
      </c>
      <c r="BY5933" s="215">
        <f t="shared" si="201"/>
        <v>0</v>
      </c>
    </row>
    <row r="5934" spans="76:77" x14ac:dyDescent="0.2">
      <c r="BX5934" s="214" t="e">
        <f t="shared" si="200"/>
        <v>#DIV/0!</v>
      </c>
      <c r="BY5934" s="215">
        <f t="shared" si="201"/>
        <v>0</v>
      </c>
    </row>
    <row r="5935" spans="76:77" x14ac:dyDescent="0.2">
      <c r="BX5935" s="214" t="e">
        <f t="shared" si="200"/>
        <v>#DIV/0!</v>
      </c>
      <c r="BY5935" s="215">
        <f t="shared" si="201"/>
        <v>0</v>
      </c>
    </row>
    <row r="5936" spans="76:77" x14ac:dyDescent="0.2">
      <c r="BX5936" s="214" t="e">
        <f t="shared" si="200"/>
        <v>#DIV/0!</v>
      </c>
      <c r="BY5936" s="215">
        <f t="shared" si="201"/>
        <v>0</v>
      </c>
    </row>
    <row r="5937" spans="76:77" x14ac:dyDescent="0.2">
      <c r="BX5937" s="214" t="e">
        <f t="shared" si="200"/>
        <v>#DIV/0!</v>
      </c>
      <c r="BY5937" s="215">
        <f t="shared" si="201"/>
        <v>0</v>
      </c>
    </row>
    <row r="5938" spans="76:77" x14ac:dyDescent="0.2">
      <c r="BX5938" s="214" t="e">
        <f t="shared" si="200"/>
        <v>#DIV/0!</v>
      </c>
      <c r="BY5938" s="215">
        <f t="shared" si="201"/>
        <v>0</v>
      </c>
    </row>
    <row r="5939" spans="76:77" x14ac:dyDescent="0.2">
      <c r="BX5939" s="214" t="e">
        <f t="shared" si="200"/>
        <v>#DIV/0!</v>
      </c>
      <c r="BY5939" s="215">
        <f t="shared" si="201"/>
        <v>0</v>
      </c>
    </row>
    <row r="5940" spans="76:77" x14ac:dyDescent="0.2">
      <c r="BX5940" s="214" t="e">
        <f t="shared" si="200"/>
        <v>#DIV/0!</v>
      </c>
      <c r="BY5940" s="215">
        <f t="shared" si="201"/>
        <v>0</v>
      </c>
    </row>
    <row r="5941" spans="76:77" x14ac:dyDescent="0.2">
      <c r="BX5941" s="214" t="e">
        <f t="shared" si="200"/>
        <v>#DIV/0!</v>
      </c>
      <c r="BY5941" s="215">
        <f t="shared" si="201"/>
        <v>0</v>
      </c>
    </row>
    <row r="5942" spans="76:77" x14ac:dyDescent="0.2">
      <c r="BX5942" s="214" t="e">
        <f t="shared" si="200"/>
        <v>#DIV/0!</v>
      </c>
      <c r="BY5942" s="215">
        <f t="shared" si="201"/>
        <v>0</v>
      </c>
    </row>
    <row r="5943" spans="76:77" x14ac:dyDescent="0.2">
      <c r="BX5943" s="214" t="e">
        <f t="shared" si="200"/>
        <v>#DIV/0!</v>
      </c>
      <c r="BY5943" s="215">
        <f t="shared" si="201"/>
        <v>0</v>
      </c>
    </row>
    <row r="5944" spans="76:77" x14ac:dyDescent="0.2">
      <c r="BX5944" s="214" t="e">
        <f t="shared" si="200"/>
        <v>#DIV/0!</v>
      </c>
      <c r="BY5944" s="215">
        <f t="shared" si="201"/>
        <v>0</v>
      </c>
    </row>
    <row r="5945" spans="76:77" x14ac:dyDescent="0.2">
      <c r="BX5945" s="214" t="e">
        <f t="shared" si="200"/>
        <v>#DIV/0!</v>
      </c>
      <c r="BY5945" s="215">
        <f t="shared" si="201"/>
        <v>0</v>
      </c>
    </row>
    <row r="5946" spans="76:77" x14ac:dyDescent="0.2">
      <c r="BX5946" s="214" t="e">
        <f t="shared" si="200"/>
        <v>#DIV/0!</v>
      </c>
      <c r="BY5946" s="215">
        <f t="shared" si="201"/>
        <v>0</v>
      </c>
    </row>
    <row r="5947" spans="76:77" x14ac:dyDescent="0.2">
      <c r="BX5947" s="214" t="e">
        <f t="shared" si="200"/>
        <v>#DIV/0!</v>
      </c>
      <c r="BY5947" s="215">
        <f t="shared" si="201"/>
        <v>0</v>
      </c>
    </row>
    <row r="5948" spans="76:77" x14ac:dyDescent="0.2">
      <c r="BX5948" s="214" t="e">
        <f t="shared" si="200"/>
        <v>#DIV/0!</v>
      </c>
      <c r="BY5948" s="215">
        <f t="shared" si="201"/>
        <v>0</v>
      </c>
    </row>
    <row r="5949" spans="76:77" x14ac:dyDescent="0.2">
      <c r="BX5949" s="214" t="e">
        <f t="shared" si="200"/>
        <v>#DIV/0!</v>
      </c>
      <c r="BY5949" s="215">
        <f t="shared" si="201"/>
        <v>0</v>
      </c>
    </row>
    <row r="5950" spans="76:77" x14ac:dyDescent="0.2">
      <c r="BX5950" s="214" t="e">
        <f t="shared" si="200"/>
        <v>#DIV/0!</v>
      </c>
      <c r="BY5950" s="215">
        <f t="shared" si="201"/>
        <v>0</v>
      </c>
    </row>
    <row r="5951" spans="76:77" x14ac:dyDescent="0.2">
      <c r="BX5951" s="214" t="e">
        <f t="shared" si="200"/>
        <v>#DIV/0!</v>
      </c>
      <c r="BY5951" s="215">
        <f t="shared" si="201"/>
        <v>0</v>
      </c>
    </row>
    <row r="5952" spans="76:77" x14ac:dyDescent="0.2">
      <c r="BX5952" s="214" t="e">
        <f t="shared" si="200"/>
        <v>#DIV/0!</v>
      </c>
      <c r="BY5952" s="215">
        <f t="shared" si="201"/>
        <v>0</v>
      </c>
    </row>
    <row r="5953" spans="76:77" x14ac:dyDescent="0.2">
      <c r="BX5953" s="214" t="e">
        <f t="shared" si="200"/>
        <v>#DIV/0!</v>
      </c>
      <c r="BY5953" s="215">
        <f t="shared" si="201"/>
        <v>0</v>
      </c>
    </row>
    <row r="5954" spans="76:77" x14ac:dyDescent="0.2">
      <c r="BX5954" s="214" t="e">
        <f t="shared" si="200"/>
        <v>#DIV/0!</v>
      </c>
      <c r="BY5954" s="215">
        <f t="shared" si="201"/>
        <v>0</v>
      </c>
    </row>
    <row r="5955" spans="76:77" x14ac:dyDescent="0.2">
      <c r="BX5955" s="214" t="e">
        <f t="shared" si="200"/>
        <v>#DIV/0!</v>
      </c>
      <c r="BY5955" s="215">
        <f t="shared" si="201"/>
        <v>0</v>
      </c>
    </row>
    <row r="5956" spans="76:77" x14ac:dyDescent="0.2">
      <c r="BX5956" s="214" t="e">
        <f t="shared" si="200"/>
        <v>#DIV/0!</v>
      </c>
      <c r="BY5956" s="215">
        <f t="shared" si="201"/>
        <v>0</v>
      </c>
    </row>
    <row r="5957" spans="76:77" x14ac:dyDescent="0.2">
      <c r="BX5957" s="214" t="e">
        <f t="shared" si="200"/>
        <v>#DIV/0!</v>
      </c>
      <c r="BY5957" s="215">
        <f t="shared" si="201"/>
        <v>0</v>
      </c>
    </row>
    <row r="5958" spans="76:77" x14ac:dyDescent="0.2">
      <c r="BX5958" s="214" t="e">
        <f t="shared" si="200"/>
        <v>#DIV/0!</v>
      </c>
      <c r="BY5958" s="215">
        <f t="shared" si="201"/>
        <v>0</v>
      </c>
    </row>
    <row r="5959" spans="76:77" x14ac:dyDescent="0.2">
      <c r="BX5959" s="214" t="e">
        <f t="shared" si="200"/>
        <v>#DIV/0!</v>
      </c>
      <c r="BY5959" s="215">
        <f t="shared" si="201"/>
        <v>0</v>
      </c>
    </row>
    <row r="5960" spans="76:77" x14ac:dyDescent="0.2">
      <c r="BX5960" s="214" t="e">
        <f t="shared" si="200"/>
        <v>#DIV/0!</v>
      </c>
      <c r="BY5960" s="215">
        <f t="shared" si="201"/>
        <v>0</v>
      </c>
    </row>
    <row r="5961" spans="76:77" x14ac:dyDescent="0.2">
      <c r="BX5961" s="214" t="e">
        <f t="shared" si="200"/>
        <v>#DIV/0!</v>
      </c>
      <c r="BY5961" s="215">
        <f t="shared" si="201"/>
        <v>0</v>
      </c>
    </row>
    <row r="5962" spans="76:77" x14ac:dyDescent="0.2">
      <c r="BX5962" s="214" t="e">
        <f t="shared" si="200"/>
        <v>#DIV/0!</v>
      </c>
      <c r="BY5962" s="215">
        <f t="shared" si="201"/>
        <v>0</v>
      </c>
    </row>
    <row r="5963" spans="76:77" x14ac:dyDescent="0.2">
      <c r="BX5963" s="214" t="e">
        <f t="shared" si="200"/>
        <v>#DIV/0!</v>
      </c>
      <c r="BY5963" s="215">
        <f t="shared" si="201"/>
        <v>0</v>
      </c>
    </row>
    <row r="5964" spans="76:77" x14ac:dyDescent="0.2">
      <c r="BX5964" s="214" t="e">
        <f t="shared" si="200"/>
        <v>#DIV/0!</v>
      </c>
      <c r="BY5964" s="215">
        <f t="shared" si="201"/>
        <v>0</v>
      </c>
    </row>
    <row r="5965" spans="76:77" x14ac:dyDescent="0.2">
      <c r="BX5965" s="214" t="e">
        <f t="shared" ref="BX5965:BX6028" si="202">BY5965/BV5965</f>
        <v>#DIV/0!</v>
      </c>
      <c r="BY5965" s="215">
        <f t="shared" si="201"/>
        <v>0</v>
      </c>
    </row>
    <row r="5966" spans="76:77" x14ac:dyDescent="0.2">
      <c r="BX5966" s="214" t="e">
        <f t="shared" si="202"/>
        <v>#DIV/0!</v>
      </c>
      <c r="BY5966" s="215">
        <f t="shared" ref="BY5966:BY6029" si="203">BY5965+BW5966*(BV5966-BV5965)</f>
        <v>0</v>
      </c>
    </row>
    <row r="5967" spans="76:77" x14ac:dyDescent="0.2">
      <c r="BX5967" s="214" t="e">
        <f t="shared" si="202"/>
        <v>#DIV/0!</v>
      </c>
      <c r="BY5967" s="215">
        <f t="shared" si="203"/>
        <v>0</v>
      </c>
    </row>
    <row r="5968" spans="76:77" x14ac:dyDescent="0.2">
      <c r="BX5968" s="214" t="e">
        <f t="shared" si="202"/>
        <v>#DIV/0!</v>
      </c>
      <c r="BY5968" s="215">
        <f t="shared" si="203"/>
        <v>0</v>
      </c>
    </row>
    <row r="5969" spans="76:77" x14ac:dyDescent="0.2">
      <c r="BX5969" s="214" t="e">
        <f t="shared" si="202"/>
        <v>#DIV/0!</v>
      </c>
      <c r="BY5969" s="215">
        <f t="shared" si="203"/>
        <v>0</v>
      </c>
    </row>
    <row r="5970" spans="76:77" x14ac:dyDescent="0.2">
      <c r="BX5970" s="214" t="e">
        <f t="shared" si="202"/>
        <v>#DIV/0!</v>
      </c>
      <c r="BY5970" s="215">
        <f t="shared" si="203"/>
        <v>0</v>
      </c>
    </row>
    <row r="5971" spans="76:77" x14ac:dyDescent="0.2">
      <c r="BX5971" s="214" t="e">
        <f t="shared" si="202"/>
        <v>#DIV/0!</v>
      </c>
      <c r="BY5971" s="215">
        <f t="shared" si="203"/>
        <v>0</v>
      </c>
    </row>
    <row r="5972" spans="76:77" x14ac:dyDescent="0.2">
      <c r="BX5972" s="214" t="e">
        <f t="shared" si="202"/>
        <v>#DIV/0!</v>
      </c>
      <c r="BY5972" s="215">
        <f t="shared" si="203"/>
        <v>0</v>
      </c>
    </row>
    <row r="5973" spans="76:77" x14ac:dyDescent="0.2">
      <c r="BX5973" s="214" t="e">
        <f t="shared" si="202"/>
        <v>#DIV/0!</v>
      </c>
      <c r="BY5973" s="215">
        <f t="shared" si="203"/>
        <v>0</v>
      </c>
    </row>
    <row r="5974" spans="76:77" x14ac:dyDescent="0.2">
      <c r="BX5974" s="214" t="e">
        <f t="shared" si="202"/>
        <v>#DIV/0!</v>
      </c>
      <c r="BY5974" s="215">
        <f t="shared" si="203"/>
        <v>0</v>
      </c>
    </row>
    <row r="5975" spans="76:77" x14ac:dyDescent="0.2">
      <c r="BX5975" s="214" t="e">
        <f t="shared" si="202"/>
        <v>#DIV/0!</v>
      </c>
      <c r="BY5975" s="215">
        <f t="shared" si="203"/>
        <v>0</v>
      </c>
    </row>
    <row r="5976" spans="76:77" x14ac:dyDescent="0.2">
      <c r="BX5976" s="214" t="e">
        <f t="shared" si="202"/>
        <v>#DIV/0!</v>
      </c>
      <c r="BY5976" s="215">
        <f t="shared" si="203"/>
        <v>0</v>
      </c>
    </row>
    <row r="5977" spans="76:77" x14ac:dyDescent="0.2">
      <c r="BX5977" s="214" t="e">
        <f t="shared" si="202"/>
        <v>#DIV/0!</v>
      </c>
      <c r="BY5977" s="215">
        <f t="shared" si="203"/>
        <v>0</v>
      </c>
    </row>
    <row r="5978" spans="76:77" x14ac:dyDescent="0.2">
      <c r="BX5978" s="214" t="e">
        <f t="shared" si="202"/>
        <v>#DIV/0!</v>
      </c>
      <c r="BY5978" s="215">
        <f t="shared" si="203"/>
        <v>0</v>
      </c>
    </row>
    <row r="5979" spans="76:77" x14ac:dyDescent="0.2">
      <c r="BX5979" s="214" t="e">
        <f t="shared" si="202"/>
        <v>#DIV/0!</v>
      </c>
      <c r="BY5979" s="215">
        <f t="shared" si="203"/>
        <v>0</v>
      </c>
    </row>
    <row r="5980" spans="76:77" x14ac:dyDescent="0.2">
      <c r="BX5980" s="214" t="e">
        <f t="shared" si="202"/>
        <v>#DIV/0!</v>
      </c>
      <c r="BY5980" s="215">
        <f t="shared" si="203"/>
        <v>0</v>
      </c>
    </row>
    <row r="5981" spans="76:77" x14ac:dyDescent="0.2">
      <c r="BX5981" s="214" t="e">
        <f t="shared" si="202"/>
        <v>#DIV/0!</v>
      </c>
      <c r="BY5981" s="215">
        <f t="shared" si="203"/>
        <v>0</v>
      </c>
    </row>
    <row r="5982" spans="76:77" x14ac:dyDescent="0.2">
      <c r="BX5982" s="214" t="e">
        <f t="shared" si="202"/>
        <v>#DIV/0!</v>
      </c>
      <c r="BY5982" s="215">
        <f t="shared" si="203"/>
        <v>0</v>
      </c>
    </row>
    <row r="5983" spans="76:77" x14ac:dyDescent="0.2">
      <c r="BX5983" s="214" t="e">
        <f t="shared" si="202"/>
        <v>#DIV/0!</v>
      </c>
      <c r="BY5983" s="215">
        <f t="shared" si="203"/>
        <v>0</v>
      </c>
    </row>
    <row r="5984" spans="76:77" x14ac:dyDescent="0.2">
      <c r="BX5984" s="214" t="e">
        <f t="shared" si="202"/>
        <v>#DIV/0!</v>
      </c>
      <c r="BY5984" s="215">
        <f t="shared" si="203"/>
        <v>0</v>
      </c>
    </row>
    <row r="5985" spans="76:77" x14ac:dyDescent="0.2">
      <c r="BX5985" s="214" t="e">
        <f t="shared" si="202"/>
        <v>#DIV/0!</v>
      </c>
      <c r="BY5985" s="215">
        <f t="shared" si="203"/>
        <v>0</v>
      </c>
    </row>
    <row r="5986" spans="76:77" x14ac:dyDescent="0.2">
      <c r="BX5986" s="214" t="e">
        <f t="shared" si="202"/>
        <v>#DIV/0!</v>
      </c>
      <c r="BY5986" s="215">
        <f t="shared" si="203"/>
        <v>0</v>
      </c>
    </row>
    <row r="5987" spans="76:77" x14ac:dyDescent="0.2">
      <c r="BX5987" s="214" t="e">
        <f t="shared" si="202"/>
        <v>#DIV/0!</v>
      </c>
      <c r="BY5987" s="215">
        <f t="shared" si="203"/>
        <v>0</v>
      </c>
    </row>
    <row r="5988" spans="76:77" x14ac:dyDescent="0.2">
      <c r="BX5988" s="214" t="e">
        <f t="shared" si="202"/>
        <v>#DIV/0!</v>
      </c>
      <c r="BY5988" s="215">
        <f t="shared" si="203"/>
        <v>0</v>
      </c>
    </row>
    <row r="5989" spans="76:77" x14ac:dyDescent="0.2">
      <c r="BX5989" s="214" t="e">
        <f t="shared" si="202"/>
        <v>#DIV/0!</v>
      </c>
      <c r="BY5989" s="215">
        <f t="shared" si="203"/>
        <v>0</v>
      </c>
    </row>
    <row r="5990" spans="76:77" x14ac:dyDescent="0.2">
      <c r="BX5990" s="214" t="e">
        <f t="shared" si="202"/>
        <v>#DIV/0!</v>
      </c>
      <c r="BY5990" s="215">
        <f t="shared" si="203"/>
        <v>0</v>
      </c>
    </row>
    <row r="5991" spans="76:77" x14ac:dyDescent="0.2">
      <c r="BX5991" s="214" t="e">
        <f t="shared" si="202"/>
        <v>#DIV/0!</v>
      </c>
      <c r="BY5991" s="215">
        <f t="shared" si="203"/>
        <v>0</v>
      </c>
    </row>
    <row r="5992" spans="76:77" x14ac:dyDescent="0.2">
      <c r="BX5992" s="214" t="e">
        <f t="shared" si="202"/>
        <v>#DIV/0!</v>
      </c>
      <c r="BY5992" s="215">
        <f t="shared" si="203"/>
        <v>0</v>
      </c>
    </row>
    <row r="5993" spans="76:77" x14ac:dyDescent="0.2">
      <c r="BX5993" s="214" t="e">
        <f t="shared" si="202"/>
        <v>#DIV/0!</v>
      </c>
      <c r="BY5993" s="215">
        <f t="shared" si="203"/>
        <v>0</v>
      </c>
    </row>
    <row r="5994" spans="76:77" x14ac:dyDescent="0.2">
      <c r="BX5994" s="214" t="e">
        <f t="shared" si="202"/>
        <v>#DIV/0!</v>
      </c>
      <c r="BY5994" s="215">
        <f t="shared" si="203"/>
        <v>0</v>
      </c>
    </row>
    <row r="5995" spans="76:77" x14ac:dyDescent="0.2">
      <c r="BX5995" s="214" t="e">
        <f t="shared" si="202"/>
        <v>#DIV/0!</v>
      </c>
      <c r="BY5995" s="215">
        <f t="shared" si="203"/>
        <v>0</v>
      </c>
    </row>
    <row r="5996" spans="76:77" x14ac:dyDescent="0.2">
      <c r="BX5996" s="214" t="e">
        <f t="shared" si="202"/>
        <v>#DIV/0!</v>
      </c>
      <c r="BY5996" s="215">
        <f t="shared" si="203"/>
        <v>0</v>
      </c>
    </row>
    <row r="5997" spans="76:77" x14ac:dyDescent="0.2">
      <c r="BX5997" s="214" t="e">
        <f t="shared" si="202"/>
        <v>#DIV/0!</v>
      </c>
      <c r="BY5997" s="215">
        <f t="shared" si="203"/>
        <v>0</v>
      </c>
    </row>
    <row r="5998" spans="76:77" x14ac:dyDescent="0.2">
      <c r="BX5998" s="214" t="e">
        <f t="shared" si="202"/>
        <v>#DIV/0!</v>
      </c>
      <c r="BY5998" s="215">
        <f t="shared" si="203"/>
        <v>0</v>
      </c>
    </row>
    <row r="5999" spans="76:77" x14ac:dyDescent="0.2">
      <c r="BX5999" s="214" t="e">
        <f t="shared" si="202"/>
        <v>#DIV/0!</v>
      </c>
      <c r="BY5999" s="215">
        <f t="shared" si="203"/>
        <v>0</v>
      </c>
    </row>
    <row r="6000" spans="76:77" x14ac:dyDescent="0.2">
      <c r="BX6000" s="214" t="e">
        <f t="shared" si="202"/>
        <v>#DIV/0!</v>
      </c>
      <c r="BY6000" s="215">
        <f t="shared" si="203"/>
        <v>0</v>
      </c>
    </row>
    <row r="6001" spans="76:77" x14ac:dyDescent="0.2">
      <c r="BX6001" s="214" t="e">
        <f t="shared" si="202"/>
        <v>#DIV/0!</v>
      </c>
      <c r="BY6001" s="215">
        <f t="shared" si="203"/>
        <v>0</v>
      </c>
    </row>
    <row r="6002" spans="76:77" x14ac:dyDescent="0.2">
      <c r="BX6002" s="214" t="e">
        <f t="shared" si="202"/>
        <v>#DIV/0!</v>
      </c>
      <c r="BY6002" s="215">
        <f t="shared" si="203"/>
        <v>0</v>
      </c>
    </row>
    <row r="6003" spans="76:77" x14ac:dyDescent="0.2">
      <c r="BX6003" s="214" t="e">
        <f t="shared" si="202"/>
        <v>#DIV/0!</v>
      </c>
      <c r="BY6003" s="215">
        <f t="shared" si="203"/>
        <v>0</v>
      </c>
    </row>
    <row r="6004" spans="76:77" x14ac:dyDescent="0.2">
      <c r="BX6004" s="214" t="e">
        <f t="shared" si="202"/>
        <v>#DIV/0!</v>
      </c>
      <c r="BY6004" s="215">
        <f t="shared" si="203"/>
        <v>0</v>
      </c>
    </row>
    <row r="6005" spans="76:77" x14ac:dyDescent="0.2">
      <c r="BX6005" s="214" t="e">
        <f t="shared" si="202"/>
        <v>#DIV/0!</v>
      </c>
      <c r="BY6005" s="215">
        <f t="shared" si="203"/>
        <v>0</v>
      </c>
    </row>
    <row r="6006" spans="76:77" x14ac:dyDescent="0.2">
      <c r="BX6006" s="214" t="e">
        <f t="shared" si="202"/>
        <v>#DIV/0!</v>
      </c>
      <c r="BY6006" s="215">
        <f t="shared" si="203"/>
        <v>0</v>
      </c>
    </row>
    <row r="6007" spans="76:77" x14ac:dyDescent="0.2">
      <c r="BX6007" s="214" t="e">
        <f t="shared" si="202"/>
        <v>#DIV/0!</v>
      </c>
      <c r="BY6007" s="215">
        <f t="shared" si="203"/>
        <v>0</v>
      </c>
    </row>
    <row r="6008" spans="76:77" x14ac:dyDescent="0.2">
      <c r="BX6008" s="214" t="e">
        <f t="shared" si="202"/>
        <v>#DIV/0!</v>
      </c>
      <c r="BY6008" s="215">
        <f t="shared" si="203"/>
        <v>0</v>
      </c>
    </row>
    <row r="6009" spans="76:77" x14ac:dyDescent="0.2">
      <c r="BX6009" s="214" t="e">
        <f t="shared" si="202"/>
        <v>#DIV/0!</v>
      </c>
      <c r="BY6009" s="215">
        <f t="shared" si="203"/>
        <v>0</v>
      </c>
    </row>
    <row r="6010" spans="76:77" x14ac:dyDescent="0.2">
      <c r="BX6010" s="214" t="e">
        <f t="shared" si="202"/>
        <v>#DIV/0!</v>
      </c>
      <c r="BY6010" s="215">
        <f t="shared" si="203"/>
        <v>0</v>
      </c>
    </row>
    <row r="6011" spans="76:77" x14ac:dyDescent="0.2">
      <c r="BX6011" s="214" t="e">
        <f t="shared" si="202"/>
        <v>#DIV/0!</v>
      </c>
      <c r="BY6011" s="215">
        <f t="shared" si="203"/>
        <v>0</v>
      </c>
    </row>
    <row r="6012" spans="76:77" x14ac:dyDescent="0.2">
      <c r="BX6012" s="214" t="e">
        <f t="shared" si="202"/>
        <v>#DIV/0!</v>
      </c>
      <c r="BY6012" s="215">
        <f t="shared" si="203"/>
        <v>0</v>
      </c>
    </row>
    <row r="6013" spans="76:77" x14ac:dyDescent="0.2">
      <c r="BX6013" s="214" t="e">
        <f t="shared" si="202"/>
        <v>#DIV/0!</v>
      </c>
      <c r="BY6013" s="215">
        <f t="shared" si="203"/>
        <v>0</v>
      </c>
    </row>
    <row r="6014" spans="76:77" x14ac:dyDescent="0.2">
      <c r="BX6014" s="214" t="e">
        <f t="shared" si="202"/>
        <v>#DIV/0!</v>
      </c>
      <c r="BY6014" s="215">
        <f t="shared" si="203"/>
        <v>0</v>
      </c>
    </row>
    <row r="6015" spans="76:77" x14ac:dyDescent="0.2">
      <c r="BX6015" s="214" t="e">
        <f t="shared" si="202"/>
        <v>#DIV/0!</v>
      </c>
      <c r="BY6015" s="215">
        <f t="shared" si="203"/>
        <v>0</v>
      </c>
    </row>
    <row r="6016" spans="76:77" x14ac:dyDescent="0.2">
      <c r="BX6016" s="214" t="e">
        <f t="shared" si="202"/>
        <v>#DIV/0!</v>
      </c>
      <c r="BY6016" s="215">
        <f t="shared" si="203"/>
        <v>0</v>
      </c>
    </row>
    <row r="6017" spans="76:77" x14ac:dyDescent="0.2">
      <c r="BX6017" s="214" t="e">
        <f t="shared" si="202"/>
        <v>#DIV/0!</v>
      </c>
      <c r="BY6017" s="215">
        <f t="shared" si="203"/>
        <v>0</v>
      </c>
    </row>
    <row r="6018" spans="76:77" x14ac:dyDescent="0.2">
      <c r="BX6018" s="214" t="e">
        <f t="shared" si="202"/>
        <v>#DIV/0!</v>
      </c>
      <c r="BY6018" s="215">
        <f t="shared" si="203"/>
        <v>0</v>
      </c>
    </row>
    <row r="6019" spans="76:77" x14ac:dyDescent="0.2">
      <c r="BX6019" s="214" t="e">
        <f t="shared" si="202"/>
        <v>#DIV/0!</v>
      </c>
      <c r="BY6019" s="215">
        <f t="shared" si="203"/>
        <v>0</v>
      </c>
    </row>
    <row r="6020" spans="76:77" x14ac:dyDescent="0.2">
      <c r="BX6020" s="214" t="e">
        <f t="shared" si="202"/>
        <v>#DIV/0!</v>
      </c>
      <c r="BY6020" s="215">
        <f t="shared" si="203"/>
        <v>0</v>
      </c>
    </row>
    <row r="6021" spans="76:77" x14ac:dyDescent="0.2">
      <c r="BX6021" s="214" t="e">
        <f t="shared" si="202"/>
        <v>#DIV/0!</v>
      </c>
      <c r="BY6021" s="215">
        <f t="shared" si="203"/>
        <v>0</v>
      </c>
    </row>
    <row r="6022" spans="76:77" x14ac:dyDescent="0.2">
      <c r="BX6022" s="214" t="e">
        <f t="shared" si="202"/>
        <v>#DIV/0!</v>
      </c>
      <c r="BY6022" s="215">
        <f t="shared" si="203"/>
        <v>0</v>
      </c>
    </row>
    <row r="6023" spans="76:77" x14ac:dyDescent="0.2">
      <c r="BX6023" s="214" t="e">
        <f t="shared" si="202"/>
        <v>#DIV/0!</v>
      </c>
      <c r="BY6023" s="215">
        <f t="shared" si="203"/>
        <v>0</v>
      </c>
    </row>
    <row r="6024" spans="76:77" x14ac:dyDescent="0.2">
      <c r="BX6024" s="214" t="e">
        <f t="shared" si="202"/>
        <v>#DIV/0!</v>
      </c>
      <c r="BY6024" s="215">
        <f t="shared" si="203"/>
        <v>0</v>
      </c>
    </row>
    <row r="6025" spans="76:77" x14ac:dyDescent="0.2">
      <c r="BX6025" s="214" t="e">
        <f t="shared" si="202"/>
        <v>#DIV/0!</v>
      </c>
      <c r="BY6025" s="215">
        <f t="shared" si="203"/>
        <v>0</v>
      </c>
    </row>
    <row r="6026" spans="76:77" x14ac:dyDescent="0.2">
      <c r="BX6026" s="214" t="e">
        <f t="shared" si="202"/>
        <v>#DIV/0!</v>
      </c>
      <c r="BY6026" s="215">
        <f t="shared" si="203"/>
        <v>0</v>
      </c>
    </row>
    <row r="6027" spans="76:77" x14ac:dyDescent="0.2">
      <c r="BX6027" s="214" t="e">
        <f t="shared" si="202"/>
        <v>#DIV/0!</v>
      </c>
      <c r="BY6027" s="215">
        <f t="shared" si="203"/>
        <v>0</v>
      </c>
    </row>
    <row r="6028" spans="76:77" x14ac:dyDescent="0.2">
      <c r="BX6028" s="214" t="e">
        <f t="shared" si="202"/>
        <v>#DIV/0!</v>
      </c>
      <c r="BY6028" s="215">
        <f t="shared" si="203"/>
        <v>0</v>
      </c>
    </row>
    <row r="6029" spans="76:77" x14ac:dyDescent="0.2">
      <c r="BX6029" s="214" t="e">
        <f t="shared" ref="BX6029:BX6092" si="204">BY6029/BV6029</f>
        <v>#DIV/0!</v>
      </c>
      <c r="BY6029" s="215">
        <f t="shared" si="203"/>
        <v>0</v>
      </c>
    </row>
    <row r="6030" spans="76:77" x14ac:dyDescent="0.2">
      <c r="BX6030" s="214" t="e">
        <f t="shared" si="204"/>
        <v>#DIV/0!</v>
      </c>
      <c r="BY6030" s="215">
        <f t="shared" ref="BY6030:BY6093" si="205">BY6029+BW6030*(BV6030-BV6029)</f>
        <v>0</v>
      </c>
    </row>
    <row r="6031" spans="76:77" x14ac:dyDescent="0.2">
      <c r="BX6031" s="214" t="e">
        <f t="shared" si="204"/>
        <v>#DIV/0!</v>
      </c>
      <c r="BY6031" s="215">
        <f t="shared" si="205"/>
        <v>0</v>
      </c>
    </row>
    <row r="6032" spans="76:77" x14ac:dyDescent="0.2">
      <c r="BX6032" s="214" t="e">
        <f t="shared" si="204"/>
        <v>#DIV/0!</v>
      </c>
      <c r="BY6032" s="215">
        <f t="shared" si="205"/>
        <v>0</v>
      </c>
    </row>
    <row r="6033" spans="76:77" x14ac:dyDescent="0.2">
      <c r="BX6033" s="214" t="e">
        <f t="shared" si="204"/>
        <v>#DIV/0!</v>
      </c>
      <c r="BY6033" s="215">
        <f t="shared" si="205"/>
        <v>0</v>
      </c>
    </row>
    <row r="6034" spans="76:77" x14ac:dyDescent="0.2">
      <c r="BX6034" s="214" t="e">
        <f t="shared" si="204"/>
        <v>#DIV/0!</v>
      </c>
      <c r="BY6034" s="215">
        <f t="shared" si="205"/>
        <v>0</v>
      </c>
    </row>
    <row r="6035" spans="76:77" x14ac:dyDescent="0.2">
      <c r="BX6035" s="214" t="e">
        <f t="shared" si="204"/>
        <v>#DIV/0!</v>
      </c>
      <c r="BY6035" s="215">
        <f t="shared" si="205"/>
        <v>0</v>
      </c>
    </row>
    <row r="6036" spans="76:77" x14ac:dyDescent="0.2">
      <c r="BX6036" s="214" t="e">
        <f t="shared" si="204"/>
        <v>#DIV/0!</v>
      </c>
      <c r="BY6036" s="215">
        <f t="shared" si="205"/>
        <v>0</v>
      </c>
    </row>
    <row r="6037" spans="76:77" x14ac:dyDescent="0.2">
      <c r="BX6037" s="214" t="e">
        <f t="shared" si="204"/>
        <v>#DIV/0!</v>
      </c>
      <c r="BY6037" s="215">
        <f t="shared" si="205"/>
        <v>0</v>
      </c>
    </row>
    <row r="6038" spans="76:77" x14ac:dyDescent="0.2">
      <c r="BX6038" s="214" t="e">
        <f t="shared" si="204"/>
        <v>#DIV/0!</v>
      </c>
      <c r="BY6038" s="215">
        <f t="shared" si="205"/>
        <v>0</v>
      </c>
    </row>
    <row r="6039" spans="76:77" x14ac:dyDescent="0.2">
      <c r="BX6039" s="214" t="e">
        <f t="shared" si="204"/>
        <v>#DIV/0!</v>
      </c>
      <c r="BY6039" s="215">
        <f t="shared" si="205"/>
        <v>0</v>
      </c>
    </row>
    <row r="6040" spans="76:77" x14ac:dyDescent="0.2">
      <c r="BX6040" s="214" t="e">
        <f t="shared" si="204"/>
        <v>#DIV/0!</v>
      </c>
      <c r="BY6040" s="215">
        <f t="shared" si="205"/>
        <v>0</v>
      </c>
    </row>
    <row r="6041" spans="76:77" x14ac:dyDescent="0.2">
      <c r="BX6041" s="214" t="e">
        <f t="shared" si="204"/>
        <v>#DIV/0!</v>
      </c>
      <c r="BY6041" s="215">
        <f t="shared" si="205"/>
        <v>0</v>
      </c>
    </row>
    <row r="6042" spans="76:77" x14ac:dyDescent="0.2">
      <c r="BX6042" s="214" t="e">
        <f t="shared" si="204"/>
        <v>#DIV/0!</v>
      </c>
      <c r="BY6042" s="215">
        <f t="shared" si="205"/>
        <v>0</v>
      </c>
    </row>
    <row r="6043" spans="76:77" x14ac:dyDescent="0.2">
      <c r="BX6043" s="214" t="e">
        <f t="shared" si="204"/>
        <v>#DIV/0!</v>
      </c>
      <c r="BY6043" s="215">
        <f t="shared" si="205"/>
        <v>0</v>
      </c>
    </row>
    <row r="6044" spans="76:77" x14ac:dyDescent="0.2">
      <c r="BX6044" s="214" t="e">
        <f t="shared" si="204"/>
        <v>#DIV/0!</v>
      </c>
      <c r="BY6044" s="215">
        <f t="shared" si="205"/>
        <v>0</v>
      </c>
    </row>
    <row r="6045" spans="76:77" x14ac:dyDescent="0.2">
      <c r="BX6045" s="214" t="e">
        <f t="shared" si="204"/>
        <v>#DIV/0!</v>
      </c>
      <c r="BY6045" s="215">
        <f t="shared" si="205"/>
        <v>0</v>
      </c>
    </row>
    <row r="6046" spans="76:77" x14ac:dyDescent="0.2">
      <c r="BX6046" s="214" t="e">
        <f t="shared" si="204"/>
        <v>#DIV/0!</v>
      </c>
      <c r="BY6046" s="215">
        <f t="shared" si="205"/>
        <v>0</v>
      </c>
    </row>
    <row r="6047" spans="76:77" x14ac:dyDescent="0.2">
      <c r="BX6047" s="214" t="e">
        <f t="shared" si="204"/>
        <v>#DIV/0!</v>
      </c>
      <c r="BY6047" s="215">
        <f t="shared" si="205"/>
        <v>0</v>
      </c>
    </row>
    <row r="6048" spans="76:77" x14ac:dyDescent="0.2">
      <c r="BX6048" s="214" t="e">
        <f t="shared" si="204"/>
        <v>#DIV/0!</v>
      </c>
      <c r="BY6048" s="215">
        <f t="shared" si="205"/>
        <v>0</v>
      </c>
    </row>
    <row r="6049" spans="76:77" x14ac:dyDescent="0.2">
      <c r="BX6049" s="214" t="e">
        <f t="shared" si="204"/>
        <v>#DIV/0!</v>
      </c>
      <c r="BY6049" s="215">
        <f t="shared" si="205"/>
        <v>0</v>
      </c>
    </row>
    <row r="6050" spans="76:77" x14ac:dyDescent="0.2">
      <c r="BX6050" s="214" t="e">
        <f t="shared" si="204"/>
        <v>#DIV/0!</v>
      </c>
      <c r="BY6050" s="215">
        <f t="shared" si="205"/>
        <v>0</v>
      </c>
    </row>
    <row r="6051" spans="76:77" x14ac:dyDescent="0.2">
      <c r="BX6051" s="214" t="e">
        <f t="shared" si="204"/>
        <v>#DIV/0!</v>
      </c>
      <c r="BY6051" s="215">
        <f t="shared" si="205"/>
        <v>0</v>
      </c>
    </row>
    <row r="6052" spans="76:77" x14ac:dyDescent="0.2">
      <c r="BX6052" s="214" t="e">
        <f t="shared" si="204"/>
        <v>#DIV/0!</v>
      </c>
      <c r="BY6052" s="215">
        <f t="shared" si="205"/>
        <v>0</v>
      </c>
    </row>
    <row r="6053" spans="76:77" x14ac:dyDescent="0.2">
      <c r="BX6053" s="214" t="e">
        <f t="shared" si="204"/>
        <v>#DIV/0!</v>
      </c>
      <c r="BY6053" s="215">
        <f t="shared" si="205"/>
        <v>0</v>
      </c>
    </row>
    <row r="6054" spans="76:77" x14ac:dyDescent="0.2">
      <c r="BX6054" s="214" t="e">
        <f t="shared" si="204"/>
        <v>#DIV/0!</v>
      </c>
      <c r="BY6054" s="215">
        <f t="shared" si="205"/>
        <v>0</v>
      </c>
    </row>
    <row r="6055" spans="76:77" x14ac:dyDescent="0.2">
      <c r="BX6055" s="214" t="e">
        <f t="shared" si="204"/>
        <v>#DIV/0!</v>
      </c>
      <c r="BY6055" s="215">
        <f t="shared" si="205"/>
        <v>0</v>
      </c>
    </row>
    <row r="6056" spans="76:77" x14ac:dyDescent="0.2">
      <c r="BX6056" s="214" t="e">
        <f t="shared" si="204"/>
        <v>#DIV/0!</v>
      </c>
      <c r="BY6056" s="215">
        <f t="shared" si="205"/>
        <v>0</v>
      </c>
    </row>
    <row r="6057" spans="76:77" x14ac:dyDescent="0.2">
      <c r="BX6057" s="214" t="e">
        <f t="shared" si="204"/>
        <v>#DIV/0!</v>
      </c>
      <c r="BY6057" s="215">
        <f t="shared" si="205"/>
        <v>0</v>
      </c>
    </row>
    <row r="6058" spans="76:77" x14ac:dyDescent="0.2">
      <c r="BX6058" s="214" t="e">
        <f t="shared" si="204"/>
        <v>#DIV/0!</v>
      </c>
      <c r="BY6058" s="215">
        <f t="shared" si="205"/>
        <v>0</v>
      </c>
    </row>
    <row r="6059" spans="76:77" x14ac:dyDescent="0.2">
      <c r="BX6059" s="214" t="e">
        <f t="shared" si="204"/>
        <v>#DIV/0!</v>
      </c>
      <c r="BY6059" s="215">
        <f t="shared" si="205"/>
        <v>0</v>
      </c>
    </row>
    <row r="6060" spans="76:77" x14ac:dyDescent="0.2">
      <c r="BX6060" s="214" t="e">
        <f t="shared" si="204"/>
        <v>#DIV/0!</v>
      </c>
      <c r="BY6060" s="215">
        <f t="shared" si="205"/>
        <v>0</v>
      </c>
    </row>
    <row r="6061" spans="76:77" x14ac:dyDescent="0.2">
      <c r="BX6061" s="214" t="e">
        <f t="shared" si="204"/>
        <v>#DIV/0!</v>
      </c>
      <c r="BY6061" s="215">
        <f t="shared" si="205"/>
        <v>0</v>
      </c>
    </row>
    <row r="6062" spans="76:77" x14ac:dyDescent="0.2">
      <c r="BX6062" s="214" t="e">
        <f t="shared" si="204"/>
        <v>#DIV/0!</v>
      </c>
      <c r="BY6062" s="215">
        <f t="shared" si="205"/>
        <v>0</v>
      </c>
    </row>
    <row r="6063" spans="76:77" x14ac:dyDescent="0.2">
      <c r="BX6063" s="214" t="e">
        <f t="shared" si="204"/>
        <v>#DIV/0!</v>
      </c>
      <c r="BY6063" s="215">
        <f t="shared" si="205"/>
        <v>0</v>
      </c>
    </row>
    <row r="6064" spans="76:77" x14ac:dyDescent="0.2">
      <c r="BX6064" s="214" t="e">
        <f t="shared" si="204"/>
        <v>#DIV/0!</v>
      </c>
      <c r="BY6064" s="215">
        <f t="shared" si="205"/>
        <v>0</v>
      </c>
    </row>
    <row r="6065" spans="76:77" x14ac:dyDescent="0.2">
      <c r="BX6065" s="214" t="e">
        <f t="shared" si="204"/>
        <v>#DIV/0!</v>
      </c>
      <c r="BY6065" s="215">
        <f t="shared" si="205"/>
        <v>0</v>
      </c>
    </row>
    <row r="6066" spans="76:77" x14ac:dyDescent="0.2">
      <c r="BX6066" s="214" t="e">
        <f t="shared" si="204"/>
        <v>#DIV/0!</v>
      </c>
      <c r="BY6066" s="215">
        <f t="shared" si="205"/>
        <v>0</v>
      </c>
    </row>
    <row r="6067" spans="76:77" x14ac:dyDescent="0.2">
      <c r="BX6067" s="214" t="e">
        <f t="shared" si="204"/>
        <v>#DIV/0!</v>
      </c>
      <c r="BY6067" s="215">
        <f t="shared" si="205"/>
        <v>0</v>
      </c>
    </row>
    <row r="6068" spans="76:77" x14ac:dyDescent="0.2">
      <c r="BX6068" s="214" t="e">
        <f t="shared" si="204"/>
        <v>#DIV/0!</v>
      </c>
      <c r="BY6068" s="215">
        <f t="shared" si="205"/>
        <v>0</v>
      </c>
    </row>
    <row r="6069" spans="76:77" x14ac:dyDescent="0.2">
      <c r="BX6069" s="214" t="e">
        <f t="shared" si="204"/>
        <v>#DIV/0!</v>
      </c>
      <c r="BY6069" s="215">
        <f t="shared" si="205"/>
        <v>0</v>
      </c>
    </row>
    <row r="6070" spans="76:77" x14ac:dyDescent="0.2">
      <c r="BX6070" s="214" t="e">
        <f t="shared" si="204"/>
        <v>#DIV/0!</v>
      </c>
      <c r="BY6070" s="215">
        <f t="shared" si="205"/>
        <v>0</v>
      </c>
    </row>
    <row r="6071" spans="76:77" x14ac:dyDescent="0.2">
      <c r="BX6071" s="214" t="e">
        <f t="shared" si="204"/>
        <v>#DIV/0!</v>
      </c>
      <c r="BY6071" s="215">
        <f t="shared" si="205"/>
        <v>0</v>
      </c>
    </row>
    <row r="6072" spans="76:77" x14ac:dyDescent="0.2">
      <c r="BX6072" s="214" t="e">
        <f t="shared" si="204"/>
        <v>#DIV/0!</v>
      </c>
      <c r="BY6072" s="215">
        <f t="shared" si="205"/>
        <v>0</v>
      </c>
    </row>
    <row r="6073" spans="76:77" x14ac:dyDescent="0.2">
      <c r="BX6073" s="214" t="e">
        <f t="shared" si="204"/>
        <v>#DIV/0!</v>
      </c>
      <c r="BY6073" s="215">
        <f t="shared" si="205"/>
        <v>0</v>
      </c>
    </row>
    <row r="6074" spans="76:77" x14ac:dyDescent="0.2">
      <c r="BX6074" s="214" t="e">
        <f t="shared" si="204"/>
        <v>#DIV/0!</v>
      </c>
      <c r="BY6074" s="215">
        <f t="shared" si="205"/>
        <v>0</v>
      </c>
    </row>
    <row r="6075" spans="76:77" x14ac:dyDescent="0.2">
      <c r="BX6075" s="214" t="e">
        <f t="shared" si="204"/>
        <v>#DIV/0!</v>
      </c>
      <c r="BY6075" s="215">
        <f t="shared" si="205"/>
        <v>0</v>
      </c>
    </row>
    <row r="6076" spans="76:77" x14ac:dyDescent="0.2">
      <c r="BX6076" s="214" t="e">
        <f t="shared" si="204"/>
        <v>#DIV/0!</v>
      </c>
      <c r="BY6076" s="215">
        <f t="shared" si="205"/>
        <v>0</v>
      </c>
    </row>
    <row r="6077" spans="76:77" x14ac:dyDescent="0.2">
      <c r="BX6077" s="214" t="e">
        <f t="shared" si="204"/>
        <v>#DIV/0!</v>
      </c>
      <c r="BY6077" s="215">
        <f t="shared" si="205"/>
        <v>0</v>
      </c>
    </row>
    <row r="6078" spans="76:77" x14ac:dyDescent="0.2">
      <c r="BX6078" s="214" t="e">
        <f t="shared" si="204"/>
        <v>#DIV/0!</v>
      </c>
      <c r="BY6078" s="215">
        <f t="shared" si="205"/>
        <v>0</v>
      </c>
    </row>
    <row r="6079" spans="76:77" x14ac:dyDescent="0.2">
      <c r="BX6079" s="214" t="e">
        <f t="shared" si="204"/>
        <v>#DIV/0!</v>
      </c>
      <c r="BY6079" s="215">
        <f t="shared" si="205"/>
        <v>0</v>
      </c>
    </row>
    <row r="6080" spans="76:77" x14ac:dyDescent="0.2">
      <c r="BX6080" s="214" t="e">
        <f t="shared" si="204"/>
        <v>#DIV/0!</v>
      </c>
      <c r="BY6080" s="215">
        <f t="shared" si="205"/>
        <v>0</v>
      </c>
    </row>
    <row r="6081" spans="76:77" x14ac:dyDescent="0.2">
      <c r="BX6081" s="214" t="e">
        <f t="shared" si="204"/>
        <v>#DIV/0!</v>
      </c>
      <c r="BY6081" s="215">
        <f t="shared" si="205"/>
        <v>0</v>
      </c>
    </row>
    <row r="6082" spans="76:77" x14ac:dyDescent="0.2">
      <c r="BX6082" s="214" t="e">
        <f t="shared" si="204"/>
        <v>#DIV/0!</v>
      </c>
      <c r="BY6082" s="215">
        <f t="shared" si="205"/>
        <v>0</v>
      </c>
    </row>
    <row r="6083" spans="76:77" x14ac:dyDescent="0.2">
      <c r="BX6083" s="214" t="e">
        <f t="shared" si="204"/>
        <v>#DIV/0!</v>
      </c>
      <c r="BY6083" s="215">
        <f t="shared" si="205"/>
        <v>0</v>
      </c>
    </row>
    <row r="6084" spans="76:77" x14ac:dyDescent="0.2">
      <c r="BX6084" s="214" t="e">
        <f t="shared" si="204"/>
        <v>#DIV/0!</v>
      </c>
      <c r="BY6084" s="215">
        <f t="shared" si="205"/>
        <v>0</v>
      </c>
    </row>
    <row r="6085" spans="76:77" x14ac:dyDescent="0.2">
      <c r="BX6085" s="214" t="e">
        <f t="shared" si="204"/>
        <v>#DIV/0!</v>
      </c>
      <c r="BY6085" s="215">
        <f t="shared" si="205"/>
        <v>0</v>
      </c>
    </row>
    <row r="6086" spans="76:77" x14ac:dyDescent="0.2">
      <c r="BX6086" s="214" t="e">
        <f t="shared" si="204"/>
        <v>#DIV/0!</v>
      </c>
      <c r="BY6086" s="215">
        <f t="shared" si="205"/>
        <v>0</v>
      </c>
    </row>
    <row r="6087" spans="76:77" x14ac:dyDescent="0.2">
      <c r="BX6087" s="214" t="e">
        <f t="shared" si="204"/>
        <v>#DIV/0!</v>
      </c>
      <c r="BY6087" s="215">
        <f t="shared" si="205"/>
        <v>0</v>
      </c>
    </row>
    <row r="6088" spans="76:77" x14ac:dyDescent="0.2">
      <c r="BX6088" s="214" t="e">
        <f t="shared" si="204"/>
        <v>#DIV/0!</v>
      </c>
      <c r="BY6088" s="215">
        <f t="shared" si="205"/>
        <v>0</v>
      </c>
    </row>
    <row r="6089" spans="76:77" x14ac:dyDescent="0.2">
      <c r="BX6089" s="214" t="e">
        <f t="shared" si="204"/>
        <v>#DIV/0!</v>
      </c>
      <c r="BY6089" s="215">
        <f t="shared" si="205"/>
        <v>0</v>
      </c>
    </row>
    <row r="6090" spans="76:77" x14ac:dyDescent="0.2">
      <c r="BX6090" s="214" t="e">
        <f t="shared" si="204"/>
        <v>#DIV/0!</v>
      </c>
      <c r="BY6090" s="215">
        <f t="shared" si="205"/>
        <v>0</v>
      </c>
    </row>
    <row r="6091" spans="76:77" x14ac:dyDescent="0.2">
      <c r="BX6091" s="214" t="e">
        <f t="shared" si="204"/>
        <v>#DIV/0!</v>
      </c>
      <c r="BY6091" s="215">
        <f t="shared" si="205"/>
        <v>0</v>
      </c>
    </row>
    <row r="6092" spans="76:77" x14ac:dyDescent="0.2">
      <c r="BX6092" s="214" t="e">
        <f t="shared" si="204"/>
        <v>#DIV/0!</v>
      </c>
      <c r="BY6092" s="215">
        <f t="shared" si="205"/>
        <v>0</v>
      </c>
    </row>
    <row r="6093" spans="76:77" x14ac:dyDescent="0.2">
      <c r="BX6093" s="214" t="e">
        <f t="shared" ref="BX6093:BX6156" si="206">BY6093/BV6093</f>
        <v>#DIV/0!</v>
      </c>
      <c r="BY6093" s="215">
        <f t="shared" si="205"/>
        <v>0</v>
      </c>
    </row>
    <row r="6094" spans="76:77" x14ac:dyDescent="0.2">
      <c r="BX6094" s="214" t="e">
        <f t="shared" si="206"/>
        <v>#DIV/0!</v>
      </c>
      <c r="BY6094" s="215">
        <f t="shared" ref="BY6094:BY6157" si="207">BY6093+BW6094*(BV6094-BV6093)</f>
        <v>0</v>
      </c>
    </row>
    <row r="6095" spans="76:77" x14ac:dyDescent="0.2">
      <c r="BX6095" s="214" t="e">
        <f t="shared" si="206"/>
        <v>#DIV/0!</v>
      </c>
      <c r="BY6095" s="215">
        <f t="shared" si="207"/>
        <v>0</v>
      </c>
    </row>
    <row r="6096" spans="76:77" x14ac:dyDescent="0.2">
      <c r="BX6096" s="214" t="e">
        <f t="shared" si="206"/>
        <v>#DIV/0!</v>
      </c>
      <c r="BY6096" s="215">
        <f t="shared" si="207"/>
        <v>0</v>
      </c>
    </row>
    <row r="6097" spans="76:77" x14ac:dyDescent="0.2">
      <c r="BX6097" s="214" t="e">
        <f t="shared" si="206"/>
        <v>#DIV/0!</v>
      </c>
      <c r="BY6097" s="215">
        <f t="shared" si="207"/>
        <v>0</v>
      </c>
    </row>
    <row r="6098" spans="76:77" x14ac:dyDescent="0.2">
      <c r="BX6098" s="214" t="e">
        <f t="shared" si="206"/>
        <v>#DIV/0!</v>
      </c>
      <c r="BY6098" s="215">
        <f t="shared" si="207"/>
        <v>0</v>
      </c>
    </row>
    <row r="6099" spans="76:77" x14ac:dyDescent="0.2">
      <c r="BX6099" s="214" t="e">
        <f t="shared" si="206"/>
        <v>#DIV/0!</v>
      </c>
      <c r="BY6099" s="215">
        <f t="shared" si="207"/>
        <v>0</v>
      </c>
    </row>
    <row r="6100" spans="76:77" x14ac:dyDescent="0.2">
      <c r="BX6100" s="214" t="e">
        <f t="shared" si="206"/>
        <v>#DIV/0!</v>
      </c>
      <c r="BY6100" s="215">
        <f t="shared" si="207"/>
        <v>0</v>
      </c>
    </row>
    <row r="6101" spans="76:77" x14ac:dyDescent="0.2">
      <c r="BX6101" s="214" t="e">
        <f t="shared" si="206"/>
        <v>#DIV/0!</v>
      </c>
      <c r="BY6101" s="215">
        <f t="shared" si="207"/>
        <v>0</v>
      </c>
    </row>
    <row r="6102" spans="76:77" x14ac:dyDescent="0.2">
      <c r="BX6102" s="214" t="e">
        <f t="shared" si="206"/>
        <v>#DIV/0!</v>
      </c>
      <c r="BY6102" s="215">
        <f t="shared" si="207"/>
        <v>0</v>
      </c>
    </row>
    <row r="6103" spans="76:77" x14ac:dyDescent="0.2">
      <c r="BX6103" s="214" t="e">
        <f t="shared" si="206"/>
        <v>#DIV/0!</v>
      </c>
      <c r="BY6103" s="215">
        <f t="shared" si="207"/>
        <v>0</v>
      </c>
    </row>
    <row r="6104" spans="76:77" x14ac:dyDescent="0.2">
      <c r="BX6104" s="214" t="e">
        <f t="shared" si="206"/>
        <v>#DIV/0!</v>
      </c>
      <c r="BY6104" s="215">
        <f t="shared" si="207"/>
        <v>0</v>
      </c>
    </row>
    <row r="6105" spans="76:77" x14ac:dyDescent="0.2">
      <c r="BX6105" s="214" t="e">
        <f t="shared" si="206"/>
        <v>#DIV/0!</v>
      </c>
      <c r="BY6105" s="215">
        <f t="shared" si="207"/>
        <v>0</v>
      </c>
    </row>
    <row r="6106" spans="76:77" x14ac:dyDescent="0.2">
      <c r="BX6106" s="214" t="e">
        <f t="shared" si="206"/>
        <v>#DIV/0!</v>
      </c>
      <c r="BY6106" s="215">
        <f t="shared" si="207"/>
        <v>0</v>
      </c>
    </row>
    <row r="6107" spans="76:77" x14ac:dyDescent="0.2">
      <c r="BX6107" s="214" t="e">
        <f t="shared" si="206"/>
        <v>#DIV/0!</v>
      </c>
      <c r="BY6107" s="215">
        <f t="shared" si="207"/>
        <v>0</v>
      </c>
    </row>
    <row r="6108" spans="76:77" x14ac:dyDescent="0.2">
      <c r="BX6108" s="214" t="e">
        <f t="shared" si="206"/>
        <v>#DIV/0!</v>
      </c>
      <c r="BY6108" s="215">
        <f t="shared" si="207"/>
        <v>0</v>
      </c>
    </row>
    <row r="6109" spans="76:77" x14ac:dyDescent="0.2">
      <c r="BX6109" s="214" t="e">
        <f t="shared" si="206"/>
        <v>#DIV/0!</v>
      </c>
      <c r="BY6109" s="215">
        <f t="shared" si="207"/>
        <v>0</v>
      </c>
    </row>
    <row r="6110" spans="76:77" x14ac:dyDescent="0.2">
      <c r="BX6110" s="214" t="e">
        <f t="shared" si="206"/>
        <v>#DIV/0!</v>
      </c>
      <c r="BY6110" s="215">
        <f t="shared" si="207"/>
        <v>0</v>
      </c>
    </row>
    <row r="6111" spans="76:77" x14ac:dyDescent="0.2">
      <c r="BX6111" s="214" t="e">
        <f t="shared" si="206"/>
        <v>#DIV/0!</v>
      </c>
      <c r="BY6111" s="215">
        <f t="shared" si="207"/>
        <v>0</v>
      </c>
    </row>
    <row r="6112" spans="76:77" x14ac:dyDescent="0.2">
      <c r="BX6112" s="214" t="e">
        <f t="shared" si="206"/>
        <v>#DIV/0!</v>
      </c>
      <c r="BY6112" s="215">
        <f t="shared" si="207"/>
        <v>0</v>
      </c>
    </row>
    <row r="6113" spans="76:77" x14ac:dyDescent="0.2">
      <c r="BX6113" s="214" t="e">
        <f t="shared" si="206"/>
        <v>#DIV/0!</v>
      </c>
      <c r="BY6113" s="215">
        <f t="shared" si="207"/>
        <v>0</v>
      </c>
    </row>
    <row r="6114" spans="76:77" x14ac:dyDescent="0.2">
      <c r="BX6114" s="214" t="e">
        <f t="shared" si="206"/>
        <v>#DIV/0!</v>
      </c>
      <c r="BY6114" s="215">
        <f t="shared" si="207"/>
        <v>0</v>
      </c>
    </row>
    <row r="6115" spans="76:77" x14ac:dyDescent="0.2">
      <c r="BX6115" s="214" t="e">
        <f t="shared" si="206"/>
        <v>#DIV/0!</v>
      </c>
      <c r="BY6115" s="215">
        <f t="shared" si="207"/>
        <v>0</v>
      </c>
    </row>
    <row r="6116" spans="76:77" x14ac:dyDescent="0.2">
      <c r="BX6116" s="214" t="e">
        <f t="shared" si="206"/>
        <v>#DIV/0!</v>
      </c>
      <c r="BY6116" s="215">
        <f t="shared" si="207"/>
        <v>0</v>
      </c>
    </row>
    <row r="6117" spans="76:77" x14ac:dyDescent="0.2">
      <c r="BX6117" s="214" t="e">
        <f t="shared" si="206"/>
        <v>#DIV/0!</v>
      </c>
      <c r="BY6117" s="215">
        <f t="shared" si="207"/>
        <v>0</v>
      </c>
    </row>
    <row r="6118" spans="76:77" x14ac:dyDescent="0.2">
      <c r="BX6118" s="214" t="e">
        <f t="shared" si="206"/>
        <v>#DIV/0!</v>
      </c>
      <c r="BY6118" s="215">
        <f t="shared" si="207"/>
        <v>0</v>
      </c>
    </row>
    <row r="6119" spans="76:77" x14ac:dyDescent="0.2">
      <c r="BX6119" s="214" t="e">
        <f t="shared" si="206"/>
        <v>#DIV/0!</v>
      </c>
      <c r="BY6119" s="215">
        <f t="shared" si="207"/>
        <v>0</v>
      </c>
    </row>
    <row r="6120" spans="76:77" x14ac:dyDescent="0.2">
      <c r="BX6120" s="214" t="e">
        <f t="shared" si="206"/>
        <v>#DIV/0!</v>
      </c>
      <c r="BY6120" s="215">
        <f t="shared" si="207"/>
        <v>0</v>
      </c>
    </row>
    <row r="6121" spans="76:77" x14ac:dyDescent="0.2">
      <c r="BX6121" s="214" t="e">
        <f t="shared" si="206"/>
        <v>#DIV/0!</v>
      </c>
      <c r="BY6121" s="215">
        <f t="shared" si="207"/>
        <v>0</v>
      </c>
    </row>
    <row r="6122" spans="76:77" x14ac:dyDescent="0.2">
      <c r="BX6122" s="214" t="e">
        <f t="shared" si="206"/>
        <v>#DIV/0!</v>
      </c>
      <c r="BY6122" s="215">
        <f t="shared" si="207"/>
        <v>0</v>
      </c>
    </row>
    <row r="6123" spans="76:77" x14ac:dyDescent="0.2">
      <c r="BX6123" s="214" t="e">
        <f t="shared" si="206"/>
        <v>#DIV/0!</v>
      </c>
      <c r="BY6123" s="215">
        <f t="shared" si="207"/>
        <v>0</v>
      </c>
    </row>
    <row r="6124" spans="76:77" x14ac:dyDescent="0.2">
      <c r="BX6124" s="214" t="e">
        <f t="shared" si="206"/>
        <v>#DIV/0!</v>
      </c>
      <c r="BY6124" s="215">
        <f t="shared" si="207"/>
        <v>0</v>
      </c>
    </row>
    <row r="6125" spans="76:77" x14ac:dyDescent="0.2">
      <c r="BX6125" s="214" t="e">
        <f t="shared" si="206"/>
        <v>#DIV/0!</v>
      </c>
      <c r="BY6125" s="215">
        <f t="shared" si="207"/>
        <v>0</v>
      </c>
    </row>
    <row r="6126" spans="76:77" x14ac:dyDescent="0.2">
      <c r="BX6126" s="214" t="e">
        <f t="shared" si="206"/>
        <v>#DIV/0!</v>
      </c>
      <c r="BY6126" s="215">
        <f t="shared" si="207"/>
        <v>0</v>
      </c>
    </row>
    <row r="6127" spans="76:77" x14ac:dyDescent="0.2">
      <c r="BX6127" s="214" t="e">
        <f t="shared" si="206"/>
        <v>#DIV/0!</v>
      </c>
      <c r="BY6127" s="215">
        <f t="shared" si="207"/>
        <v>0</v>
      </c>
    </row>
    <row r="6128" spans="76:77" x14ac:dyDescent="0.2">
      <c r="BX6128" s="214" t="e">
        <f t="shared" si="206"/>
        <v>#DIV/0!</v>
      </c>
      <c r="BY6128" s="215">
        <f t="shared" si="207"/>
        <v>0</v>
      </c>
    </row>
    <row r="6129" spans="76:77" x14ac:dyDescent="0.2">
      <c r="BX6129" s="214" t="e">
        <f t="shared" si="206"/>
        <v>#DIV/0!</v>
      </c>
      <c r="BY6129" s="215">
        <f t="shared" si="207"/>
        <v>0</v>
      </c>
    </row>
    <row r="6130" spans="76:77" x14ac:dyDescent="0.2">
      <c r="BX6130" s="214" t="e">
        <f t="shared" si="206"/>
        <v>#DIV/0!</v>
      </c>
      <c r="BY6130" s="215">
        <f t="shared" si="207"/>
        <v>0</v>
      </c>
    </row>
    <row r="6131" spans="76:77" x14ac:dyDescent="0.2">
      <c r="BX6131" s="214" t="e">
        <f t="shared" si="206"/>
        <v>#DIV/0!</v>
      </c>
      <c r="BY6131" s="215">
        <f t="shared" si="207"/>
        <v>0</v>
      </c>
    </row>
    <row r="6132" spans="76:77" x14ac:dyDescent="0.2">
      <c r="BX6132" s="214" t="e">
        <f t="shared" si="206"/>
        <v>#DIV/0!</v>
      </c>
      <c r="BY6132" s="215">
        <f t="shared" si="207"/>
        <v>0</v>
      </c>
    </row>
    <row r="6133" spans="76:77" x14ac:dyDescent="0.2">
      <c r="BX6133" s="214" t="e">
        <f t="shared" si="206"/>
        <v>#DIV/0!</v>
      </c>
      <c r="BY6133" s="215">
        <f t="shared" si="207"/>
        <v>0</v>
      </c>
    </row>
    <row r="6134" spans="76:77" x14ac:dyDescent="0.2">
      <c r="BX6134" s="214" t="e">
        <f t="shared" si="206"/>
        <v>#DIV/0!</v>
      </c>
      <c r="BY6134" s="215">
        <f t="shared" si="207"/>
        <v>0</v>
      </c>
    </row>
    <row r="6135" spans="76:77" x14ac:dyDescent="0.2">
      <c r="BX6135" s="214" t="e">
        <f t="shared" si="206"/>
        <v>#DIV/0!</v>
      </c>
      <c r="BY6135" s="215">
        <f t="shared" si="207"/>
        <v>0</v>
      </c>
    </row>
    <row r="6136" spans="76:77" x14ac:dyDescent="0.2">
      <c r="BX6136" s="214" t="e">
        <f t="shared" si="206"/>
        <v>#DIV/0!</v>
      </c>
      <c r="BY6136" s="215">
        <f t="shared" si="207"/>
        <v>0</v>
      </c>
    </row>
    <row r="6137" spans="76:77" x14ac:dyDescent="0.2">
      <c r="BX6137" s="214" t="e">
        <f t="shared" si="206"/>
        <v>#DIV/0!</v>
      </c>
      <c r="BY6137" s="215">
        <f t="shared" si="207"/>
        <v>0</v>
      </c>
    </row>
    <row r="6138" spans="76:77" x14ac:dyDescent="0.2">
      <c r="BX6138" s="214" t="e">
        <f t="shared" si="206"/>
        <v>#DIV/0!</v>
      </c>
      <c r="BY6138" s="215">
        <f t="shared" si="207"/>
        <v>0</v>
      </c>
    </row>
    <row r="6139" spans="76:77" x14ac:dyDescent="0.2">
      <c r="BX6139" s="214" t="e">
        <f t="shared" si="206"/>
        <v>#DIV/0!</v>
      </c>
      <c r="BY6139" s="215">
        <f t="shared" si="207"/>
        <v>0</v>
      </c>
    </row>
    <row r="6140" spans="76:77" x14ac:dyDescent="0.2">
      <c r="BX6140" s="214" t="e">
        <f t="shared" si="206"/>
        <v>#DIV/0!</v>
      </c>
      <c r="BY6140" s="215">
        <f t="shared" si="207"/>
        <v>0</v>
      </c>
    </row>
    <row r="6141" spans="76:77" x14ac:dyDescent="0.2">
      <c r="BX6141" s="214" t="e">
        <f t="shared" si="206"/>
        <v>#DIV/0!</v>
      </c>
      <c r="BY6141" s="215">
        <f t="shared" si="207"/>
        <v>0</v>
      </c>
    </row>
    <row r="6142" spans="76:77" x14ac:dyDescent="0.2">
      <c r="BX6142" s="214" t="e">
        <f t="shared" si="206"/>
        <v>#DIV/0!</v>
      </c>
      <c r="BY6142" s="215">
        <f t="shared" si="207"/>
        <v>0</v>
      </c>
    </row>
    <row r="6143" spans="76:77" x14ac:dyDescent="0.2">
      <c r="BX6143" s="214" t="e">
        <f t="shared" si="206"/>
        <v>#DIV/0!</v>
      </c>
      <c r="BY6143" s="215">
        <f t="shared" si="207"/>
        <v>0</v>
      </c>
    </row>
    <row r="6144" spans="76:77" x14ac:dyDescent="0.2">
      <c r="BX6144" s="214" t="e">
        <f t="shared" si="206"/>
        <v>#DIV/0!</v>
      </c>
      <c r="BY6144" s="215">
        <f t="shared" si="207"/>
        <v>0</v>
      </c>
    </row>
    <row r="6145" spans="76:77" x14ac:dyDescent="0.2">
      <c r="BX6145" s="214" t="e">
        <f t="shared" si="206"/>
        <v>#DIV/0!</v>
      </c>
      <c r="BY6145" s="215">
        <f t="shared" si="207"/>
        <v>0</v>
      </c>
    </row>
    <row r="6146" spans="76:77" x14ac:dyDescent="0.2">
      <c r="BX6146" s="214" t="e">
        <f t="shared" si="206"/>
        <v>#DIV/0!</v>
      </c>
      <c r="BY6146" s="215">
        <f t="shared" si="207"/>
        <v>0</v>
      </c>
    </row>
    <row r="6147" spans="76:77" x14ac:dyDescent="0.2">
      <c r="BX6147" s="214" t="e">
        <f t="shared" si="206"/>
        <v>#DIV/0!</v>
      </c>
      <c r="BY6147" s="215">
        <f t="shared" si="207"/>
        <v>0</v>
      </c>
    </row>
    <row r="6148" spans="76:77" x14ac:dyDescent="0.2">
      <c r="BX6148" s="214" t="e">
        <f t="shared" si="206"/>
        <v>#DIV/0!</v>
      </c>
      <c r="BY6148" s="215">
        <f t="shared" si="207"/>
        <v>0</v>
      </c>
    </row>
    <row r="6149" spans="76:77" x14ac:dyDescent="0.2">
      <c r="BX6149" s="214" t="e">
        <f t="shared" si="206"/>
        <v>#DIV/0!</v>
      </c>
      <c r="BY6149" s="215">
        <f t="shared" si="207"/>
        <v>0</v>
      </c>
    </row>
    <row r="6150" spans="76:77" x14ac:dyDescent="0.2">
      <c r="BX6150" s="214" t="e">
        <f t="shared" si="206"/>
        <v>#DIV/0!</v>
      </c>
      <c r="BY6150" s="215">
        <f t="shared" si="207"/>
        <v>0</v>
      </c>
    </row>
    <row r="6151" spans="76:77" x14ac:dyDescent="0.2">
      <c r="BX6151" s="214" t="e">
        <f t="shared" si="206"/>
        <v>#DIV/0!</v>
      </c>
      <c r="BY6151" s="215">
        <f t="shared" si="207"/>
        <v>0</v>
      </c>
    </row>
    <row r="6152" spans="76:77" x14ac:dyDescent="0.2">
      <c r="BX6152" s="214" t="e">
        <f t="shared" si="206"/>
        <v>#DIV/0!</v>
      </c>
      <c r="BY6152" s="215">
        <f t="shared" si="207"/>
        <v>0</v>
      </c>
    </row>
    <row r="6153" spans="76:77" x14ac:dyDescent="0.2">
      <c r="BX6153" s="214" t="e">
        <f t="shared" si="206"/>
        <v>#DIV/0!</v>
      </c>
      <c r="BY6153" s="215">
        <f t="shared" si="207"/>
        <v>0</v>
      </c>
    </row>
    <row r="6154" spans="76:77" x14ac:dyDescent="0.2">
      <c r="BX6154" s="214" t="e">
        <f t="shared" si="206"/>
        <v>#DIV/0!</v>
      </c>
      <c r="BY6154" s="215">
        <f t="shared" si="207"/>
        <v>0</v>
      </c>
    </row>
    <row r="6155" spans="76:77" x14ac:dyDescent="0.2">
      <c r="BX6155" s="214" t="e">
        <f t="shared" si="206"/>
        <v>#DIV/0!</v>
      </c>
      <c r="BY6155" s="215">
        <f t="shared" si="207"/>
        <v>0</v>
      </c>
    </row>
    <row r="6156" spans="76:77" x14ac:dyDescent="0.2">
      <c r="BX6156" s="214" t="e">
        <f t="shared" si="206"/>
        <v>#DIV/0!</v>
      </c>
      <c r="BY6156" s="215">
        <f t="shared" si="207"/>
        <v>0</v>
      </c>
    </row>
    <row r="6157" spans="76:77" x14ac:dyDescent="0.2">
      <c r="BX6157" s="214" t="e">
        <f t="shared" ref="BX6157:BX6220" si="208">BY6157/BV6157</f>
        <v>#DIV/0!</v>
      </c>
      <c r="BY6157" s="215">
        <f t="shared" si="207"/>
        <v>0</v>
      </c>
    </row>
    <row r="6158" spans="76:77" x14ac:dyDescent="0.2">
      <c r="BX6158" s="214" t="e">
        <f t="shared" si="208"/>
        <v>#DIV/0!</v>
      </c>
      <c r="BY6158" s="215">
        <f t="shared" ref="BY6158:BY6221" si="209">BY6157+BW6158*(BV6158-BV6157)</f>
        <v>0</v>
      </c>
    </row>
    <row r="6159" spans="76:77" x14ac:dyDescent="0.2">
      <c r="BX6159" s="214" t="e">
        <f t="shared" si="208"/>
        <v>#DIV/0!</v>
      </c>
      <c r="BY6159" s="215">
        <f t="shared" si="209"/>
        <v>0</v>
      </c>
    </row>
    <row r="6160" spans="76:77" x14ac:dyDescent="0.2">
      <c r="BX6160" s="214" t="e">
        <f t="shared" si="208"/>
        <v>#DIV/0!</v>
      </c>
      <c r="BY6160" s="215">
        <f t="shared" si="209"/>
        <v>0</v>
      </c>
    </row>
    <row r="6161" spans="76:77" x14ac:dyDescent="0.2">
      <c r="BX6161" s="214" t="e">
        <f t="shared" si="208"/>
        <v>#DIV/0!</v>
      </c>
      <c r="BY6161" s="215">
        <f t="shared" si="209"/>
        <v>0</v>
      </c>
    </row>
    <row r="6162" spans="76:77" x14ac:dyDescent="0.2">
      <c r="BX6162" s="214" t="e">
        <f t="shared" si="208"/>
        <v>#DIV/0!</v>
      </c>
      <c r="BY6162" s="215">
        <f t="shared" si="209"/>
        <v>0</v>
      </c>
    </row>
    <row r="6163" spans="76:77" x14ac:dyDescent="0.2">
      <c r="BX6163" s="214" t="e">
        <f t="shared" si="208"/>
        <v>#DIV/0!</v>
      </c>
      <c r="BY6163" s="215">
        <f t="shared" si="209"/>
        <v>0</v>
      </c>
    </row>
    <row r="6164" spans="76:77" x14ac:dyDescent="0.2">
      <c r="BX6164" s="214" t="e">
        <f t="shared" si="208"/>
        <v>#DIV/0!</v>
      </c>
      <c r="BY6164" s="215">
        <f t="shared" si="209"/>
        <v>0</v>
      </c>
    </row>
    <row r="6165" spans="76:77" x14ac:dyDescent="0.2">
      <c r="BX6165" s="214" t="e">
        <f t="shared" si="208"/>
        <v>#DIV/0!</v>
      </c>
      <c r="BY6165" s="215">
        <f t="shared" si="209"/>
        <v>0</v>
      </c>
    </row>
    <row r="6166" spans="76:77" x14ac:dyDescent="0.2">
      <c r="BX6166" s="214" t="e">
        <f t="shared" si="208"/>
        <v>#DIV/0!</v>
      </c>
      <c r="BY6166" s="215">
        <f t="shared" si="209"/>
        <v>0</v>
      </c>
    </row>
    <row r="6167" spans="76:77" x14ac:dyDescent="0.2">
      <c r="BX6167" s="214" t="e">
        <f t="shared" si="208"/>
        <v>#DIV/0!</v>
      </c>
      <c r="BY6167" s="215">
        <f t="shared" si="209"/>
        <v>0</v>
      </c>
    </row>
    <row r="6168" spans="76:77" x14ac:dyDescent="0.2">
      <c r="BX6168" s="214" t="e">
        <f t="shared" si="208"/>
        <v>#DIV/0!</v>
      </c>
      <c r="BY6168" s="215">
        <f t="shared" si="209"/>
        <v>0</v>
      </c>
    </row>
    <row r="6169" spans="76:77" x14ac:dyDescent="0.2">
      <c r="BX6169" s="214" t="e">
        <f t="shared" si="208"/>
        <v>#DIV/0!</v>
      </c>
      <c r="BY6169" s="215">
        <f t="shared" si="209"/>
        <v>0</v>
      </c>
    </row>
    <row r="6170" spans="76:77" x14ac:dyDescent="0.2">
      <c r="BX6170" s="214" t="e">
        <f t="shared" si="208"/>
        <v>#DIV/0!</v>
      </c>
      <c r="BY6170" s="215">
        <f t="shared" si="209"/>
        <v>0</v>
      </c>
    </row>
    <row r="6171" spans="76:77" x14ac:dyDescent="0.2">
      <c r="BX6171" s="214" t="e">
        <f t="shared" si="208"/>
        <v>#DIV/0!</v>
      </c>
      <c r="BY6171" s="215">
        <f t="shared" si="209"/>
        <v>0</v>
      </c>
    </row>
    <row r="6172" spans="76:77" x14ac:dyDescent="0.2">
      <c r="BX6172" s="214" t="e">
        <f t="shared" si="208"/>
        <v>#DIV/0!</v>
      </c>
      <c r="BY6172" s="215">
        <f t="shared" si="209"/>
        <v>0</v>
      </c>
    </row>
    <row r="6173" spans="76:77" x14ac:dyDescent="0.2">
      <c r="BX6173" s="214" t="e">
        <f t="shared" si="208"/>
        <v>#DIV/0!</v>
      </c>
      <c r="BY6173" s="215">
        <f t="shared" si="209"/>
        <v>0</v>
      </c>
    </row>
    <row r="6174" spans="76:77" x14ac:dyDescent="0.2">
      <c r="BX6174" s="214" t="e">
        <f t="shared" si="208"/>
        <v>#DIV/0!</v>
      </c>
      <c r="BY6174" s="215">
        <f t="shared" si="209"/>
        <v>0</v>
      </c>
    </row>
    <row r="6175" spans="76:77" x14ac:dyDescent="0.2">
      <c r="BX6175" s="214" t="e">
        <f t="shared" si="208"/>
        <v>#DIV/0!</v>
      </c>
      <c r="BY6175" s="215">
        <f t="shared" si="209"/>
        <v>0</v>
      </c>
    </row>
    <row r="6176" spans="76:77" x14ac:dyDescent="0.2">
      <c r="BX6176" s="214" t="e">
        <f t="shared" si="208"/>
        <v>#DIV/0!</v>
      </c>
      <c r="BY6176" s="215">
        <f t="shared" si="209"/>
        <v>0</v>
      </c>
    </row>
    <row r="6177" spans="76:77" x14ac:dyDescent="0.2">
      <c r="BX6177" s="214" t="e">
        <f t="shared" si="208"/>
        <v>#DIV/0!</v>
      </c>
      <c r="BY6177" s="215">
        <f t="shared" si="209"/>
        <v>0</v>
      </c>
    </row>
    <row r="6178" spans="76:77" x14ac:dyDescent="0.2">
      <c r="BX6178" s="214" t="e">
        <f t="shared" si="208"/>
        <v>#DIV/0!</v>
      </c>
      <c r="BY6178" s="215">
        <f t="shared" si="209"/>
        <v>0</v>
      </c>
    </row>
    <row r="6179" spans="76:77" x14ac:dyDescent="0.2">
      <c r="BX6179" s="214" t="e">
        <f t="shared" si="208"/>
        <v>#DIV/0!</v>
      </c>
      <c r="BY6179" s="215">
        <f t="shared" si="209"/>
        <v>0</v>
      </c>
    </row>
    <row r="6180" spans="76:77" x14ac:dyDescent="0.2">
      <c r="BX6180" s="214" t="e">
        <f t="shared" si="208"/>
        <v>#DIV/0!</v>
      </c>
      <c r="BY6180" s="215">
        <f t="shared" si="209"/>
        <v>0</v>
      </c>
    </row>
    <row r="6181" spans="76:77" x14ac:dyDescent="0.2">
      <c r="BX6181" s="214" t="e">
        <f t="shared" si="208"/>
        <v>#DIV/0!</v>
      </c>
      <c r="BY6181" s="215">
        <f t="shared" si="209"/>
        <v>0</v>
      </c>
    </row>
    <row r="6182" spans="76:77" x14ac:dyDescent="0.2">
      <c r="BX6182" s="214" t="e">
        <f t="shared" si="208"/>
        <v>#DIV/0!</v>
      </c>
      <c r="BY6182" s="215">
        <f t="shared" si="209"/>
        <v>0</v>
      </c>
    </row>
    <row r="6183" spans="76:77" x14ac:dyDescent="0.2">
      <c r="BX6183" s="214" t="e">
        <f t="shared" si="208"/>
        <v>#DIV/0!</v>
      </c>
      <c r="BY6183" s="215">
        <f t="shared" si="209"/>
        <v>0</v>
      </c>
    </row>
    <row r="6184" spans="76:77" x14ac:dyDescent="0.2">
      <c r="BX6184" s="214" t="e">
        <f t="shared" si="208"/>
        <v>#DIV/0!</v>
      </c>
      <c r="BY6184" s="215">
        <f t="shared" si="209"/>
        <v>0</v>
      </c>
    </row>
    <row r="6185" spans="76:77" x14ac:dyDescent="0.2">
      <c r="BX6185" s="214" t="e">
        <f t="shared" si="208"/>
        <v>#DIV/0!</v>
      </c>
      <c r="BY6185" s="215">
        <f t="shared" si="209"/>
        <v>0</v>
      </c>
    </row>
    <row r="6186" spans="76:77" x14ac:dyDescent="0.2">
      <c r="BX6186" s="214" t="e">
        <f t="shared" si="208"/>
        <v>#DIV/0!</v>
      </c>
      <c r="BY6186" s="215">
        <f t="shared" si="209"/>
        <v>0</v>
      </c>
    </row>
    <row r="6187" spans="76:77" x14ac:dyDescent="0.2">
      <c r="BX6187" s="214" t="e">
        <f t="shared" si="208"/>
        <v>#DIV/0!</v>
      </c>
      <c r="BY6187" s="215">
        <f t="shared" si="209"/>
        <v>0</v>
      </c>
    </row>
    <row r="6188" spans="76:77" x14ac:dyDescent="0.2">
      <c r="BX6188" s="214" t="e">
        <f t="shared" si="208"/>
        <v>#DIV/0!</v>
      </c>
      <c r="BY6188" s="215">
        <f t="shared" si="209"/>
        <v>0</v>
      </c>
    </row>
    <row r="6189" spans="76:77" x14ac:dyDescent="0.2">
      <c r="BX6189" s="214" t="e">
        <f t="shared" si="208"/>
        <v>#DIV/0!</v>
      </c>
      <c r="BY6189" s="215">
        <f t="shared" si="209"/>
        <v>0</v>
      </c>
    </row>
    <row r="6190" spans="76:77" x14ac:dyDescent="0.2">
      <c r="BX6190" s="214" t="e">
        <f t="shared" si="208"/>
        <v>#DIV/0!</v>
      </c>
      <c r="BY6190" s="215">
        <f t="shared" si="209"/>
        <v>0</v>
      </c>
    </row>
    <row r="6191" spans="76:77" x14ac:dyDescent="0.2">
      <c r="BX6191" s="214" t="e">
        <f t="shared" si="208"/>
        <v>#DIV/0!</v>
      </c>
      <c r="BY6191" s="215">
        <f t="shared" si="209"/>
        <v>0</v>
      </c>
    </row>
    <row r="6192" spans="76:77" x14ac:dyDescent="0.2">
      <c r="BX6192" s="214" t="e">
        <f t="shared" si="208"/>
        <v>#DIV/0!</v>
      </c>
      <c r="BY6192" s="215">
        <f t="shared" si="209"/>
        <v>0</v>
      </c>
    </row>
    <row r="6193" spans="76:77" x14ac:dyDescent="0.2">
      <c r="BX6193" s="214" t="e">
        <f t="shared" si="208"/>
        <v>#DIV/0!</v>
      </c>
      <c r="BY6193" s="215">
        <f t="shared" si="209"/>
        <v>0</v>
      </c>
    </row>
    <row r="6194" spans="76:77" x14ac:dyDescent="0.2">
      <c r="BX6194" s="214" t="e">
        <f t="shared" si="208"/>
        <v>#DIV/0!</v>
      </c>
      <c r="BY6194" s="215">
        <f t="shared" si="209"/>
        <v>0</v>
      </c>
    </row>
    <row r="6195" spans="76:77" x14ac:dyDescent="0.2">
      <c r="BX6195" s="214" t="e">
        <f t="shared" si="208"/>
        <v>#DIV/0!</v>
      </c>
      <c r="BY6195" s="215">
        <f t="shared" si="209"/>
        <v>0</v>
      </c>
    </row>
    <row r="6196" spans="76:77" x14ac:dyDescent="0.2">
      <c r="BX6196" s="214" t="e">
        <f t="shared" si="208"/>
        <v>#DIV/0!</v>
      </c>
      <c r="BY6196" s="215">
        <f t="shared" si="209"/>
        <v>0</v>
      </c>
    </row>
    <row r="6197" spans="76:77" x14ac:dyDescent="0.2">
      <c r="BX6197" s="214" t="e">
        <f t="shared" si="208"/>
        <v>#DIV/0!</v>
      </c>
      <c r="BY6197" s="215">
        <f t="shared" si="209"/>
        <v>0</v>
      </c>
    </row>
    <row r="6198" spans="76:77" x14ac:dyDescent="0.2">
      <c r="BX6198" s="214" t="e">
        <f t="shared" si="208"/>
        <v>#DIV/0!</v>
      </c>
      <c r="BY6198" s="215">
        <f t="shared" si="209"/>
        <v>0</v>
      </c>
    </row>
    <row r="6199" spans="76:77" x14ac:dyDescent="0.2">
      <c r="BX6199" s="214" t="e">
        <f t="shared" si="208"/>
        <v>#DIV/0!</v>
      </c>
      <c r="BY6199" s="215">
        <f t="shared" si="209"/>
        <v>0</v>
      </c>
    </row>
    <row r="6200" spans="76:77" x14ac:dyDescent="0.2">
      <c r="BX6200" s="214" t="e">
        <f t="shared" si="208"/>
        <v>#DIV/0!</v>
      </c>
      <c r="BY6200" s="215">
        <f t="shared" si="209"/>
        <v>0</v>
      </c>
    </row>
    <row r="6201" spans="76:77" x14ac:dyDescent="0.2">
      <c r="BX6201" s="214" t="e">
        <f t="shared" si="208"/>
        <v>#DIV/0!</v>
      </c>
      <c r="BY6201" s="215">
        <f t="shared" si="209"/>
        <v>0</v>
      </c>
    </row>
    <row r="6202" spans="76:77" x14ac:dyDescent="0.2">
      <c r="BX6202" s="214" t="e">
        <f t="shared" si="208"/>
        <v>#DIV/0!</v>
      </c>
      <c r="BY6202" s="215">
        <f t="shared" si="209"/>
        <v>0</v>
      </c>
    </row>
    <row r="6203" spans="76:77" x14ac:dyDescent="0.2">
      <c r="BX6203" s="214" t="e">
        <f t="shared" si="208"/>
        <v>#DIV/0!</v>
      </c>
      <c r="BY6203" s="215">
        <f t="shared" si="209"/>
        <v>0</v>
      </c>
    </row>
    <row r="6204" spans="76:77" x14ac:dyDescent="0.2">
      <c r="BX6204" s="214" t="e">
        <f t="shared" si="208"/>
        <v>#DIV/0!</v>
      </c>
      <c r="BY6204" s="215">
        <f t="shared" si="209"/>
        <v>0</v>
      </c>
    </row>
    <row r="6205" spans="76:77" x14ac:dyDescent="0.2">
      <c r="BX6205" s="214" t="e">
        <f t="shared" si="208"/>
        <v>#DIV/0!</v>
      </c>
      <c r="BY6205" s="215">
        <f t="shared" si="209"/>
        <v>0</v>
      </c>
    </row>
    <row r="6206" spans="76:77" x14ac:dyDescent="0.2">
      <c r="BX6206" s="214" t="e">
        <f t="shared" si="208"/>
        <v>#DIV/0!</v>
      </c>
      <c r="BY6206" s="215">
        <f t="shared" si="209"/>
        <v>0</v>
      </c>
    </row>
    <row r="6207" spans="76:77" x14ac:dyDescent="0.2">
      <c r="BX6207" s="214" t="e">
        <f t="shared" si="208"/>
        <v>#DIV/0!</v>
      </c>
      <c r="BY6207" s="215">
        <f t="shared" si="209"/>
        <v>0</v>
      </c>
    </row>
    <row r="6208" spans="76:77" x14ac:dyDescent="0.2">
      <c r="BX6208" s="214" t="e">
        <f t="shared" si="208"/>
        <v>#DIV/0!</v>
      </c>
      <c r="BY6208" s="215">
        <f t="shared" si="209"/>
        <v>0</v>
      </c>
    </row>
    <row r="6209" spans="76:77" x14ac:dyDescent="0.2">
      <c r="BX6209" s="214" t="e">
        <f t="shared" si="208"/>
        <v>#DIV/0!</v>
      </c>
      <c r="BY6209" s="215">
        <f t="shared" si="209"/>
        <v>0</v>
      </c>
    </row>
    <row r="6210" spans="76:77" x14ac:dyDescent="0.2">
      <c r="BX6210" s="214" t="e">
        <f t="shared" si="208"/>
        <v>#DIV/0!</v>
      </c>
      <c r="BY6210" s="215">
        <f t="shared" si="209"/>
        <v>0</v>
      </c>
    </row>
    <row r="6211" spans="76:77" x14ac:dyDescent="0.2">
      <c r="BX6211" s="214" t="e">
        <f t="shared" si="208"/>
        <v>#DIV/0!</v>
      </c>
      <c r="BY6211" s="215">
        <f t="shared" si="209"/>
        <v>0</v>
      </c>
    </row>
    <row r="6212" spans="76:77" x14ac:dyDescent="0.2">
      <c r="BX6212" s="214" t="e">
        <f t="shared" si="208"/>
        <v>#DIV/0!</v>
      </c>
      <c r="BY6212" s="215">
        <f t="shared" si="209"/>
        <v>0</v>
      </c>
    </row>
    <row r="6213" spans="76:77" x14ac:dyDescent="0.2">
      <c r="BX6213" s="214" t="e">
        <f t="shared" si="208"/>
        <v>#DIV/0!</v>
      </c>
      <c r="BY6213" s="215">
        <f t="shared" si="209"/>
        <v>0</v>
      </c>
    </row>
    <row r="6214" spans="76:77" x14ac:dyDescent="0.2">
      <c r="BX6214" s="214" t="e">
        <f t="shared" si="208"/>
        <v>#DIV/0!</v>
      </c>
      <c r="BY6214" s="215">
        <f t="shared" si="209"/>
        <v>0</v>
      </c>
    </row>
    <row r="6215" spans="76:77" x14ac:dyDescent="0.2">
      <c r="BX6215" s="214" t="e">
        <f t="shared" si="208"/>
        <v>#DIV/0!</v>
      </c>
      <c r="BY6215" s="215">
        <f t="shared" si="209"/>
        <v>0</v>
      </c>
    </row>
    <row r="6216" spans="76:77" x14ac:dyDescent="0.2">
      <c r="BX6216" s="214" t="e">
        <f t="shared" si="208"/>
        <v>#DIV/0!</v>
      </c>
      <c r="BY6216" s="215">
        <f t="shared" si="209"/>
        <v>0</v>
      </c>
    </row>
    <row r="6217" spans="76:77" x14ac:dyDescent="0.2">
      <c r="BX6217" s="214" t="e">
        <f t="shared" si="208"/>
        <v>#DIV/0!</v>
      </c>
      <c r="BY6217" s="215">
        <f t="shared" si="209"/>
        <v>0</v>
      </c>
    </row>
    <row r="6218" spans="76:77" x14ac:dyDescent="0.2">
      <c r="BX6218" s="214" t="e">
        <f t="shared" si="208"/>
        <v>#DIV/0!</v>
      </c>
      <c r="BY6218" s="215">
        <f t="shared" si="209"/>
        <v>0</v>
      </c>
    </row>
    <row r="6219" spans="76:77" x14ac:dyDescent="0.2">
      <c r="BX6219" s="214" t="e">
        <f t="shared" si="208"/>
        <v>#DIV/0!</v>
      </c>
      <c r="BY6219" s="215">
        <f t="shared" si="209"/>
        <v>0</v>
      </c>
    </row>
    <row r="6220" spans="76:77" x14ac:dyDescent="0.2">
      <c r="BX6220" s="214" t="e">
        <f t="shared" si="208"/>
        <v>#DIV/0!</v>
      </c>
      <c r="BY6220" s="215">
        <f t="shared" si="209"/>
        <v>0</v>
      </c>
    </row>
    <row r="6221" spans="76:77" x14ac:dyDescent="0.2">
      <c r="BX6221" s="214" t="e">
        <f t="shared" ref="BX6221:BX6284" si="210">BY6221/BV6221</f>
        <v>#DIV/0!</v>
      </c>
      <c r="BY6221" s="215">
        <f t="shared" si="209"/>
        <v>0</v>
      </c>
    </row>
    <row r="6222" spans="76:77" x14ac:dyDescent="0.2">
      <c r="BX6222" s="214" t="e">
        <f t="shared" si="210"/>
        <v>#DIV/0!</v>
      </c>
      <c r="BY6222" s="215">
        <f t="shared" ref="BY6222:BY6285" si="211">BY6221+BW6222*(BV6222-BV6221)</f>
        <v>0</v>
      </c>
    </row>
    <row r="6223" spans="76:77" x14ac:dyDescent="0.2">
      <c r="BX6223" s="214" t="e">
        <f t="shared" si="210"/>
        <v>#DIV/0!</v>
      </c>
      <c r="BY6223" s="215">
        <f t="shared" si="211"/>
        <v>0</v>
      </c>
    </row>
    <row r="6224" spans="76:77" x14ac:dyDescent="0.2">
      <c r="BX6224" s="214" t="e">
        <f t="shared" si="210"/>
        <v>#DIV/0!</v>
      </c>
      <c r="BY6224" s="215">
        <f t="shared" si="211"/>
        <v>0</v>
      </c>
    </row>
    <row r="6225" spans="76:77" x14ac:dyDescent="0.2">
      <c r="BX6225" s="214" t="e">
        <f t="shared" si="210"/>
        <v>#DIV/0!</v>
      </c>
      <c r="BY6225" s="215">
        <f t="shared" si="211"/>
        <v>0</v>
      </c>
    </row>
    <row r="6226" spans="76:77" x14ac:dyDescent="0.2">
      <c r="BX6226" s="214" t="e">
        <f t="shared" si="210"/>
        <v>#DIV/0!</v>
      </c>
      <c r="BY6226" s="215">
        <f t="shared" si="211"/>
        <v>0</v>
      </c>
    </row>
    <row r="6227" spans="76:77" x14ac:dyDescent="0.2">
      <c r="BX6227" s="214" t="e">
        <f t="shared" si="210"/>
        <v>#DIV/0!</v>
      </c>
      <c r="BY6227" s="215">
        <f t="shared" si="211"/>
        <v>0</v>
      </c>
    </row>
    <row r="6228" spans="76:77" x14ac:dyDescent="0.2">
      <c r="BX6228" s="214" t="e">
        <f t="shared" si="210"/>
        <v>#DIV/0!</v>
      </c>
      <c r="BY6228" s="215">
        <f t="shared" si="211"/>
        <v>0</v>
      </c>
    </row>
    <row r="6229" spans="76:77" x14ac:dyDescent="0.2">
      <c r="BX6229" s="214" t="e">
        <f t="shared" si="210"/>
        <v>#DIV/0!</v>
      </c>
      <c r="BY6229" s="215">
        <f t="shared" si="211"/>
        <v>0</v>
      </c>
    </row>
    <row r="6230" spans="76:77" x14ac:dyDescent="0.2">
      <c r="BX6230" s="214" t="e">
        <f t="shared" si="210"/>
        <v>#DIV/0!</v>
      </c>
      <c r="BY6230" s="215">
        <f t="shared" si="211"/>
        <v>0</v>
      </c>
    </row>
    <row r="6231" spans="76:77" x14ac:dyDescent="0.2">
      <c r="BX6231" s="214" t="e">
        <f t="shared" si="210"/>
        <v>#DIV/0!</v>
      </c>
      <c r="BY6231" s="215">
        <f t="shared" si="211"/>
        <v>0</v>
      </c>
    </row>
    <row r="6232" spans="76:77" x14ac:dyDescent="0.2">
      <c r="BX6232" s="214" t="e">
        <f t="shared" si="210"/>
        <v>#DIV/0!</v>
      </c>
      <c r="BY6232" s="215">
        <f t="shared" si="211"/>
        <v>0</v>
      </c>
    </row>
    <row r="6233" spans="76:77" x14ac:dyDescent="0.2">
      <c r="BX6233" s="214" t="e">
        <f t="shared" si="210"/>
        <v>#DIV/0!</v>
      </c>
      <c r="BY6233" s="215">
        <f t="shared" si="211"/>
        <v>0</v>
      </c>
    </row>
    <row r="6234" spans="76:77" x14ac:dyDescent="0.2">
      <c r="BX6234" s="214" t="e">
        <f t="shared" si="210"/>
        <v>#DIV/0!</v>
      </c>
      <c r="BY6234" s="215">
        <f t="shared" si="211"/>
        <v>0</v>
      </c>
    </row>
    <row r="6235" spans="76:77" x14ac:dyDescent="0.2">
      <c r="BX6235" s="214" t="e">
        <f t="shared" si="210"/>
        <v>#DIV/0!</v>
      </c>
      <c r="BY6235" s="215">
        <f t="shared" si="211"/>
        <v>0</v>
      </c>
    </row>
    <row r="6236" spans="76:77" x14ac:dyDescent="0.2">
      <c r="BX6236" s="214" t="e">
        <f t="shared" si="210"/>
        <v>#DIV/0!</v>
      </c>
      <c r="BY6236" s="215">
        <f t="shared" si="211"/>
        <v>0</v>
      </c>
    </row>
    <row r="6237" spans="76:77" x14ac:dyDescent="0.2">
      <c r="BX6237" s="214" t="e">
        <f t="shared" si="210"/>
        <v>#DIV/0!</v>
      </c>
      <c r="BY6237" s="215">
        <f t="shared" si="211"/>
        <v>0</v>
      </c>
    </row>
    <row r="6238" spans="76:77" x14ac:dyDescent="0.2">
      <c r="BX6238" s="214" t="e">
        <f t="shared" si="210"/>
        <v>#DIV/0!</v>
      </c>
      <c r="BY6238" s="215">
        <f t="shared" si="211"/>
        <v>0</v>
      </c>
    </row>
    <row r="6239" spans="76:77" x14ac:dyDescent="0.2">
      <c r="BX6239" s="214" t="e">
        <f t="shared" si="210"/>
        <v>#DIV/0!</v>
      </c>
      <c r="BY6239" s="215">
        <f t="shared" si="211"/>
        <v>0</v>
      </c>
    </row>
    <row r="6240" spans="76:77" x14ac:dyDescent="0.2">
      <c r="BX6240" s="214" t="e">
        <f t="shared" si="210"/>
        <v>#DIV/0!</v>
      </c>
      <c r="BY6240" s="215">
        <f t="shared" si="211"/>
        <v>0</v>
      </c>
    </row>
    <row r="6241" spans="76:77" x14ac:dyDescent="0.2">
      <c r="BX6241" s="214" t="e">
        <f t="shared" si="210"/>
        <v>#DIV/0!</v>
      </c>
      <c r="BY6241" s="215">
        <f t="shared" si="211"/>
        <v>0</v>
      </c>
    </row>
    <row r="6242" spans="76:77" x14ac:dyDescent="0.2">
      <c r="BX6242" s="214" t="e">
        <f t="shared" si="210"/>
        <v>#DIV/0!</v>
      </c>
      <c r="BY6242" s="215">
        <f t="shared" si="211"/>
        <v>0</v>
      </c>
    </row>
    <row r="6243" spans="76:77" x14ac:dyDescent="0.2">
      <c r="BX6243" s="214" t="e">
        <f t="shared" si="210"/>
        <v>#DIV/0!</v>
      </c>
      <c r="BY6243" s="215">
        <f t="shared" si="211"/>
        <v>0</v>
      </c>
    </row>
    <row r="6244" spans="76:77" x14ac:dyDescent="0.2">
      <c r="BX6244" s="214" t="e">
        <f t="shared" si="210"/>
        <v>#DIV/0!</v>
      </c>
      <c r="BY6244" s="215">
        <f t="shared" si="211"/>
        <v>0</v>
      </c>
    </row>
    <row r="6245" spans="76:77" x14ac:dyDescent="0.2">
      <c r="BX6245" s="214" t="e">
        <f t="shared" si="210"/>
        <v>#DIV/0!</v>
      </c>
      <c r="BY6245" s="215">
        <f t="shared" si="211"/>
        <v>0</v>
      </c>
    </row>
    <row r="6246" spans="76:77" x14ac:dyDescent="0.2">
      <c r="BX6246" s="214" t="e">
        <f t="shared" si="210"/>
        <v>#DIV/0!</v>
      </c>
      <c r="BY6246" s="215">
        <f t="shared" si="211"/>
        <v>0</v>
      </c>
    </row>
    <row r="6247" spans="76:77" x14ac:dyDescent="0.2">
      <c r="BX6247" s="214" t="e">
        <f t="shared" si="210"/>
        <v>#DIV/0!</v>
      </c>
      <c r="BY6247" s="215">
        <f t="shared" si="211"/>
        <v>0</v>
      </c>
    </row>
    <row r="6248" spans="76:77" x14ac:dyDescent="0.2">
      <c r="BX6248" s="214" t="e">
        <f t="shared" si="210"/>
        <v>#DIV/0!</v>
      </c>
      <c r="BY6248" s="215">
        <f t="shared" si="211"/>
        <v>0</v>
      </c>
    </row>
    <row r="6249" spans="76:77" x14ac:dyDescent="0.2">
      <c r="BX6249" s="214" t="e">
        <f t="shared" si="210"/>
        <v>#DIV/0!</v>
      </c>
      <c r="BY6249" s="215">
        <f t="shared" si="211"/>
        <v>0</v>
      </c>
    </row>
    <row r="6250" spans="76:77" x14ac:dyDescent="0.2">
      <c r="BX6250" s="214" t="e">
        <f t="shared" si="210"/>
        <v>#DIV/0!</v>
      </c>
      <c r="BY6250" s="215">
        <f t="shared" si="211"/>
        <v>0</v>
      </c>
    </row>
    <row r="6251" spans="76:77" x14ac:dyDescent="0.2">
      <c r="BX6251" s="214" t="e">
        <f t="shared" si="210"/>
        <v>#DIV/0!</v>
      </c>
      <c r="BY6251" s="215">
        <f t="shared" si="211"/>
        <v>0</v>
      </c>
    </row>
    <row r="6252" spans="76:77" x14ac:dyDescent="0.2">
      <c r="BX6252" s="214" t="e">
        <f t="shared" si="210"/>
        <v>#DIV/0!</v>
      </c>
      <c r="BY6252" s="215">
        <f t="shared" si="211"/>
        <v>0</v>
      </c>
    </row>
    <row r="6253" spans="76:77" x14ac:dyDescent="0.2">
      <c r="BX6253" s="214" t="e">
        <f t="shared" si="210"/>
        <v>#DIV/0!</v>
      </c>
      <c r="BY6253" s="215">
        <f t="shared" si="211"/>
        <v>0</v>
      </c>
    </row>
    <row r="6254" spans="76:77" x14ac:dyDescent="0.2">
      <c r="BX6254" s="214" t="e">
        <f t="shared" si="210"/>
        <v>#DIV/0!</v>
      </c>
      <c r="BY6254" s="215">
        <f t="shared" si="211"/>
        <v>0</v>
      </c>
    </row>
    <row r="6255" spans="76:77" x14ac:dyDescent="0.2">
      <c r="BX6255" s="214" t="e">
        <f t="shared" si="210"/>
        <v>#DIV/0!</v>
      </c>
      <c r="BY6255" s="215">
        <f t="shared" si="211"/>
        <v>0</v>
      </c>
    </row>
    <row r="6256" spans="76:77" x14ac:dyDescent="0.2">
      <c r="BX6256" s="214" t="e">
        <f t="shared" si="210"/>
        <v>#DIV/0!</v>
      </c>
      <c r="BY6256" s="215">
        <f t="shared" si="211"/>
        <v>0</v>
      </c>
    </row>
    <row r="6257" spans="76:77" x14ac:dyDescent="0.2">
      <c r="BX6257" s="214" t="e">
        <f t="shared" si="210"/>
        <v>#DIV/0!</v>
      </c>
      <c r="BY6257" s="215">
        <f t="shared" si="211"/>
        <v>0</v>
      </c>
    </row>
    <row r="6258" spans="76:77" x14ac:dyDescent="0.2">
      <c r="BX6258" s="214" t="e">
        <f t="shared" si="210"/>
        <v>#DIV/0!</v>
      </c>
      <c r="BY6258" s="215">
        <f t="shared" si="211"/>
        <v>0</v>
      </c>
    </row>
    <row r="6259" spans="76:77" x14ac:dyDescent="0.2">
      <c r="BX6259" s="214" t="e">
        <f t="shared" si="210"/>
        <v>#DIV/0!</v>
      </c>
      <c r="BY6259" s="215">
        <f t="shared" si="211"/>
        <v>0</v>
      </c>
    </row>
    <row r="6260" spans="76:77" x14ac:dyDescent="0.2">
      <c r="BX6260" s="214" t="e">
        <f t="shared" si="210"/>
        <v>#DIV/0!</v>
      </c>
      <c r="BY6260" s="215">
        <f t="shared" si="211"/>
        <v>0</v>
      </c>
    </row>
    <row r="6261" spans="76:77" x14ac:dyDescent="0.2">
      <c r="BX6261" s="214" t="e">
        <f t="shared" si="210"/>
        <v>#DIV/0!</v>
      </c>
      <c r="BY6261" s="215">
        <f t="shared" si="211"/>
        <v>0</v>
      </c>
    </row>
    <row r="6262" spans="76:77" x14ac:dyDescent="0.2">
      <c r="BX6262" s="214" t="e">
        <f t="shared" si="210"/>
        <v>#DIV/0!</v>
      </c>
      <c r="BY6262" s="215">
        <f t="shared" si="211"/>
        <v>0</v>
      </c>
    </row>
    <row r="6263" spans="76:77" x14ac:dyDescent="0.2">
      <c r="BX6263" s="214" t="e">
        <f t="shared" si="210"/>
        <v>#DIV/0!</v>
      </c>
      <c r="BY6263" s="215">
        <f t="shared" si="211"/>
        <v>0</v>
      </c>
    </row>
    <row r="6264" spans="76:77" x14ac:dyDescent="0.2">
      <c r="BX6264" s="214" t="e">
        <f t="shared" si="210"/>
        <v>#DIV/0!</v>
      </c>
      <c r="BY6264" s="215">
        <f t="shared" si="211"/>
        <v>0</v>
      </c>
    </row>
    <row r="6265" spans="76:77" x14ac:dyDescent="0.2">
      <c r="BX6265" s="214" t="e">
        <f t="shared" si="210"/>
        <v>#DIV/0!</v>
      </c>
      <c r="BY6265" s="215">
        <f t="shared" si="211"/>
        <v>0</v>
      </c>
    </row>
    <row r="6266" spans="76:77" x14ac:dyDescent="0.2">
      <c r="BX6266" s="214" t="e">
        <f t="shared" si="210"/>
        <v>#DIV/0!</v>
      </c>
      <c r="BY6266" s="215">
        <f t="shared" si="211"/>
        <v>0</v>
      </c>
    </row>
    <row r="6267" spans="76:77" x14ac:dyDescent="0.2">
      <c r="BX6267" s="214" t="e">
        <f t="shared" si="210"/>
        <v>#DIV/0!</v>
      </c>
      <c r="BY6267" s="215">
        <f t="shared" si="211"/>
        <v>0</v>
      </c>
    </row>
    <row r="6268" spans="76:77" x14ac:dyDescent="0.2">
      <c r="BX6268" s="214" t="e">
        <f t="shared" si="210"/>
        <v>#DIV/0!</v>
      </c>
      <c r="BY6268" s="215">
        <f t="shared" si="211"/>
        <v>0</v>
      </c>
    </row>
    <row r="6269" spans="76:77" x14ac:dyDescent="0.2">
      <c r="BX6269" s="214" t="e">
        <f t="shared" si="210"/>
        <v>#DIV/0!</v>
      </c>
      <c r="BY6269" s="215">
        <f t="shared" si="211"/>
        <v>0</v>
      </c>
    </row>
    <row r="6270" spans="76:77" x14ac:dyDescent="0.2">
      <c r="BX6270" s="214" t="e">
        <f t="shared" si="210"/>
        <v>#DIV/0!</v>
      </c>
      <c r="BY6270" s="215">
        <f t="shared" si="211"/>
        <v>0</v>
      </c>
    </row>
    <row r="6271" spans="76:77" x14ac:dyDescent="0.2">
      <c r="BX6271" s="214" t="e">
        <f t="shared" si="210"/>
        <v>#DIV/0!</v>
      </c>
      <c r="BY6271" s="215">
        <f t="shared" si="211"/>
        <v>0</v>
      </c>
    </row>
    <row r="6272" spans="76:77" x14ac:dyDescent="0.2">
      <c r="BX6272" s="214" t="e">
        <f t="shared" si="210"/>
        <v>#DIV/0!</v>
      </c>
      <c r="BY6272" s="215">
        <f t="shared" si="211"/>
        <v>0</v>
      </c>
    </row>
    <row r="6273" spans="76:77" x14ac:dyDescent="0.2">
      <c r="BX6273" s="214" t="e">
        <f t="shared" si="210"/>
        <v>#DIV/0!</v>
      </c>
      <c r="BY6273" s="215">
        <f t="shared" si="211"/>
        <v>0</v>
      </c>
    </row>
    <row r="6274" spans="76:77" x14ac:dyDescent="0.2">
      <c r="BX6274" s="214" t="e">
        <f t="shared" si="210"/>
        <v>#DIV/0!</v>
      </c>
      <c r="BY6274" s="215">
        <f t="shared" si="211"/>
        <v>0</v>
      </c>
    </row>
    <row r="6275" spans="76:77" x14ac:dyDescent="0.2">
      <c r="BX6275" s="214" t="e">
        <f t="shared" si="210"/>
        <v>#DIV/0!</v>
      </c>
      <c r="BY6275" s="215">
        <f t="shared" si="211"/>
        <v>0</v>
      </c>
    </row>
    <row r="6276" spans="76:77" x14ac:dyDescent="0.2">
      <c r="BX6276" s="214" t="e">
        <f t="shared" si="210"/>
        <v>#DIV/0!</v>
      </c>
      <c r="BY6276" s="215">
        <f t="shared" si="211"/>
        <v>0</v>
      </c>
    </row>
    <row r="6277" spans="76:77" x14ac:dyDescent="0.2">
      <c r="BX6277" s="214" t="e">
        <f t="shared" si="210"/>
        <v>#DIV/0!</v>
      </c>
      <c r="BY6277" s="215">
        <f t="shared" si="211"/>
        <v>0</v>
      </c>
    </row>
    <row r="6278" spans="76:77" x14ac:dyDescent="0.2">
      <c r="BX6278" s="214" t="e">
        <f t="shared" si="210"/>
        <v>#DIV/0!</v>
      </c>
      <c r="BY6278" s="215">
        <f t="shared" si="211"/>
        <v>0</v>
      </c>
    </row>
    <row r="6279" spans="76:77" x14ac:dyDescent="0.2">
      <c r="BX6279" s="214" t="e">
        <f t="shared" si="210"/>
        <v>#DIV/0!</v>
      </c>
      <c r="BY6279" s="215">
        <f t="shared" si="211"/>
        <v>0</v>
      </c>
    </row>
    <row r="6280" spans="76:77" x14ac:dyDescent="0.2">
      <c r="BX6280" s="214" t="e">
        <f t="shared" si="210"/>
        <v>#DIV/0!</v>
      </c>
      <c r="BY6280" s="215">
        <f t="shared" si="211"/>
        <v>0</v>
      </c>
    </row>
    <row r="6281" spans="76:77" x14ac:dyDescent="0.2">
      <c r="BX6281" s="214" t="e">
        <f t="shared" si="210"/>
        <v>#DIV/0!</v>
      </c>
      <c r="BY6281" s="215">
        <f t="shared" si="211"/>
        <v>0</v>
      </c>
    </row>
    <row r="6282" spans="76:77" x14ac:dyDescent="0.2">
      <c r="BX6282" s="214" t="e">
        <f t="shared" si="210"/>
        <v>#DIV/0!</v>
      </c>
      <c r="BY6282" s="215">
        <f t="shared" si="211"/>
        <v>0</v>
      </c>
    </row>
    <row r="6283" spans="76:77" x14ac:dyDescent="0.2">
      <c r="BX6283" s="214" t="e">
        <f t="shared" si="210"/>
        <v>#DIV/0!</v>
      </c>
      <c r="BY6283" s="215">
        <f t="shared" si="211"/>
        <v>0</v>
      </c>
    </row>
    <row r="6284" spans="76:77" x14ac:dyDescent="0.2">
      <c r="BX6284" s="214" t="e">
        <f t="shared" si="210"/>
        <v>#DIV/0!</v>
      </c>
      <c r="BY6284" s="215">
        <f t="shared" si="211"/>
        <v>0</v>
      </c>
    </row>
    <row r="6285" spans="76:77" x14ac:dyDescent="0.2">
      <c r="BX6285" s="214" t="e">
        <f t="shared" ref="BX6285:BX6348" si="212">BY6285/BV6285</f>
        <v>#DIV/0!</v>
      </c>
      <c r="BY6285" s="215">
        <f t="shared" si="211"/>
        <v>0</v>
      </c>
    </row>
    <row r="6286" spans="76:77" x14ac:dyDescent="0.2">
      <c r="BX6286" s="214" t="e">
        <f t="shared" si="212"/>
        <v>#DIV/0!</v>
      </c>
      <c r="BY6286" s="215">
        <f t="shared" ref="BY6286:BY6349" si="213">BY6285+BW6286*(BV6286-BV6285)</f>
        <v>0</v>
      </c>
    </row>
    <row r="6287" spans="76:77" x14ac:dyDescent="0.2">
      <c r="BX6287" s="214" t="e">
        <f t="shared" si="212"/>
        <v>#DIV/0!</v>
      </c>
      <c r="BY6287" s="215">
        <f t="shared" si="213"/>
        <v>0</v>
      </c>
    </row>
    <row r="6288" spans="76:77" x14ac:dyDescent="0.2">
      <c r="BX6288" s="214" t="e">
        <f t="shared" si="212"/>
        <v>#DIV/0!</v>
      </c>
      <c r="BY6288" s="215">
        <f t="shared" si="213"/>
        <v>0</v>
      </c>
    </row>
    <row r="6289" spans="76:77" x14ac:dyDescent="0.2">
      <c r="BX6289" s="214" t="e">
        <f t="shared" si="212"/>
        <v>#DIV/0!</v>
      </c>
      <c r="BY6289" s="215">
        <f t="shared" si="213"/>
        <v>0</v>
      </c>
    </row>
    <row r="6290" spans="76:77" x14ac:dyDescent="0.2">
      <c r="BX6290" s="214" t="e">
        <f t="shared" si="212"/>
        <v>#DIV/0!</v>
      </c>
      <c r="BY6290" s="215">
        <f t="shared" si="213"/>
        <v>0</v>
      </c>
    </row>
    <row r="6291" spans="76:77" x14ac:dyDescent="0.2">
      <c r="BX6291" s="214" t="e">
        <f t="shared" si="212"/>
        <v>#DIV/0!</v>
      </c>
      <c r="BY6291" s="215">
        <f t="shared" si="213"/>
        <v>0</v>
      </c>
    </row>
    <row r="6292" spans="76:77" x14ac:dyDescent="0.2">
      <c r="BX6292" s="214" t="e">
        <f t="shared" si="212"/>
        <v>#DIV/0!</v>
      </c>
      <c r="BY6292" s="215">
        <f t="shared" si="213"/>
        <v>0</v>
      </c>
    </row>
    <row r="6293" spans="76:77" x14ac:dyDescent="0.2">
      <c r="BX6293" s="214" t="e">
        <f t="shared" si="212"/>
        <v>#DIV/0!</v>
      </c>
      <c r="BY6293" s="215">
        <f t="shared" si="213"/>
        <v>0</v>
      </c>
    </row>
    <row r="6294" spans="76:77" x14ac:dyDescent="0.2">
      <c r="BX6294" s="214" t="e">
        <f t="shared" si="212"/>
        <v>#DIV/0!</v>
      </c>
      <c r="BY6294" s="215">
        <f t="shared" si="213"/>
        <v>0</v>
      </c>
    </row>
    <row r="6295" spans="76:77" x14ac:dyDescent="0.2">
      <c r="BX6295" s="214" t="e">
        <f t="shared" si="212"/>
        <v>#DIV/0!</v>
      </c>
      <c r="BY6295" s="215">
        <f t="shared" si="213"/>
        <v>0</v>
      </c>
    </row>
    <row r="6296" spans="76:77" x14ac:dyDescent="0.2">
      <c r="BX6296" s="214" t="e">
        <f t="shared" si="212"/>
        <v>#DIV/0!</v>
      </c>
      <c r="BY6296" s="215">
        <f t="shared" si="213"/>
        <v>0</v>
      </c>
    </row>
    <row r="6297" spans="76:77" x14ac:dyDescent="0.2">
      <c r="BX6297" s="214" t="e">
        <f t="shared" si="212"/>
        <v>#DIV/0!</v>
      </c>
      <c r="BY6297" s="215">
        <f t="shared" si="213"/>
        <v>0</v>
      </c>
    </row>
    <row r="6298" spans="76:77" x14ac:dyDescent="0.2">
      <c r="BX6298" s="214" t="e">
        <f t="shared" si="212"/>
        <v>#DIV/0!</v>
      </c>
      <c r="BY6298" s="215">
        <f t="shared" si="213"/>
        <v>0</v>
      </c>
    </row>
    <row r="6299" spans="76:77" x14ac:dyDescent="0.2">
      <c r="BX6299" s="214" t="e">
        <f t="shared" si="212"/>
        <v>#DIV/0!</v>
      </c>
      <c r="BY6299" s="215">
        <f t="shared" si="213"/>
        <v>0</v>
      </c>
    </row>
    <row r="6300" spans="76:77" x14ac:dyDescent="0.2">
      <c r="BX6300" s="214" t="e">
        <f t="shared" si="212"/>
        <v>#DIV/0!</v>
      </c>
      <c r="BY6300" s="215">
        <f t="shared" si="213"/>
        <v>0</v>
      </c>
    </row>
    <row r="6301" spans="76:77" x14ac:dyDescent="0.2">
      <c r="BX6301" s="214" t="e">
        <f t="shared" si="212"/>
        <v>#DIV/0!</v>
      </c>
      <c r="BY6301" s="215">
        <f t="shared" si="213"/>
        <v>0</v>
      </c>
    </row>
    <row r="6302" spans="76:77" x14ac:dyDescent="0.2">
      <c r="BX6302" s="214" t="e">
        <f t="shared" si="212"/>
        <v>#DIV/0!</v>
      </c>
      <c r="BY6302" s="215">
        <f t="shared" si="213"/>
        <v>0</v>
      </c>
    </row>
    <row r="6303" spans="76:77" x14ac:dyDescent="0.2">
      <c r="BX6303" s="214" t="e">
        <f t="shared" si="212"/>
        <v>#DIV/0!</v>
      </c>
      <c r="BY6303" s="215">
        <f t="shared" si="213"/>
        <v>0</v>
      </c>
    </row>
    <row r="6304" spans="76:77" x14ac:dyDescent="0.2">
      <c r="BX6304" s="214" t="e">
        <f t="shared" si="212"/>
        <v>#DIV/0!</v>
      </c>
      <c r="BY6304" s="215">
        <f t="shared" si="213"/>
        <v>0</v>
      </c>
    </row>
    <row r="6305" spans="76:77" x14ac:dyDescent="0.2">
      <c r="BX6305" s="214" t="e">
        <f t="shared" si="212"/>
        <v>#DIV/0!</v>
      </c>
      <c r="BY6305" s="215">
        <f t="shared" si="213"/>
        <v>0</v>
      </c>
    </row>
    <row r="6306" spans="76:77" x14ac:dyDescent="0.2">
      <c r="BX6306" s="214" t="e">
        <f t="shared" si="212"/>
        <v>#DIV/0!</v>
      </c>
      <c r="BY6306" s="215">
        <f t="shared" si="213"/>
        <v>0</v>
      </c>
    </row>
    <row r="6307" spans="76:77" x14ac:dyDescent="0.2">
      <c r="BX6307" s="214" t="e">
        <f t="shared" si="212"/>
        <v>#DIV/0!</v>
      </c>
      <c r="BY6307" s="215">
        <f t="shared" si="213"/>
        <v>0</v>
      </c>
    </row>
    <row r="6308" spans="76:77" x14ac:dyDescent="0.2">
      <c r="BX6308" s="214" t="e">
        <f t="shared" si="212"/>
        <v>#DIV/0!</v>
      </c>
      <c r="BY6308" s="215">
        <f t="shared" si="213"/>
        <v>0</v>
      </c>
    </row>
    <row r="6309" spans="76:77" x14ac:dyDescent="0.2">
      <c r="BX6309" s="214" t="e">
        <f t="shared" si="212"/>
        <v>#DIV/0!</v>
      </c>
      <c r="BY6309" s="215">
        <f t="shared" si="213"/>
        <v>0</v>
      </c>
    </row>
    <row r="6310" spans="76:77" x14ac:dyDescent="0.2">
      <c r="BX6310" s="214" t="e">
        <f t="shared" si="212"/>
        <v>#DIV/0!</v>
      </c>
      <c r="BY6310" s="215">
        <f t="shared" si="213"/>
        <v>0</v>
      </c>
    </row>
    <row r="6311" spans="76:77" x14ac:dyDescent="0.2">
      <c r="BX6311" s="214" t="e">
        <f t="shared" si="212"/>
        <v>#DIV/0!</v>
      </c>
      <c r="BY6311" s="215">
        <f t="shared" si="213"/>
        <v>0</v>
      </c>
    </row>
    <row r="6312" spans="76:77" x14ac:dyDescent="0.2">
      <c r="BX6312" s="214" t="e">
        <f t="shared" si="212"/>
        <v>#DIV/0!</v>
      </c>
      <c r="BY6312" s="215">
        <f t="shared" si="213"/>
        <v>0</v>
      </c>
    </row>
    <row r="6313" spans="76:77" x14ac:dyDescent="0.2">
      <c r="BX6313" s="214" t="e">
        <f t="shared" si="212"/>
        <v>#DIV/0!</v>
      </c>
      <c r="BY6313" s="215">
        <f t="shared" si="213"/>
        <v>0</v>
      </c>
    </row>
    <row r="6314" spans="76:77" x14ac:dyDescent="0.2">
      <c r="BX6314" s="214" t="e">
        <f t="shared" si="212"/>
        <v>#DIV/0!</v>
      </c>
      <c r="BY6314" s="215">
        <f t="shared" si="213"/>
        <v>0</v>
      </c>
    </row>
    <row r="6315" spans="76:77" x14ac:dyDescent="0.2">
      <c r="BX6315" s="214" t="e">
        <f t="shared" si="212"/>
        <v>#DIV/0!</v>
      </c>
      <c r="BY6315" s="215">
        <f t="shared" si="213"/>
        <v>0</v>
      </c>
    </row>
    <row r="6316" spans="76:77" x14ac:dyDescent="0.2">
      <c r="BX6316" s="214" t="e">
        <f t="shared" si="212"/>
        <v>#DIV/0!</v>
      </c>
      <c r="BY6316" s="215">
        <f t="shared" si="213"/>
        <v>0</v>
      </c>
    </row>
    <row r="6317" spans="76:77" x14ac:dyDescent="0.2">
      <c r="BX6317" s="214" t="e">
        <f t="shared" si="212"/>
        <v>#DIV/0!</v>
      </c>
      <c r="BY6317" s="215">
        <f t="shared" si="213"/>
        <v>0</v>
      </c>
    </row>
    <row r="6318" spans="76:77" x14ac:dyDescent="0.2">
      <c r="BX6318" s="214" t="e">
        <f t="shared" si="212"/>
        <v>#DIV/0!</v>
      </c>
      <c r="BY6318" s="215">
        <f t="shared" si="213"/>
        <v>0</v>
      </c>
    </row>
    <row r="6319" spans="76:77" x14ac:dyDescent="0.2">
      <c r="BX6319" s="214" t="e">
        <f t="shared" si="212"/>
        <v>#DIV/0!</v>
      </c>
      <c r="BY6319" s="215">
        <f t="shared" si="213"/>
        <v>0</v>
      </c>
    </row>
    <row r="6320" spans="76:77" x14ac:dyDescent="0.2">
      <c r="BX6320" s="214" t="e">
        <f t="shared" si="212"/>
        <v>#DIV/0!</v>
      </c>
      <c r="BY6320" s="215">
        <f t="shared" si="213"/>
        <v>0</v>
      </c>
    </row>
    <row r="6321" spans="76:77" x14ac:dyDescent="0.2">
      <c r="BX6321" s="214" t="e">
        <f t="shared" si="212"/>
        <v>#DIV/0!</v>
      </c>
      <c r="BY6321" s="215">
        <f t="shared" si="213"/>
        <v>0</v>
      </c>
    </row>
    <row r="6322" spans="76:77" x14ac:dyDescent="0.2">
      <c r="BX6322" s="214" t="e">
        <f t="shared" si="212"/>
        <v>#DIV/0!</v>
      </c>
      <c r="BY6322" s="215">
        <f t="shared" si="213"/>
        <v>0</v>
      </c>
    </row>
    <row r="6323" spans="76:77" x14ac:dyDescent="0.2">
      <c r="BX6323" s="214" t="e">
        <f t="shared" si="212"/>
        <v>#DIV/0!</v>
      </c>
      <c r="BY6323" s="215">
        <f t="shared" si="213"/>
        <v>0</v>
      </c>
    </row>
    <row r="6324" spans="76:77" x14ac:dyDescent="0.2">
      <c r="BX6324" s="214" t="e">
        <f t="shared" si="212"/>
        <v>#DIV/0!</v>
      </c>
      <c r="BY6324" s="215">
        <f t="shared" si="213"/>
        <v>0</v>
      </c>
    </row>
    <row r="6325" spans="76:77" x14ac:dyDescent="0.2">
      <c r="BX6325" s="214" t="e">
        <f t="shared" si="212"/>
        <v>#DIV/0!</v>
      </c>
      <c r="BY6325" s="215">
        <f t="shared" si="213"/>
        <v>0</v>
      </c>
    </row>
    <row r="6326" spans="76:77" x14ac:dyDescent="0.2">
      <c r="BX6326" s="214" t="e">
        <f t="shared" si="212"/>
        <v>#DIV/0!</v>
      </c>
      <c r="BY6326" s="215">
        <f t="shared" si="213"/>
        <v>0</v>
      </c>
    </row>
    <row r="6327" spans="76:77" x14ac:dyDescent="0.2">
      <c r="BX6327" s="214" t="e">
        <f t="shared" si="212"/>
        <v>#DIV/0!</v>
      </c>
      <c r="BY6327" s="215">
        <f t="shared" si="213"/>
        <v>0</v>
      </c>
    </row>
    <row r="6328" spans="76:77" x14ac:dyDescent="0.2">
      <c r="BX6328" s="214" t="e">
        <f t="shared" si="212"/>
        <v>#DIV/0!</v>
      </c>
      <c r="BY6328" s="215">
        <f t="shared" si="213"/>
        <v>0</v>
      </c>
    </row>
    <row r="6329" spans="76:77" x14ac:dyDescent="0.2">
      <c r="BX6329" s="214" t="e">
        <f t="shared" si="212"/>
        <v>#DIV/0!</v>
      </c>
      <c r="BY6329" s="215">
        <f t="shared" si="213"/>
        <v>0</v>
      </c>
    </row>
    <row r="6330" spans="76:77" x14ac:dyDescent="0.2">
      <c r="BX6330" s="214" t="e">
        <f t="shared" si="212"/>
        <v>#DIV/0!</v>
      </c>
      <c r="BY6330" s="215">
        <f t="shared" si="213"/>
        <v>0</v>
      </c>
    </row>
    <row r="6331" spans="76:77" x14ac:dyDescent="0.2">
      <c r="BX6331" s="214" t="e">
        <f t="shared" si="212"/>
        <v>#DIV/0!</v>
      </c>
      <c r="BY6331" s="215">
        <f t="shared" si="213"/>
        <v>0</v>
      </c>
    </row>
    <row r="6332" spans="76:77" x14ac:dyDescent="0.2">
      <c r="BX6332" s="214" t="e">
        <f t="shared" si="212"/>
        <v>#DIV/0!</v>
      </c>
      <c r="BY6332" s="215">
        <f t="shared" si="213"/>
        <v>0</v>
      </c>
    </row>
    <row r="6333" spans="76:77" x14ac:dyDescent="0.2">
      <c r="BX6333" s="214" t="e">
        <f t="shared" si="212"/>
        <v>#DIV/0!</v>
      </c>
      <c r="BY6333" s="215">
        <f t="shared" si="213"/>
        <v>0</v>
      </c>
    </row>
    <row r="6334" spans="76:77" x14ac:dyDescent="0.2">
      <c r="BX6334" s="214" t="e">
        <f t="shared" si="212"/>
        <v>#DIV/0!</v>
      </c>
      <c r="BY6334" s="215">
        <f t="shared" si="213"/>
        <v>0</v>
      </c>
    </row>
    <row r="6335" spans="76:77" x14ac:dyDescent="0.2">
      <c r="BX6335" s="214" t="e">
        <f t="shared" si="212"/>
        <v>#DIV/0!</v>
      </c>
      <c r="BY6335" s="215">
        <f t="shared" si="213"/>
        <v>0</v>
      </c>
    </row>
    <row r="6336" spans="76:77" x14ac:dyDescent="0.2">
      <c r="BX6336" s="214" t="e">
        <f t="shared" si="212"/>
        <v>#DIV/0!</v>
      </c>
      <c r="BY6336" s="215">
        <f t="shared" si="213"/>
        <v>0</v>
      </c>
    </row>
    <row r="6337" spans="76:77" x14ac:dyDescent="0.2">
      <c r="BX6337" s="214" t="e">
        <f t="shared" si="212"/>
        <v>#DIV/0!</v>
      </c>
      <c r="BY6337" s="215">
        <f t="shared" si="213"/>
        <v>0</v>
      </c>
    </row>
    <row r="6338" spans="76:77" x14ac:dyDescent="0.2">
      <c r="BX6338" s="214" t="e">
        <f t="shared" si="212"/>
        <v>#DIV/0!</v>
      </c>
      <c r="BY6338" s="215">
        <f t="shared" si="213"/>
        <v>0</v>
      </c>
    </row>
    <row r="6339" spans="76:77" x14ac:dyDescent="0.2">
      <c r="BX6339" s="214" t="e">
        <f t="shared" si="212"/>
        <v>#DIV/0!</v>
      </c>
      <c r="BY6339" s="215">
        <f t="shared" si="213"/>
        <v>0</v>
      </c>
    </row>
    <row r="6340" spans="76:77" x14ac:dyDescent="0.2">
      <c r="BX6340" s="214" t="e">
        <f t="shared" si="212"/>
        <v>#DIV/0!</v>
      </c>
      <c r="BY6340" s="215">
        <f t="shared" si="213"/>
        <v>0</v>
      </c>
    </row>
    <row r="6341" spans="76:77" x14ac:dyDescent="0.2">
      <c r="BX6341" s="214" t="e">
        <f t="shared" si="212"/>
        <v>#DIV/0!</v>
      </c>
      <c r="BY6341" s="215">
        <f t="shared" si="213"/>
        <v>0</v>
      </c>
    </row>
    <row r="6342" spans="76:77" x14ac:dyDescent="0.2">
      <c r="BX6342" s="214" t="e">
        <f t="shared" si="212"/>
        <v>#DIV/0!</v>
      </c>
      <c r="BY6342" s="215">
        <f t="shared" si="213"/>
        <v>0</v>
      </c>
    </row>
    <row r="6343" spans="76:77" x14ac:dyDescent="0.2">
      <c r="BX6343" s="214" t="e">
        <f t="shared" si="212"/>
        <v>#DIV/0!</v>
      </c>
      <c r="BY6343" s="215">
        <f t="shared" si="213"/>
        <v>0</v>
      </c>
    </row>
    <row r="6344" spans="76:77" x14ac:dyDescent="0.2">
      <c r="BX6344" s="214" t="e">
        <f t="shared" si="212"/>
        <v>#DIV/0!</v>
      </c>
      <c r="BY6344" s="215">
        <f t="shared" si="213"/>
        <v>0</v>
      </c>
    </row>
    <row r="6345" spans="76:77" x14ac:dyDescent="0.2">
      <c r="BX6345" s="214" t="e">
        <f t="shared" si="212"/>
        <v>#DIV/0!</v>
      </c>
      <c r="BY6345" s="215">
        <f t="shared" si="213"/>
        <v>0</v>
      </c>
    </row>
    <row r="6346" spans="76:77" x14ac:dyDescent="0.2">
      <c r="BX6346" s="214" t="e">
        <f t="shared" si="212"/>
        <v>#DIV/0!</v>
      </c>
      <c r="BY6346" s="215">
        <f t="shared" si="213"/>
        <v>0</v>
      </c>
    </row>
    <row r="6347" spans="76:77" x14ac:dyDescent="0.2">
      <c r="BX6347" s="214" t="e">
        <f t="shared" si="212"/>
        <v>#DIV/0!</v>
      </c>
      <c r="BY6347" s="215">
        <f t="shared" si="213"/>
        <v>0</v>
      </c>
    </row>
    <row r="6348" spans="76:77" x14ac:dyDescent="0.2">
      <c r="BX6348" s="214" t="e">
        <f t="shared" si="212"/>
        <v>#DIV/0!</v>
      </c>
      <c r="BY6348" s="215">
        <f t="shared" si="213"/>
        <v>0</v>
      </c>
    </row>
    <row r="6349" spans="76:77" x14ac:dyDescent="0.2">
      <c r="BX6349" s="214" t="e">
        <f t="shared" ref="BX6349:BX6412" si="214">BY6349/BV6349</f>
        <v>#DIV/0!</v>
      </c>
      <c r="BY6349" s="215">
        <f t="shared" si="213"/>
        <v>0</v>
      </c>
    </row>
    <row r="6350" spans="76:77" x14ac:dyDescent="0.2">
      <c r="BX6350" s="214" t="e">
        <f t="shared" si="214"/>
        <v>#DIV/0!</v>
      </c>
      <c r="BY6350" s="215">
        <f t="shared" ref="BY6350:BY6413" si="215">BY6349+BW6350*(BV6350-BV6349)</f>
        <v>0</v>
      </c>
    </row>
    <row r="6351" spans="76:77" x14ac:dyDescent="0.2">
      <c r="BX6351" s="214" t="e">
        <f t="shared" si="214"/>
        <v>#DIV/0!</v>
      </c>
      <c r="BY6351" s="215">
        <f t="shared" si="215"/>
        <v>0</v>
      </c>
    </row>
    <row r="6352" spans="76:77" x14ac:dyDescent="0.2">
      <c r="BX6352" s="214" t="e">
        <f t="shared" si="214"/>
        <v>#DIV/0!</v>
      </c>
      <c r="BY6352" s="215">
        <f t="shared" si="215"/>
        <v>0</v>
      </c>
    </row>
    <row r="6353" spans="76:77" x14ac:dyDescent="0.2">
      <c r="BX6353" s="214" t="e">
        <f t="shared" si="214"/>
        <v>#DIV/0!</v>
      </c>
      <c r="BY6353" s="215">
        <f t="shared" si="215"/>
        <v>0</v>
      </c>
    </row>
    <row r="6354" spans="76:77" x14ac:dyDescent="0.2">
      <c r="BX6354" s="214" t="e">
        <f t="shared" si="214"/>
        <v>#DIV/0!</v>
      </c>
      <c r="BY6354" s="215">
        <f t="shared" si="215"/>
        <v>0</v>
      </c>
    </row>
    <row r="6355" spans="76:77" x14ac:dyDescent="0.2">
      <c r="BX6355" s="214" t="e">
        <f t="shared" si="214"/>
        <v>#DIV/0!</v>
      </c>
      <c r="BY6355" s="215">
        <f t="shared" si="215"/>
        <v>0</v>
      </c>
    </row>
    <row r="6356" spans="76:77" x14ac:dyDescent="0.2">
      <c r="BX6356" s="214" t="e">
        <f t="shared" si="214"/>
        <v>#DIV/0!</v>
      </c>
      <c r="BY6356" s="215">
        <f t="shared" si="215"/>
        <v>0</v>
      </c>
    </row>
    <row r="6357" spans="76:77" x14ac:dyDescent="0.2">
      <c r="BX6357" s="214" t="e">
        <f t="shared" si="214"/>
        <v>#DIV/0!</v>
      </c>
      <c r="BY6357" s="215">
        <f t="shared" si="215"/>
        <v>0</v>
      </c>
    </row>
    <row r="6358" spans="76:77" x14ac:dyDescent="0.2">
      <c r="BX6358" s="214" t="e">
        <f t="shared" si="214"/>
        <v>#DIV/0!</v>
      </c>
      <c r="BY6358" s="215">
        <f t="shared" si="215"/>
        <v>0</v>
      </c>
    </row>
    <row r="6359" spans="76:77" x14ac:dyDescent="0.2">
      <c r="BX6359" s="214" t="e">
        <f t="shared" si="214"/>
        <v>#DIV/0!</v>
      </c>
      <c r="BY6359" s="215">
        <f t="shared" si="215"/>
        <v>0</v>
      </c>
    </row>
    <row r="6360" spans="76:77" x14ac:dyDescent="0.2">
      <c r="BX6360" s="214" t="e">
        <f t="shared" si="214"/>
        <v>#DIV/0!</v>
      </c>
      <c r="BY6360" s="215">
        <f t="shared" si="215"/>
        <v>0</v>
      </c>
    </row>
    <row r="6361" spans="76:77" x14ac:dyDescent="0.2">
      <c r="BX6361" s="214" t="e">
        <f t="shared" si="214"/>
        <v>#DIV/0!</v>
      </c>
      <c r="BY6361" s="215">
        <f t="shared" si="215"/>
        <v>0</v>
      </c>
    </row>
    <row r="6362" spans="76:77" x14ac:dyDescent="0.2">
      <c r="BX6362" s="214" t="e">
        <f t="shared" si="214"/>
        <v>#DIV/0!</v>
      </c>
      <c r="BY6362" s="215">
        <f t="shared" si="215"/>
        <v>0</v>
      </c>
    </row>
    <row r="6363" spans="76:77" x14ac:dyDescent="0.2">
      <c r="BX6363" s="214" t="e">
        <f t="shared" si="214"/>
        <v>#DIV/0!</v>
      </c>
      <c r="BY6363" s="215">
        <f t="shared" si="215"/>
        <v>0</v>
      </c>
    </row>
    <row r="6364" spans="76:77" x14ac:dyDescent="0.2">
      <c r="BX6364" s="214" t="e">
        <f t="shared" si="214"/>
        <v>#DIV/0!</v>
      </c>
      <c r="BY6364" s="215">
        <f t="shared" si="215"/>
        <v>0</v>
      </c>
    </row>
    <row r="6365" spans="76:77" x14ac:dyDescent="0.2">
      <c r="BX6365" s="214" t="e">
        <f t="shared" si="214"/>
        <v>#DIV/0!</v>
      </c>
      <c r="BY6365" s="215">
        <f t="shared" si="215"/>
        <v>0</v>
      </c>
    </row>
    <row r="6366" spans="76:77" x14ac:dyDescent="0.2">
      <c r="BX6366" s="214" t="e">
        <f t="shared" si="214"/>
        <v>#DIV/0!</v>
      </c>
      <c r="BY6366" s="215">
        <f t="shared" si="215"/>
        <v>0</v>
      </c>
    </row>
    <row r="6367" spans="76:77" x14ac:dyDescent="0.2">
      <c r="BX6367" s="214" t="e">
        <f t="shared" si="214"/>
        <v>#DIV/0!</v>
      </c>
      <c r="BY6367" s="215">
        <f t="shared" si="215"/>
        <v>0</v>
      </c>
    </row>
    <row r="6368" spans="76:77" x14ac:dyDescent="0.2">
      <c r="BX6368" s="214" t="e">
        <f t="shared" si="214"/>
        <v>#DIV/0!</v>
      </c>
      <c r="BY6368" s="215">
        <f t="shared" si="215"/>
        <v>0</v>
      </c>
    </row>
    <row r="6369" spans="76:77" x14ac:dyDescent="0.2">
      <c r="BX6369" s="214" t="e">
        <f t="shared" si="214"/>
        <v>#DIV/0!</v>
      </c>
      <c r="BY6369" s="215">
        <f t="shared" si="215"/>
        <v>0</v>
      </c>
    </row>
    <row r="6370" spans="76:77" x14ac:dyDescent="0.2">
      <c r="BX6370" s="214" t="e">
        <f t="shared" si="214"/>
        <v>#DIV/0!</v>
      </c>
      <c r="BY6370" s="215">
        <f t="shared" si="215"/>
        <v>0</v>
      </c>
    </row>
    <row r="6371" spans="76:77" x14ac:dyDescent="0.2">
      <c r="BX6371" s="214" t="e">
        <f t="shared" si="214"/>
        <v>#DIV/0!</v>
      </c>
      <c r="BY6371" s="215">
        <f t="shared" si="215"/>
        <v>0</v>
      </c>
    </row>
    <row r="6372" spans="76:77" x14ac:dyDescent="0.2">
      <c r="BX6372" s="214" t="e">
        <f t="shared" si="214"/>
        <v>#DIV/0!</v>
      </c>
      <c r="BY6372" s="215">
        <f t="shared" si="215"/>
        <v>0</v>
      </c>
    </row>
    <row r="6373" spans="76:77" x14ac:dyDescent="0.2">
      <c r="BX6373" s="214" t="e">
        <f t="shared" si="214"/>
        <v>#DIV/0!</v>
      </c>
      <c r="BY6373" s="215">
        <f t="shared" si="215"/>
        <v>0</v>
      </c>
    </row>
    <row r="6374" spans="76:77" x14ac:dyDescent="0.2">
      <c r="BX6374" s="214" t="e">
        <f t="shared" si="214"/>
        <v>#DIV/0!</v>
      </c>
      <c r="BY6374" s="215">
        <f t="shared" si="215"/>
        <v>0</v>
      </c>
    </row>
    <row r="6375" spans="76:77" x14ac:dyDescent="0.2">
      <c r="BX6375" s="214" t="e">
        <f t="shared" si="214"/>
        <v>#DIV/0!</v>
      </c>
      <c r="BY6375" s="215">
        <f t="shared" si="215"/>
        <v>0</v>
      </c>
    </row>
    <row r="6376" spans="76:77" x14ac:dyDescent="0.2">
      <c r="BX6376" s="214" t="e">
        <f t="shared" si="214"/>
        <v>#DIV/0!</v>
      </c>
      <c r="BY6376" s="215">
        <f t="shared" si="215"/>
        <v>0</v>
      </c>
    </row>
    <row r="6377" spans="76:77" x14ac:dyDescent="0.2">
      <c r="BX6377" s="214" t="e">
        <f t="shared" si="214"/>
        <v>#DIV/0!</v>
      </c>
      <c r="BY6377" s="215">
        <f t="shared" si="215"/>
        <v>0</v>
      </c>
    </row>
    <row r="6378" spans="76:77" x14ac:dyDescent="0.2">
      <c r="BX6378" s="214" t="e">
        <f t="shared" si="214"/>
        <v>#DIV/0!</v>
      </c>
      <c r="BY6378" s="215">
        <f t="shared" si="215"/>
        <v>0</v>
      </c>
    </row>
    <row r="6379" spans="76:77" x14ac:dyDescent="0.2">
      <c r="BX6379" s="214" t="e">
        <f t="shared" si="214"/>
        <v>#DIV/0!</v>
      </c>
      <c r="BY6379" s="215">
        <f t="shared" si="215"/>
        <v>0</v>
      </c>
    </row>
    <row r="6380" spans="76:77" x14ac:dyDescent="0.2">
      <c r="BX6380" s="214" t="e">
        <f t="shared" si="214"/>
        <v>#DIV/0!</v>
      </c>
      <c r="BY6380" s="215">
        <f t="shared" si="215"/>
        <v>0</v>
      </c>
    </row>
    <row r="6381" spans="76:77" x14ac:dyDescent="0.2">
      <c r="BX6381" s="214" t="e">
        <f t="shared" si="214"/>
        <v>#DIV/0!</v>
      </c>
      <c r="BY6381" s="215">
        <f t="shared" si="215"/>
        <v>0</v>
      </c>
    </row>
    <row r="6382" spans="76:77" x14ac:dyDescent="0.2">
      <c r="BX6382" s="214" t="e">
        <f t="shared" si="214"/>
        <v>#DIV/0!</v>
      </c>
      <c r="BY6382" s="215">
        <f t="shared" si="215"/>
        <v>0</v>
      </c>
    </row>
    <row r="6383" spans="76:77" x14ac:dyDescent="0.2">
      <c r="BX6383" s="214" t="e">
        <f t="shared" si="214"/>
        <v>#DIV/0!</v>
      </c>
      <c r="BY6383" s="215">
        <f t="shared" si="215"/>
        <v>0</v>
      </c>
    </row>
    <row r="6384" spans="76:77" x14ac:dyDescent="0.2">
      <c r="BX6384" s="214" t="e">
        <f t="shared" si="214"/>
        <v>#DIV/0!</v>
      </c>
      <c r="BY6384" s="215">
        <f t="shared" si="215"/>
        <v>0</v>
      </c>
    </row>
    <row r="6385" spans="76:77" x14ac:dyDescent="0.2">
      <c r="BX6385" s="214" t="e">
        <f t="shared" si="214"/>
        <v>#DIV/0!</v>
      </c>
      <c r="BY6385" s="215">
        <f t="shared" si="215"/>
        <v>0</v>
      </c>
    </row>
    <row r="6386" spans="76:77" x14ac:dyDescent="0.2">
      <c r="BX6386" s="214" t="e">
        <f t="shared" si="214"/>
        <v>#DIV/0!</v>
      </c>
      <c r="BY6386" s="215">
        <f t="shared" si="215"/>
        <v>0</v>
      </c>
    </row>
    <row r="6387" spans="76:77" x14ac:dyDescent="0.2">
      <c r="BX6387" s="214" t="e">
        <f t="shared" si="214"/>
        <v>#DIV/0!</v>
      </c>
      <c r="BY6387" s="215">
        <f t="shared" si="215"/>
        <v>0</v>
      </c>
    </row>
    <row r="6388" spans="76:77" x14ac:dyDescent="0.2">
      <c r="BX6388" s="214" t="e">
        <f t="shared" si="214"/>
        <v>#DIV/0!</v>
      </c>
      <c r="BY6388" s="215">
        <f t="shared" si="215"/>
        <v>0</v>
      </c>
    </row>
    <row r="6389" spans="76:77" x14ac:dyDescent="0.2">
      <c r="BX6389" s="214" t="e">
        <f t="shared" si="214"/>
        <v>#DIV/0!</v>
      </c>
      <c r="BY6389" s="215">
        <f t="shared" si="215"/>
        <v>0</v>
      </c>
    </row>
    <row r="6390" spans="76:77" x14ac:dyDescent="0.2">
      <c r="BX6390" s="214" t="e">
        <f t="shared" si="214"/>
        <v>#DIV/0!</v>
      </c>
      <c r="BY6390" s="215">
        <f t="shared" si="215"/>
        <v>0</v>
      </c>
    </row>
    <row r="6391" spans="76:77" x14ac:dyDescent="0.2">
      <c r="BX6391" s="214" t="e">
        <f t="shared" si="214"/>
        <v>#DIV/0!</v>
      </c>
      <c r="BY6391" s="215">
        <f t="shared" si="215"/>
        <v>0</v>
      </c>
    </row>
    <row r="6392" spans="76:77" x14ac:dyDescent="0.2">
      <c r="BX6392" s="214" t="e">
        <f t="shared" si="214"/>
        <v>#DIV/0!</v>
      </c>
      <c r="BY6392" s="215">
        <f t="shared" si="215"/>
        <v>0</v>
      </c>
    </row>
    <row r="6393" spans="76:77" x14ac:dyDescent="0.2">
      <c r="BX6393" s="214" t="e">
        <f t="shared" si="214"/>
        <v>#DIV/0!</v>
      </c>
      <c r="BY6393" s="215">
        <f t="shared" si="215"/>
        <v>0</v>
      </c>
    </row>
    <row r="6394" spans="76:77" x14ac:dyDescent="0.2">
      <c r="BX6394" s="214" t="e">
        <f t="shared" si="214"/>
        <v>#DIV/0!</v>
      </c>
      <c r="BY6394" s="215">
        <f t="shared" si="215"/>
        <v>0</v>
      </c>
    </row>
    <row r="6395" spans="76:77" x14ac:dyDescent="0.2">
      <c r="BX6395" s="214" t="e">
        <f t="shared" si="214"/>
        <v>#DIV/0!</v>
      </c>
      <c r="BY6395" s="215">
        <f t="shared" si="215"/>
        <v>0</v>
      </c>
    </row>
    <row r="6396" spans="76:77" x14ac:dyDescent="0.2">
      <c r="BX6396" s="214" t="e">
        <f t="shared" si="214"/>
        <v>#DIV/0!</v>
      </c>
      <c r="BY6396" s="215">
        <f t="shared" si="215"/>
        <v>0</v>
      </c>
    </row>
    <row r="6397" spans="76:77" x14ac:dyDescent="0.2">
      <c r="BX6397" s="214" t="e">
        <f t="shared" si="214"/>
        <v>#DIV/0!</v>
      </c>
      <c r="BY6397" s="215">
        <f t="shared" si="215"/>
        <v>0</v>
      </c>
    </row>
    <row r="6398" spans="76:77" x14ac:dyDescent="0.2">
      <c r="BX6398" s="214" t="e">
        <f t="shared" si="214"/>
        <v>#DIV/0!</v>
      </c>
      <c r="BY6398" s="215">
        <f t="shared" si="215"/>
        <v>0</v>
      </c>
    </row>
    <row r="6399" spans="76:77" x14ac:dyDescent="0.2">
      <c r="BX6399" s="214" t="e">
        <f t="shared" si="214"/>
        <v>#DIV/0!</v>
      </c>
      <c r="BY6399" s="215">
        <f t="shared" si="215"/>
        <v>0</v>
      </c>
    </row>
    <row r="6400" spans="76:77" x14ac:dyDescent="0.2">
      <c r="BX6400" s="214" t="e">
        <f t="shared" si="214"/>
        <v>#DIV/0!</v>
      </c>
      <c r="BY6400" s="215">
        <f t="shared" si="215"/>
        <v>0</v>
      </c>
    </row>
    <row r="6401" spans="76:77" x14ac:dyDescent="0.2">
      <c r="BX6401" s="214" t="e">
        <f t="shared" si="214"/>
        <v>#DIV/0!</v>
      </c>
      <c r="BY6401" s="215">
        <f t="shared" si="215"/>
        <v>0</v>
      </c>
    </row>
    <row r="6402" spans="76:77" x14ac:dyDescent="0.2">
      <c r="BX6402" s="214" t="e">
        <f t="shared" si="214"/>
        <v>#DIV/0!</v>
      </c>
      <c r="BY6402" s="215">
        <f t="shared" si="215"/>
        <v>0</v>
      </c>
    </row>
    <row r="6403" spans="76:77" x14ac:dyDescent="0.2">
      <c r="BX6403" s="214" t="e">
        <f t="shared" si="214"/>
        <v>#DIV/0!</v>
      </c>
      <c r="BY6403" s="215">
        <f t="shared" si="215"/>
        <v>0</v>
      </c>
    </row>
    <row r="6404" spans="76:77" x14ac:dyDescent="0.2">
      <c r="BX6404" s="214" t="e">
        <f t="shared" si="214"/>
        <v>#DIV/0!</v>
      </c>
      <c r="BY6404" s="215">
        <f t="shared" si="215"/>
        <v>0</v>
      </c>
    </row>
    <row r="6405" spans="76:77" x14ac:dyDescent="0.2">
      <c r="BX6405" s="214" t="e">
        <f t="shared" si="214"/>
        <v>#DIV/0!</v>
      </c>
      <c r="BY6405" s="215">
        <f t="shared" si="215"/>
        <v>0</v>
      </c>
    </row>
    <row r="6406" spans="76:77" x14ac:dyDescent="0.2">
      <c r="BX6406" s="214" t="e">
        <f t="shared" si="214"/>
        <v>#DIV/0!</v>
      </c>
      <c r="BY6406" s="215">
        <f t="shared" si="215"/>
        <v>0</v>
      </c>
    </row>
    <row r="6407" spans="76:77" x14ac:dyDescent="0.2">
      <c r="BX6407" s="214" t="e">
        <f t="shared" si="214"/>
        <v>#DIV/0!</v>
      </c>
      <c r="BY6407" s="215">
        <f t="shared" si="215"/>
        <v>0</v>
      </c>
    </row>
    <row r="6408" spans="76:77" x14ac:dyDescent="0.2">
      <c r="BX6408" s="214" t="e">
        <f t="shared" si="214"/>
        <v>#DIV/0!</v>
      </c>
      <c r="BY6408" s="215">
        <f t="shared" si="215"/>
        <v>0</v>
      </c>
    </row>
    <row r="6409" spans="76:77" x14ac:dyDescent="0.2">
      <c r="BX6409" s="214" t="e">
        <f t="shared" si="214"/>
        <v>#DIV/0!</v>
      </c>
      <c r="BY6409" s="215">
        <f t="shared" si="215"/>
        <v>0</v>
      </c>
    </row>
    <row r="6410" spans="76:77" x14ac:dyDescent="0.2">
      <c r="BX6410" s="214" t="e">
        <f t="shared" si="214"/>
        <v>#DIV/0!</v>
      </c>
      <c r="BY6410" s="215">
        <f t="shared" si="215"/>
        <v>0</v>
      </c>
    </row>
    <row r="6411" spans="76:77" x14ac:dyDescent="0.2">
      <c r="BX6411" s="214" t="e">
        <f t="shared" si="214"/>
        <v>#DIV/0!</v>
      </c>
      <c r="BY6411" s="215">
        <f t="shared" si="215"/>
        <v>0</v>
      </c>
    </row>
    <row r="6412" spans="76:77" x14ac:dyDescent="0.2">
      <c r="BX6412" s="214" t="e">
        <f t="shared" si="214"/>
        <v>#DIV/0!</v>
      </c>
      <c r="BY6412" s="215">
        <f t="shared" si="215"/>
        <v>0</v>
      </c>
    </row>
    <row r="6413" spans="76:77" x14ac:dyDescent="0.2">
      <c r="BX6413" s="214" t="e">
        <f t="shared" ref="BX6413:BX6476" si="216">BY6413/BV6413</f>
        <v>#DIV/0!</v>
      </c>
      <c r="BY6413" s="215">
        <f t="shared" si="215"/>
        <v>0</v>
      </c>
    </row>
    <row r="6414" spans="76:77" x14ac:dyDescent="0.2">
      <c r="BX6414" s="214" t="e">
        <f t="shared" si="216"/>
        <v>#DIV/0!</v>
      </c>
      <c r="BY6414" s="215">
        <f t="shared" ref="BY6414:BY6477" si="217">BY6413+BW6414*(BV6414-BV6413)</f>
        <v>0</v>
      </c>
    </row>
    <row r="6415" spans="76:77" x14ac:dyDescent="0.2">
      <c r="BX6415" s="214" t="e">
        <f t="shared" si="216"/>
        <v>#DIV/0!</v>
      </c>
      <c r="BY6415" s="215">
        <f t="shared" si="217"/>
        <v>0</v>
      </c>
    </row>
    <row r="6416" spans="76:77" x14ac:dyDescent="0.2">
      <c r="BX6416" s="214" t="e">
        <f t="shared" si="216"/>
        <v>#DIV/0!</v>
      </c>
      <c r="BY6416" s="215">
        <f t="shared" si="217"/>
        <v>0</v>
      </c>
    </row>
    <row r="6417" spans="76:77" x14ac:dyDescent="0.2">
      <c r="BX6417" s="214" t="e">
        <f t="shared" si="216"/>
        <v>#DIV/0!</v>
      </c>
      <c r="BY6417" s="215">
        <f t="shared" si="217"/>
        <v>0</v>
      </c>
    </row>
    <row r="6418" spans="76:77" x14ac:dyDescent="0.2">
      <c r="BX6418" s="214" t="e">
        <f t="shared" si="216"/>
        <v>#DIV/0!</v>
      </c>
      <c r="BY6418" s="215">
        <f t="shared" si="217"/>
        <v>0</v>
      </c>
    </row>
    <row r="6419" spans="76:77" x14ac:dyDescent="0.2">
      <c r="BX6419" s="214" t="e">
        <f t="shared" si="216"/>
        <v>#DIV/0!</v>
      </c>
      <c r="BY6419" s="215">
        <f t="shared" si="217"/>
        <v>0</v>
      </c>
    </row>
    <row r="6420" spans="76:77" x14ac:dyDescent="0.2">
      <c r="BX6420" s="214" t="e">
        <f t="shared" si="216"/>
        <v>#DIV/0!</v>
      </c>
      <c r="BY6420" s="215">
        <f t="shared" si="217"/>
        <v>0</v>
      </c>
    </row>
    <row r="6421" spans="76:77" x14ac:dyDescent="0.2">
      <c r="BX6421" s="214" t="e">
        <f t="shared" si="216"/>
        <v>#DIV/0!</v>
      </c>
      <c r="BY6421" s="215">
        <f t="shared" si="217"/>
        <v>0</v>
      </c>
    </row>
    <row r="6422" spans="76:77" x14ac:dyDescent="0.2">
      <c r="BX6422" s="214" t="e">
        <f t="shared" si="216"/>
        <v>#DIV/0!</v>
      </c>
      <c r="BY6422" s="215">
        <f t="shared" si="217"/>
        <v>0</v>
      </c>
    </row>
    <row r="6423" spans="76:77" x14ac:dyDescent="0.2">
      <c r="BX6423" s="214" t="e">
        <f t="shared" si="216"/>
        <v>#DIV/0!</v>
      </c>
      <c r="BY6423" s="215">
        <f t="shared" si="217"/>
        <v>0</v>
      </c>
    </row>
    <row r="6424" spans="76:77" x14ac:dyDescent="0.2">
      <c r="BX6424" s="214" t="e">
        <f t="shared" si="216"/>
        <v>#DIV/0!</v>
      </c>
      <c r="BY6424" s="215">
        <f t="shared" si="217"/>
        <v>0</v>
      </c>
    </row>
    <row r="6425" spans="76:77" x14ac:dyDescent="0.2">
      <c r="BX6425" s="214" t="e">
        <f t="shared" si="216"/>
        <v>#DIV/0!</v>
      </c>
      <c r="BY6425" s="215">
        <f t="shared" si="217"/>
        <v>0</v>
      </c>
    </row>
    <row r="6426" spans="76:77" x14ac:dyDescent="0.2">
      <c r="BX6426" s="214" t="e">
        <f t="shared" si="216"/>
        <v>#DIV/0!</v>
      </c>
      <c r="BY6426" s="215">
        <f t="shared" si="217"/>
        <v>0</v>
      </c>
    </row>
    <row r="6427" spans="76:77" x14ac:dyDescent="0.2">
      <c r="BX6427" s="214" t="e">
        <f t="shared" si="216"/>
        <v>#DIV/0!</v>
      </c>
      <c r="BY6427" s="215">
        <f t="shared" si="217"/>
        <v>0</v>
      </c>
    </row>
    <row r="6428" spans="76:77" x14ac:dyDescent="0.2">
      <c r="BX6428" s="214" t="e">
        <f t="shared" si="216"/>
        <v>#DIV/0!</v>
      </c>
      <c r="BY6428" s="215">
        <f t="shared" si="217"/>
        <v>0</v>
      </c>
    </row>
    <row r="6429" spans="76:77" x14ac:dyDescent="0.2">
      <c r="BX6429" s="214" t="e">
        <f t="shared" si="216"/>
        <v>#DIV/0!</v>
      </c>
      <c r="BY6429" s="215">
        <f t="shared" si="217"/>
        <v>0</v>
      </c>
    </row>
    <row r="6430" spans="76:77" x14ac:dyDescent="0.2">
      <c r="BX6430" s="214" t="e">
        <f t="shared" si="216"/>
        <v>#DIV/0!</v>
      </c>
      <c r="BY6430" s="215">
        <f t="shared" si="217"/>
        <v>0</v>
      </c>
    </row>
    <row r="6431" spans="76:77" x14ac:dyDescent="0.2">
      <c r="BX6431" s="214" t="e">
        <f t="shared" si="216"/>
        <v>#DIV/0!</v>
      </c>
      <c r="BY6431" s="215">
        <f t="shared" si="217"/>
        <v>0</v>
      </c>
    </row>
    <row r="6432" spans="76:77" x14ac:dyDescent="0.2">
      <c r="BX6432" s="214" t="e">
        <f t="shared" si="216"/>
        <v>#DIV/0!</v>
      </c>
      <c r="BY6432" s="215">
        <f t="shared" si="217"/>
        <v>0</v>
      </c>
    </row>
    <row r="6433" spans="76:77" x14ac:dyDescent="0.2">
      <c r="BX6433" s="214" t="e">
        <f t="shared" si="216"/>
        <v>#DIV/0!</v>
      </c>
      <c r="BY6433" s="215">
        <f t="shared" si="217"/>
        <v>0</v>
      </c>
    </row>
    <row r="6434" spans="76:77" x14ac:dyDescent="0.2">
      <c r="BX6434" s="214" t="e">
        <f t="shared" si="216"/>
        <v>#DIV/0!</v>
      </c>
      <c r="BY6434" s="215">
        <f t="shared" si="217"/>
        <v>0</v>
      </c>
    </row>
    <row r="6435" spans="76:77" x14ac:dyDescent="0.2">
      <c r="BX6435" s="214" t="e">
        <f t="shared" si="216"/>
        <v>#DIV/0!</v>
      </c>
      <c r="BY6435" s="215">
        <f t="shared" si="217"/>
        <v>0</v>
      </c>
    </row>
    <row r="6436" spans="76:77" x14ac:dyDescent="0.2">
      <c r="BX6436" s="214" t="e">
        <f t="shared" si="216"/>
        <v>#DIV/0!</v>
      </c>
      <c r="BY6436" s="215">
        <f t="shared" si="217"/>
        <v>0</v>
      </c>
    </row>
    <row r="6437" spans="76:77" x14ac:dyDescent="0.2">
      <c r="BX6437" s="214" t="e">
        <f t="shared" si="216"/>
        <v>#DIV/0!</v>
      </c>
      <c r="BY6437" s="215">
        <f t="shared" si="217"/>
        <v>0</v>
      </c>
    </row>
    <row r="6438" spans="76:77" x14ac:dyDescent="0.2">
      <c r="BX6438" s="214" t="e">
        <f t="shared" si="216"/>
        <v>#DIV/0!</v>
      </c>
      <c r="BY6438" s="215">
        <f t="shared" si="217"/>
        <v>0</v>
      </c>
    </row>
    <row r="6439" spans="76:77" x14ac:dyDescent="0.2">
      <c r="BX6439" s="214" t="e">
        <f t="shared" si="216"/>
        <v>#DIV/0!</v>
      </c>
      <c r="BY6439" s="215">
        <f t="shared" si="217"/>
        <v>0</v>
      </c>
    </row>
    <row r="6440" spans="76:77" x14ac:dyDescent="0.2">
      <c r="BX6440" s="214" t="e">
        <f t="shared" si="216"/>
        <v>#DIV/0!</v>
      </c>
      <c r="BY6440" s="215">
        <f t="shared" si="217"/>
        <v>0</v>
      </c>
    </row>
    <row r="6441" spans="76:77" x14ac:dyDescent="0.2">
      <c r="BX6441" s="214" t="e">
        <f t="shared" si="216"/>
        <v>#DIV/0!</v>
      </c>
      <c r="BY6441" s="215">
        <f t="shared" si="217"/>
        <v>0</v>
      </c>
    </row>
    <row r="6442" spans="76:77" x14ac:dyDescent="0.2">
      <c r="BX6442" s="214" t="e">
        <f t="shared" si="216"/>
        <v>#DIV/0!</v>
      </c>
      <c r="BY6442" s="215">
        <f t="shared" si="217"/>
        <v>0</v>
      </c>
    </row>
    <row r="6443" spans="76:77" x14ac:dyDescent="0.2">
      <c r="BX6443" s="214" t="e">
        <f t="shared" si="216"/>
        <v>#DIV/0!</v>
      </c>
      <c r="BY6443" s="215">
        <f t="shared" si="217"/>
        <v>0</v>
      </c>
    </row>
    <row r="6444" spans="76:77" x14ac:dyDescent="0.2">
      <c r="BX6444" s="214" t="e">
        <f t="shared" si="216"/>
        <v>#DIV/0!</v>
      </c>
      <c r="BY6444" s="215">
        <f t="shared" si="217"/>
        <v>0</v>
      </c>
    </row>
    <row r="6445" spans="76:77" x14ac:dyDescent="0.2">
      <c r="BX6445" s="214" t="e">
        <f t="shared" si="216"/>
        <v>#DIV/0!</v>
      </c>
      <c r="BY6445" s="215">
        <f t="shared" si="217"/>
        <v>0</v>
      </c>
    </row>
    <row r="6446" spans="76:77" x14ac:dyDescent="0.2">
      <c r="BX6446" s="214" t="e">
        <f t="shared" si="216"/>
        <v>#DIV/0!</v>
      </c>
      <c r="BY6446" s="215">
        <f t="shared" si="217"/>
        <v>0</v>
      </c>
    </row>
    <row r="6447" spans="76:77" x14ac:dyDescent="0.2">
      <c r="BX6447" s="214" t="e">
        <f t="shared" si="216"/>
        <v>#DIV/0!</v>
      </c>
      <c r="BY6447" s="215">
        <f t="shared" si="217"/>
        <v>0</v>
      </c>
    </row>
    <row r="6448" spans="76:77" x14ac:dyDescent="0.2">
      <c r="BX6448" s="214" t="e">
        <f t="shared" si="216"/>
        <v>#DIV/0!</v>
      </c>
      <c r="BY6448" s="215">
        <f t="shared" si="217"/>
        <v>0</v>
      </c>
    </row>
    <row r="6449" spans="76:77" x14ac:dyDescent="0.2">
      <c r="BX6449" s="214" t="e">
        <f t="shared" si="216"/>
        <v>#DIV/0!</v>
      </c>
      <c r="BY6449" s="215">
        <f t="shared" si="217"/>
        <v>0</v>
      </c>
    </row>
    <row r="6450" spans="76:77" x14ac:dyDescent="0.2">
      <c r="BX6450" s="214" t="e">
        <f t="shared" si="216"/>
        <v>#DIV/0!</v>
      </c>
      <c r="BY6450" s="215">
        <f t="shared" si="217"/>
        <v>0</v>
      </c>
    </row>
    <row r="6451" spans="76:77" x14ac:dyDescent="0.2">
      <c r="BX6451" s="214" t="e">
        <f t="shared" si="216"/>
        <v>#DIV/0!</v>
      </c>
      <c r="BY6451" s="215">
        <f t="shared" si="217"/>
        <v>0</v>
      </c>
    </row>
    <row r="6452" spans="76:77" x14ac:dyDescent="0.2">
      <c r="BX6452" s="214" t="e">
        <f t="shared" si="216"/>
        <v>#DIV/0!</v>
      </c>
      <c r="BY6452" s="215">
        <f t="shared" si="217"/>
        <v>0</v>
      </c>
    </row>
    <row r="6453" spans="76:77" x14ac:dyDescent="0.2">
      <c r="BX6453" s="214" t="e">
        <f t="shared" si="216"/>
        <v>#DIV/0!</v>
      </c>
      <c r="BY6453" s="215">
        <f t="shared" si="217"/>
        <v>0</v>
      </c>
    </row>
    <row r="6454" spans="76:77" x14ac:dyDescent="0.2">
      <c r="BX6454" s="214" t="e">
        <f t="shared" si="216"/>
        <v>#DIV/0!</v>
      </c>
      <c r="BY6454" s="215">
        <f t="shared" si="217"/>
        <v>0</v>
      </c>
    </row>
    <row r="6455" spans="76:77" x14ac:dyDescent="0.2">
      <c r="BX6455" s="214" t="e">
        <f t="shared" si="216"/>
        <v>#DIV/0!</v>
      </c>
      <c r="BY6455" s="215">
        <f t="shared" si="217"/>
        <v>0</v>
      </c>
    </row>
    <row r="6456" spans="76:77" x14ac:dyDescent="0.2">
      <c r="BX6456" s="214" t="e">
        <f t="shared" si="216"/>
        <v>#DIV/0!</v>
      </c>
      <c r="BY6456" s="215">
        <f t="shared" si="217"/>
        <v>0</v>
      </c>
    </row>
    <row r="6457" spans="76:77" x14ac:dyDescent="0.2">
      <c r="BX6457" s="214" t="e">
        <f t="shared" si="216"/>
        <v>#DIV/0!</v>
      </c>
      <c r="BY6457" s="215">
        <f t="shared" si="217"/>
        <v>0</v>
      </c>
    </row>
    <row r="6458" spans="76:77" x14ac:dyDescent="0.2">
      <c r="BX6458" s="214" t="e">
        <f t="shared" si="216"/>
        <v>#DIV/0!</v>
      </c>
      <c r="BY6458" s="215">
        <f t="shared" si="217"/>
        <v>0</v>
      </c>
    </row>
    <row r="6459" spans="76:77" x14ac:dyDescent="0.2">
      <c r="BX6459" s="214" t="e">
        <f t="shared" si="216"/>
        <v>#DIV/0!</v>
      </c>
      <c r="BY6459" s="215">
        <f t="shared" si="217"/>
        <v>0</v>
      </c>
    </row>
    <row r="6460" spans="76:77" x14ac:dyDescent="0.2">
      <c r="BX6460" s="214" t="e">
        <f t="shared" si="216"/>
        <v>#DIV/0!</v>
      </c>
      <c r="BY6460" s="215">
        <f t="shared" si="217"/>
        <v>0</v>
      </c>
    </row>
    <row r="6461" spans="76:77" x14ac:dyDescent="0.2">
      <c r="BX6461" s="214" t="e">
        <f t="shared" si="216"/>
        <v>#DIV/0!</v>
      </c>
      <c r="BY6461" s="215">
        <f t="shared" si="217"/>
        <v>0</v>
      </c>
    </row>
    <row r="6462" spans="76:77" x14ac:dyDescent="0.2">
      <c r="BX6462" s="214" t="e">
        <f t="shared" si="216"/>
        <v>#DIV/0!</v>
      </c>
      <c r="BY6462" s="215">
        <f t="shared" si="217"/>
        <v>0</v>
      </c>
    </row>
    <row r="6463" spans="76:77" x14ac:dyDescent="0.2">
      <c r="BX6463" s="214" t="e">
        <f t="shared" si="216"/>
        <v>#DIV/0!</v>
      </c>
      <c r="BY6463" s="215">
        <f t="shared" si="217"/>
        <v>0</v>
      </c>
    </row>
    <row r="6464" spans="76:77" x14ac:dyDescent="0.2">
      <c r="BX6464" s="214" t="e">
        <f t="shared" si="216"/>
        <v>#DIV/0!</v>
      </c>
      <c r="BY6464" s="215">
        <f t="shared" si="217"/>
        <v>0</v>
      </c>
    </row>
    <row r="6465" spans="76:77" x14ac:dyDescent="0.2">
      <c r="BX6465" s="214" t="e">
        <f t="shared" si="216"/>
        <v>#DIV/0!</v>
      </c>
      <c r="BY6465" s="215">
        <f t="shared" si="217"/>
        <v>0</v>
      </c>
    </row>
    <row r="6466" spans="76:77" x14ac:dyDescent="0.2">
      <c r="BX6466" s="214" t="e">
        <f t="shared" si="216"/>
        <v>#DIV/0!</v>
      </c>
      <c r="BY6466" s="215">
        <f t="shared" si="217"/>
        <v>0</v>
      </c>
    </row>
    <row r="6467" spans="76:77" x14ac:dyDescent="0.2">
      <c r="BX6467" s="214" t="e">
        <f t="shared" si="216"/>
        <v>#DIV/0!</v>
      </c>
      <c r="BY6467" s="215">
        <f t="shared" si="217"/>
        <v>0</v>
      </c>
    </row>
    <row r="6468" spans="76:77" x14ac:dyDescent="0.2">
      <c r="BX6468" s="214" t="e">
        <f t="shared" si="216"/>
        <v>#DIV/0!</v>
      </c>
      <c r="BY6468" s="215">
        <f t="shared" si="217"/>
        <v>0</v>
      </c>
    </row>
    <row r="6469" spans="76:77" x14ac:dyDescent="0.2">
      <c r="BX6469" s="214" t="e">
        <f t="shared" si="216"/>
        <v>#DIV/0!</v>
      </c>
      <c r="BY6469" s="215">
        <f t="shared" si="217"/>
        <v>0</v>
      </c>
    </row>
    <row r="6470" spans="76:77" x14ac:dyDescent="0.2">
      <c r="BX6470" s="214" t="e">
        <f t="shared" si="216"/>
        <v>#DIV/0!</v>
      </c>
      <c r="BY6470" s="215">
        <f t="shared" si="217"/>
        <v>0</v>
      </c>
    </row>
    <row r="6471" spans="76:77" x14ac:dyDescent="0.2">
      <c r="BX6471" s="214" t="e">
        <f t="shared" si="216"/>
        <v>#DIV/0!</v>
      </c>
      <c r="BY6471" s="215">
        <f t="shared" si="217"/>
        <v>0</v>
      </c>
    </row>
    <row r="6472" spans="76:77" x14ac:dyDescent="0.2">
      <c r="BX6472" s="214" t="e">
        <f t="shared" si="216"/>
        <v>#DIV/0!</v>
      </c>
      <c r="BY6472" s="215">
        <f t="shared" si="217"/>
        <v>0</v>
      </c>
    </row>
    <row r="6473" spans="76:77" x14ac:dyDescent="0.2">
      <c r="BX6473" s="214" t="e">
        <f t="shared" si="216"/>
        <v>#DIV/0!</v>
      </c>
      <c r="BY6473" s="215">
        <f t="shared" si="217"/>
        <v>0</v>
      </c>
    </row>
    <row r="6474" spans="76:77" x14ac:dyDescent="0.2">
      <c r="BX6474" s="214" t="e">
        <f t="shared" si="216"/>
        <v>#DIV/0!</v>
      </c>
      <c r="BY6474" s="215">
        <f t="shared" si="217"/>
        <v>0</v>
      </c>
    </row>
    <row r="6475" spans="76:77" x14ac:dyDescent="0.2">
      <c r="BX6475" s="214" t="e">
        <f t="shared" si="216"/>
        <v>#DIV/0!</v>
      </c>
      <c r="BY6475" s="215">
        <f t="shared" si="217"/>
        <v>0</v>
      </c>
    </row>
    <row r="6476" spans="76:77" x14ac:dyDescent="0.2">
      <c r="BX6476" s="214" t="e">
        <f t="shared" si="216"/>
        <v>#DIV/0!</v>
      </c>
      <c r="BY6476" s="215">
        <f t="shared" si="217"/>
        <v>0</v>
      </c>
    </row>
    <row r="6477" spans="76:77" x14ac:dyDescent="0.2">
      <c r="BX6477" s="214" t="e">
        <f t="shared" ref="BX6477:BX6540" si="218">BY6477/BV6477</f>
        <v>#DIV/0!</v>
      </c>
      <c r="BY6477" s="215">
        <f t="shared" si="217"/>
        <v>0</v>
      </c>
    </row>
    <row r="6478" spans="76:77" x14ac:dyDescent="0.2">
      <c r="BX6478" s="214" t="e">
        <f t="shared" si="218"/>
        <v>#DIV/0!</v>
      </c>
      <c r="BY6478" s="215">
        <f t="shared" ref="BY6478:BY6541" si="219">BY6477+BW6478*(BV6478-BV6477)</f>
        <v>0</v>
      </c>
    </row>
    <row r="6479" spans="76:77" x14ac:dyDescent="0.2">
      <c r="BX6479" s="214" t="e">
        <f t="shared" si="218"/>
        <v>#DIV/0!</v>
      </c>
      <c r="BY6479" s="215">
        <f t="shared" si="219"/>
        <v>0</v>
      </c>
    </row>
    <row r="6480" spans="76:77" x14ac:dyDescent="0.2">
      <c r="BX6480" s="214" t="e">
        <f t="shared" si="218"/>
        <v>#DIV/0!</v>
      </c>
      <c r="BY6480" s="215">
        <f t="shared" si="219"/>
        <v>0</v>
      </c>
    </row>
    <row r="6481" spans="76:77" x14ac:dyDescent="0.2">
      <c r="BX6481" s="214" t="e">
        <f t="shared" si="218"/>
        <v>#DIV/0!</v>
      </c>
      <c r="BY6481" s="215">
        <f t="shared" si="219"/>
        <v>0</v>
      </c>
    </row>
    <row r="6482" spans="76:77" x14ac:dyDescent="0.2">
      <c r="BX6482" s="214" t="e">
        <f t="shared" si="218"/>
        <v>#DIV/0!</v>
      </c>
      <c r="BY6482" s="215">
        <f t="shared" si="219"/>
        <v>0</v>
      </c>
    </row>
    <row r="6483" spans="76:77" x14ac:dyDescent="0.2">
      <c r="BX6483" s="214" t="e">
        <f t="shared" si="218"/>
        <v>#DIV/0!</v>
      </c>
      <c r="BY6483" s="215">
        <f t="shared" si="219"/>
        <v>0</v>
      </c>
    </row>
    <row r="6484" spans="76:77" x14ac:dyDescent="0.2">
      <c r="BX6484" s="214" t="e">
        <f t="shared" si="218"/>
        <v>#DIV/0!</v>
      </c>
      <c r="BY6484" s="215">
        <f t="shared" si="219"/>
        <v>0</v>
      </c>
    </row>
    <row r="6485" spans="76:77" x14ac:dyDescent="0.2">
      <c r="BX6485" s="214" t="e">
        <f t="shared" si="218"/>
        <v>#DIV/0!</v>
      </c>
      <c r="BY6485" s="215">
        <f t="shared" si="219"/>
        <v>0</v>
      </c>
    </row>
    <row r="6486" spans="76:77" x14ac:dyDescent="0.2">
      <c r="BX6486" s="214" t="e">
        <f t="shared" si="218"/>
        <v>#DIV/0!</v>
      </c>
      <c r="BY6486" s="215">
        <f t="shared" si="219"/>
        <v>0</v>
      </c>
    </row>
    <row r="6487" spans="76:77" x14ac:dyDescent="0.2">
      <c r="BX6487" s="214" t="e">
        <f t="shared" si="218"/>
        <v>#DIV/0!</v>
      </c>
      <c r="BY6487" s="215">
        <f t="shared" si="219"/>
        <v>0</v>
      </c>
    </row>
    <row r="6488" spans="76:77" x14ac:dyDescent="0.2">
      <c r="BX6488" s="214" t="e">
        <f t="shared" si="218"/>
        <v>#DIV/0!</v>
      </c>
      <c r="BY6488" s="215">
        <f t="shared" si="219"/>
        <v>0</v>
      </c>
    </row>
    <row r="6489" spans="76:77" x14ac:dyDescent="0.2">
      <c r="BX6489" s="214" t="e">
        <f t="shared" si="218"/>
        <v>#DIV/0!</v>
      </c>
      <c r="BY6489" s="215">
        <f t="shared" si="219"/>
        <v>0</v>
      </c>
    </row>
    <row r="6490" spans="76:77" x14ac:dyDescent="0.2">
      <c r="BX6490" s="214" t="e">
        <f t="shared" si="218"/>
        <v>#DIV/0!</v>
      </c>
      <c r="BY6490" s="215">
        <f t="shared" si="219"/>
        <v>0</v>
      </c>
    </row>
    <row r="6491" spans="76:77" x14ac:dyDescent="0.2">
      <c r="BX6491" s="214" t="e">
        <f t="shared" si="218"/>
        <v>#DIV/0!</v>
      </c>
      <c r="BY6491" s="215">
        <f t="shared" si="219"/>
        <v>0</v>
      </c>
    </row>
    <row r="6492" spans="76:77" x14ac:dyDescent="0.2">
      <c r="BX6492" s="214" t="e">
        <f t="shared" si="218"/>
        <v>#DIV/0!</v>
      </c>
      <c r="BY6492" s="215">
        <f t="shared" si="219"/>
        <v>0</v>
      </c>
    </row>
    <row r="6493" spans="76:77" x14ac:dyDescent="0.2">
      <c r="BX6493" s="214" t="e">
        <f t="shared" si="218"/>
        <v>#DIV/0!</v>
      </c>
      <c r="BY6493" s="215">
        <f t="shared" si="219"/>
        <v>0</v>
      </c>
    </row>
    <row r="6494" spans="76:77" x14ac:dyDescent="0.2">
      <c r="BX6494" s="214" t="e">
        <f t="shared" si="218"/>
        <v>#DIV/0!</v>
      </c>
      <c r="BY6494" s="215">
        <f t="shared" si="219"/>
        <v>0</v>
      </c>
    </row>
    <row r="6495" spans="76:77" x14ac:dyDescent="0.2">
      <c r="BX6495" s="214" t="e">
        <f t="shared" si="218"/>
        <v>#DIV/0!</v>
      </c>
      <c r="BY6495" s="215">
        <f t="shared" si="219"/>
        <v>0</v>
      </c>
    </row>
    <row r="6496" spans="76:77" x14ac:dyDescent="0.2">
      <c r="BX6496" s="214" t="e">
        <f t="shared" si="218"/>
        <v>#DIV/0!</v>
      </c>
      <c r="BY6496" s="215">
        <f t="shared" si="219"/>
        <v>0</v>
      </c>
    </row>
    <row r="6497" spans="76:77" x14ac:dyDescent="0.2">
      <c r="BX6497" s="214" t="e">
        <f t="shared" si="218"/>
        <v>#DIV/0!</v>
      </c>
      <c r="BY6497" s="215">
        <f t="shared" si="219"/>
        <v>0</v>
      </c>
    </row>
    <row r="6498" spans="76:77" x14ac:dyDescent="0.2">
      <c r="BX6498" s="214" t="e">
        <f t="shared" si="218"/>
        <v>#DIV/0!</v>
      </c>
      <c r="BY6498" s="215">
        <f t="shared" si="219"/>
        <v>0</v>
      </c>
    </row>
    <row r="6499" spans="76:77" x14ac:dyDescent="0.2">
      <c r="BX6499" s="214" t="e">
        <f t="shared" si="218"/>
        <v>#DIV/0!</v>
      </c>
      <c r="BY6499" s="215">
        <f t="shared" si="219"/>
        <v>0</v>
      </c>
    </row>
    <row r="6500" spans="76:77" x14ac:dyDescent="0.2">
      <c r="BX6500" s="214" t="e">
        <f t="shared" si="218"/>
        <v>#DIV/0!</v>
      </c>
      <c r="BY6500" s="215">
        <f t="shared" si="219"/>
        <v>0</v>
      </c>
    </row>
    <row r="6501" spans="76:77" x14ac:dyDescent="0.2">
      <c r="BX6501" s="214" t="e">
        <f t="shared" si="218"/>
        <v>#DIV/0!</v>
      </c>
      <c r="BY6501" s="215">
        <f t="shared" si="219"/>
        <v>0</v>
      </c>
    </row>
    <row r="6502" spans="76:77" x14ac:dyDescent="0.2">
      <c r="BX6502" s="214" t="e">
        <f t="shared" si="218"/>
        <v>#DIV/0!</v>
      </c>
      <c r="BY6502" s="215">
        <f t="shared" si="219"/>
        <v>0</v>
      </c>
    </row>
    <row r="6503" spans="76:77" x14ac:dyDescent="0.2">
      <c r="BX6503" s="214" t="e">
        <f t="shared" si="218"/>
        <v>#DIV/0!</v>
      </c>
      <c r="BY6503" s="215">
        <f t="shared" si="219"/>
        <v>0</v>
      </c>
    </row>
    <row r="6504" spans="76:77" x14ac:dyDescent="0.2">
      <c r="BX6504" s="214" t="e">
        <f t="shared" si="218"/>
        <v>#DIV/0!</v>
      </c>
      <c r="BY6504" s="215">
        <f t="shared" si="219"/>
        <v>0</v>
      </c>
    </row>
    <row r="6505" spans="76:77" x14ac:dyDescent="0.2">
      <c r="BX6505" s="214" t="e">
        <f t="shared" si="218"/>
        <v>#DIV/0!</v>
      </c>
      <c r="BY6505" s="215">
        <f t="shared" si="219"/>
        <v>0</v>
      </c>
    </row>
    <row r="6506" spans="76:77" x14ac:dyDescent="0.2">
      <c r="BX6506" s="214" t="e">
        <f t="shared" si="218"/>
        <v>#DIV/0!</v>
      </c>
      <c r="BY6506" s="215">
        <f t="shared" si="219"/>
        <v>0</v>
      </c>
    </row>
    <row r="6507" spans="76:77" x14ac:dyDescent="0.2">
      <c r="BX6507" s="214" t="e">
        <f t="shared" si="218"/>
        <v>#DIV/0!</v>
      </c>
      <c r="BY6507" s="215">
        <f t="shared" si="219"/>
        <v>0</v>
      </c>
    </row>
    <row r="6508" spans="76:77" x14ac:dyDescent="0.2">
      <c r="BX6508" s="214" t="e">
        <f t="shared" si="218"/>
        <v>#DIV/0!</v>
      </c>
      <c r="BY6508" s="215">
        <f t="shared" si="219"/>
        <v>0</v>
      </c>
    </row>
    <row r="6509" spans="76:77" x14ac:dyDescent="0.2">
      <c r="BX6509" s="214" t="e">
        <f t="shared" si="218"/>
        <v>#DIV/0!</v>
      </c>
      <c r="BY6509" s="215">
        <f t="shared" si="219"/>
        <v>0</v>
      </c>
    </row>
    <row r="6510" spans="76:77" x14ac:dyDescent="0.2">
      <c r="BX6510" s="214" t="e">
        <f t="shared" si="218"/>
        <v>#DIV/0!</v>
      </c>
      <c r="BY6510" s="215">
        <f t="shared" si="219"/>
        <v>0</v>
      </c>
    </row>
    <row r="6511" spans="76:77" x14ac:dyDescent="0.2">
      <c r="BX6511" s="214" t="e">
        <f t="shared" si="218"/>
        <v>#DIV/0!</v>
      </c>
      <c r="BY6511" s="215">
        <f t="shared" si="219"/>
        <v>0</v>
      </c>
    </row>
    <row r="6512" spans="76:77" x14ac:dyDescent="0.2">
      <c r="BX6512" s="214" t="e">
        <f t="shared" si="218"/>
        <v>#DIV/0!</v>
      </c>
      <c r="BY6512" s="215">
        <f t="shared" si="219"/>
        <v>0</v>
      </c>
    </row>
    <row r="6513" spans="76:77" x14ac:dyDescent="0.2">
      <c r="BX6513" s="214" t="e">
        <f t="shared" si="218"/>
        <v>#DIV/0!</v>
      </c>
      <c r="BY6513" s="215">
        <f t="shared" si="219"/>
        <v>0</v>
      </c>
    </row>
    <row r="6514" spans="76:77" x14ac:dyDescent="0.2">
      <c r="BX6514" s="214" t="e">
        <f t="shared" si="218"/>
        <v>#DIV/0!</v>
      </c>
      <c r="BY6514" s="215">
        <f t="shared" si="219"/>
        <v>0</v>
      </c>
    </row>
    <row r="6515" spans="76:77" x14ac:dyDescent="0.2">
      <c r="BX6515" s="214" t="e">
        <f t="shared" si="218"/>
        <v>#DIV/0!</v>
      </c>
      <c r="BY6515" s="215">
        <f t="shared" si="219"/>
        <v>0</v>
      </c>
    </row>
    <row r="6516" spans="76:77" x14ac:dyDescent="0.2">
      <c r="BX6516" s="214" t="e">
        <f t="shared" si="218"/>
        <v>#DIV/0!</v>
      </c>
      <c r="BY6516" s="215">
        <f t="shared" si="219"/>
        <v>0</v>
      </c>
    </row>
    <row r="6517" spans="76:77" x14ac:dyDescent="0.2">
      <c r="BX6517" s="214" t="e">
        <f t="shared" si="218"/>
        <v>#DIV/0!</v>
      </c>
      <c r="BY6517" s="215">
        <f t="shared" si="219"/>
        <v>0</v>
      </c>
    </row>
    <row r="6518" spans="76:77" x14ac:dyDescent="0.2">
      <c r="BX6518" s="214" t="e">
        <f t="shared" si="218"/>
        <v>#DIV/0!</v>
      </c>
      <c r="BY6518" s="215">
        <f t="shared" si="219"/>
        <v>0</v>
      </c>
    </row>
    <row r="6519" spans="76:77" x14ac:dyDescent="0.2">
      <c r="BX6519" s="214" t="e">
        <f t="shared" si="218"/>
        <v>#DIV/0!</v>
      </c>
      <c r="BY6519" s="215">
        <f t="shared" si="219"/>
        <v>0</v>
      </c>
    </row>
    <row r="6520" spans="76:77" x14ac:dyDescent="0.2">
      <c r="BX6520" s="214" t="e">
        <f t="shared" si="218"/>
        <v>#DIV/0!</v>
      </c>
      <c r="BY6520" s="215">
        <f t="shared" si="219"/>
        <v>0</v>
      </c>
    </row>
    <row r="6521" spans="76:77" x14ac:dyDescent="0.2">
      <c r="BX6521" s="214" t="e">
        <f t="shared" si="218"/>
        <v>#DIV/0!</v>
      </c>
      <c r="BY6521" s="215">
        <f t="shared" si="219"/>
        <v>0</v>
      </c>
    </row>
    <row r="6522" spans="76:77" x14ac:dyDescent="0.2">
      <c r="BX6522" s="214" t="e">
        <f t="shared" si="218"/>
        <v>#DIV/0!</v>
      </c>
      <c r="BY6522" s="215">
        <f t="shared" si="219"/>
        <v>0</v>
      </c>
    </row>
    <row r="6523" spans="76:77" x14ac:dyDescent="0.2">
      <c r="BX6523" s="214" t="e">
        <f t="shared" si="218"/>
        <v>#DIV/0!</v>
      </c>
      <c r="BY6523" s="215">
        <f t="shared" si="219"/>
        <v>0</v>
      </c>
    </row>
    <row r="6524" spans="76:77" x14ac:dyDescent="0.2">
      <c r="BX6524" s="214" t="e">
        <f t="shared" si="218"/>
        <v>#DIV/0!</v>
      </c>
      <c r="BY6524" s="215">
        <f t="shared" si="219"/>
        <v>0</v>
      </c>
    </row>
    <row r="6525" spans="76:77" x14ac:dyDescent="0.2">
      <c r="BX6525" s="214" t="e">
        <f t="shared" si="218"/>
        <v>#DIV/0!</v>
      </c>
      <c r="BY6525" s="215">
        <f t="shared" si="219"/>
        <v>0</v>
      </c>
    </row>
    <row r="6526" spans="76:77" x14ac:dyDescent="0.2">
      <c r="BX6526" s="214" t="e">
        <f t="shared" si="218"/>
        <v>#DIV/0!</v>
      </c>
      <c r="BY6526" s="215">
        <f t="shared" si="219"/>
        <v>0</v>
      </c>
    </row>
    <row r="6527" spans="76:77" x14ac:dyDescent="0.2">
      <c r="BX6527" s="214" t="e">
        <f t="shared" si="218"/>
        <v>#DIV/0!</v>
      </c>
      <c r="BY6527" s="215">
        <f t="shared" si="219"/>
        <v>0</v>
      </c>
    </row>
    <row r="6528" spans="76:77" x14ac:dyDescent="0.2">
      <c r="BX6528" s="214" t="e">
        <f t="shared" si="218"/>
        <v>#DIV/0!</v>
      </c>
      <c r="BY6528" s="215">
        <f t="shared" si="219"/>
        <v>0</v>
      </c>
    </row>
    <row r="6529" spans="76:77" x14ac:dyDescent="0.2">
      <c r="BX6529" s="214" t="e">
        <f t="shared" si="218"/>
        <v>#DIV/0!</v>
      </c>
      <c r="BY6529" s="215">
        <f t="shared" si="219"/>
        <v>0</v>
      </c>
    </row>
    <row r="6530" spans="76:77" x14ac:dyDescent="0.2">
      <c r="BX6530" s="214" t="e">
        <f t="shared" si="218"/>
        <v>#DIV/0!</v>
      </c>
      <c r="BY6530" s="215">
        <f t="shared" si="219"/>
        <v>0</v>
      </c>
    </row>
    <row r="6531" spans="76:77" x14ac:dyDescent="0.2">
      <c r="BX6531" s="214" t="e">
        <f t="shared" si="218"/>
        <v>#DIV/0!</v>
      </c>
      <c r="BY6531" s="215">
        <f t="shared" si="219"/>
        <v>0</v>
      </c>
    </row>
    <row r="6532" spans="76:77" x14ac:dyDescent="0.2">
      <c r="BX6532" s="214" t="e">
        <f t="shared" si="218"/>
        <v>#DIV/0!</v>
      </c>
      <c r="BY6532" s="215">
        <f t="shared" si="219"/>
        <v>0</v>
      </c>
    </row>
    <row r="6533" spans="76:77" x14ac:dyDescent="0.2">
      <c r="BX6533" s="214" t="e">
        <f t="shared" si="218"/>
        <v>#DIV/0!</v>
      </c>
      <c r="BY6533" s="215">
        <f t="shared" si="219"/>
        <v>0</v>
      </c>
    </row>
    <row r="6534" spans="76:77" x14ac:dyDescent="0.2">
      <c r="BX6534" s="214" t="e">
        <f t="shared" si="218"/>
        <v>#DIV/0!</v>
      </c>
      <c r="BY6534" s="215">
        <f t="shared" si="219"/>
        <v>0</v>
      </c>
    </row>
    <row r="6535" spans="76:77" x14ac:dyDescent="0.2">
      <c r="BX6535" s="214" t="e">
        <f t="shared" si="218"/>
        <v>#DIV/0!</v>
      </c>
      <c r="BY6535" s="215">
        <f t="shared" si="219"/>
        <v>0</v>
      </c>
    </row>
    <row r="6536" spans="76:77" x14ac:dyDescent="0.2">
      <c r="BX6536" s="214" t="e">
        <f t="shared" si="218"/>
        <v>#DIV/0!</v>
      </c>
      <c r="BY6536" s="215">
        <f t="shared" si="219"/>
        <v>0</v>
      </c>
    </row>
    <row r="6537" spans="76:77" x14ac:dyDescent="0.2">
      <c r="BX6537" s="214" t="e">
        <f t="shared" si="218"/>
        <v>#DIV/0!</v>
      </c>
      <c r="BY6537" s="215">
        <f t="shared" si="219"/>
        <v>0</v>
      </c>
    </row>
    <row r="6538" spans="76:77" x14ac:dyDescent="0.2">
      <c r="BX6538" s="214" t="e">
        <f t="shared" si="218"/>
        <v>#DIV/0!</v>
      </c>
      <c r="BY6538" s="215">
        <f t="shared" si="219"/>
        <v>0</v>
      </c>
    </row>
    <row r="6539" spans="76:77" x14ac:dyDescent="0.2">
      <c r="BX6539" s="214" t="e">
        <f t="shared" si="218"/>
        <v>#DIV/0!</v>
      </c>
      <c r="BY6539" s="215">
        <f t="shared" si="219"/>
        <v>0</v>
      </c>
    </row>
    <row r="6540" spans="76:77" x14ac:dyDescent="0.2">
      <c r="BX6540" s="214" t="e">
        <f t="shared" si="218"/>
        <v>#DIV/0!</v>
      </c>
      <c r="BY6540" s="215">
        <f t="shared" si="219"/>
        <v>0</v>
      </c>
    </row>
    <row r="6541" spans="76:77" x14ac:dyDescent="0.2">
      <c r="BX6541" s="214" t="e">
        <f t="shared" ref="BX6541:BX6604" si="220">BY6541/BV6541</f>
        <v>#DIV/0!</v>
      </c>
      <c r="BY6541" s="215">
        <f t="shared" si="219"/>
        <v>0</v>
      </c>
    </row>
    <row r="6542" spans="76:77" x14ac:dyDescent="0.2">
      <c r="BX6542" s="214" t="e">
        <f t="shared" si="220"/>
        <v>#DIV/0!</v>
      </c>
      <c r="BY6542" s="215">
        <f t="shared" ref="BY6542:BY6605" si="221">BY6541+BW6542*(BV6542-BV6541)</f>
        <v>0</v>
      </c>
    </row>
    <row r="6543" spans="76:77" x14ac:dyDescent="0.2">
      <c r="BX6543" s="214" t="e">
        <f t="shared" si="220"/>
        <v>#DIV/0!</v>
      </c>
      <c r="BY6543" s="215">
        <f t="shared" si="221"/>
        <v>0</v>
      </c>
    </row>
    <row r="6544" spans="76:77" x14ac:dyDescent="0.2">
      <c r="BX6544" s="214" t="e">
        <f t="shared" si="220"/>
        <v>#DIV/0!</v>
      </c>
      <c r="BY6544" s="215">
        <f t="shared" si="221"/>
        <v>0</v>
      </c>
    </row>
    <row r="6545" spans="76:77" x14ac:dyDescent="0.2">
      <c r="BX6545" s="214" t="e">
        <f t="shared" si="220"/>
        <v>#DIV/0!</v>
      </c>
      <c r="BY6545" s="215">
        <f t="shared" si="221"/>
        <v>0</v>
      </c>
    </row>
    <row r="6546" spans="76:77" x14ac:dyDescent="0.2">
      <c r="BX6546" s="214" t="e">
        <f t="shared" si="220"/>
        <v>#DIV/0!</v>
      </c>
      <c r="BY6546" s="215">
        <f t="shared" si="221"/>
        <v>0</v>
      </c>
    </row>
    <row r="6547" spans="76:77" x14ac:dyDescent="0.2">
      <c r="BX6547" s="214" t="e">
        <f t="shared" si="220"/>
        <v>#DIV/0!</v>
      </c>
      <c r="BY6547" s="215">
        <f t="shared" si="221"/>
        <v>0</v>
      </c>
    </row>
    <row r="6548" spans="76:77" x14ac:dyDescent="0.2">
      <c r="BX6548" s="214" t="e">
        <f t="shared" si="220"/>
        <v>#DIV/0!</v>
      </c>
      <c r="BY6548" s="215">
        <f t="shared" si="221"/>
        <v>0</v>
      </c>
    </row>
    <row r="6549" spans="76:77" x14ac:dyDescent="0.2">
      <c r="BX6549" s="214" t="e">
        <f t="shared" si="220"/>
        <v>#DIV/0!</v>
      </c>
      <c r="BY6549" s="215">
        <f t="shared" si="221"/>
        <v>0</v>
      </c>
    </row>
    <row r="6550" spans="76:77" x14ac:dyDescent="0.2">
      <c r="BX6550" s="214" t="e">
        <f t="shared" si="220"/>
        <v>#DIV/0!</v>
      </c>
      <c r="BY6550" s="215">
        <f t="shared" si="221"/>
        <v>0</v>
      </c>
    </row>
    <row r="6551" spans="76:77" x14ac:dyDescent="0.2">
      <c r="BX6551" s="214" t="e">
        <f t="shared" si="220"/>
        <v>#DIV/0!</v>
      </c>
      <c r="BY6551" s="215">
        <f t="shared" si="221"/>
        <v>0</v>
      </c>
    </row>
    <row r="6552" spans="76:77" x14ac:dyDescent="0.2">
      <c r="BX6552" s="214" t="e">
        <f t="shared" si="220"/>
        <v>#DIV/0!</v>
      </c>
      <c r="BY6552" s="215">
        <f t="shared" si="221"/>
        <v>0</v>
      </c>
    </row>
    <row r="6553" spans="76:77" x14ac:dyDescent="0.2">
      <c r="BX6553" s="214" t="e">
        <f t="shared" si="220"/>
        <v>#DIV/0!</v>
      </c>
      <c r="BY6553" s="215">
        <f t="shared" si="221"/>
        <v>0</v>
      </c>
    </row>
    <row r="6554" spans="76:77" x14ac:dyDescent="0.2">
      <c r="BX6554" s="214" t="e">
        <f t="shared" si="220"/>
        <v>#DIV/0!</v>
      </c>
      <c r="BY6554" s="215">
        <f t="shared" si="221"/>
        <v>0</v>
      </c>
    </row>
    <row r="6555" spans="76:77" x14ac:dyDescent="0.2">
      <c r="BX6555" s="214" t="e">
        <f t="shared" si="220"/>
        <v>#DIV/0!</v>
      </c>
      <c r="BY6555" s="215">
        <f t="shared" si="221"/>
        <v>0</v>
      </c>
    </row>
    <row r="6556" spans="76:77" x14ac:dyDescent="0.2">
      <c r="BX6556" s="214" t="e">
        <f t="shared" si="220"/>
        <v>#DIV/0!</v>
      </c>
      <c r="BY6556" s="215">
        <f t="shared" si="221"/>
        <v>0</v>
      </c>
    </row>
    <row r="6557" spans="76:77" x14ac:dyDescent="0.2">
      <c r="BX6557" s="214" t="e">
        <f t="shared" si="220"/>
        <v>#DIV/0!</v>
      </c>
      <c r="BY6557" s="215">
        <f t="shared" si="221"/>
        <v>0</v>
      </c>
    </row>
    <row r="6558" spans="76:77" x14ac:dyDescent="0.2">
      <c r="BX6558" s="214" t="e">
        <f t="shared" si="220"/>
        <v>#DIV/0!</v>
      </c>
      <c r="BY6558" s="215">
        <f t="shared" si="221"/>
        <v>0</v>
      </c>
    </row>
    <row r="6559" spans="76:77" x14ac:dyDescent="0.2">
      <c r="BX6559" s="214" t="e">
        <f t="shared" si="220"/>
        <v>#DIV/0!</v>
      </c>
      <c r="BY6559" s="215">
        <f t="shared" si="221"/>
        <v>0</v>
      </c>
    </row>
    <row r="6560" spans="76:77" x14ac:dyDescent="0.2">
      <c r="BX6560" s="214" t="e">
        <f t="shared" si="220"/>
        <v>#DIV/0!</v>
      </c>
      <c r="BY6560" s="215">
        <f t="shared" si="221"/>
        <v>0</v>
      </c>
    </row>
    <row r="6561" spans="76:77" x14ac:dyDescent="0.2">
      <c r="BX6561" s="214" t="e">
        <f t="shared" si="220"/>
        <v>#DIV/0!</v>
      </c>
      <c r="BY6561" s="215">
        <f t="shared" si="221"/>
        <v>0</v>
      </c>
    </row>
    <row r="6562" spans="76:77" x14ac:dyDescent="0.2">
      <c r="BX6562" s="214" t="e">
        <f t="shared" si="220"/>
        <v>#DIV/0!</v>
      </c>
      <c r="BY6562" s="215">
        <f t="shared" si="221"/>
        <v>0</v>
      </c>
    </row>
    <row r="6563" spans="76:77" x14ac:dyDescent="0.2">
      <c r="BX6563" s="214" t="e">
        <f t="shared" si="220"/>
        <v>#DIV/0!</v>
      </c>
      <c r="BY6563" s="215">
        <f t="shared" si="221"/>
        <v>0</v>
      </c>
    </row>
    <row r="6564" spans="76:77" x14ac:dyDescent="0.2">
      <c r="BX6564" s="214" t="e">
        <f t="shared" si="220"/>
        <v>#DIV/0!</v>
      </c>
      <c r="BY6564" s="215">
        <f t="shared" si="221"/>
        <v>0</v>
      </c>
    </row>
    <row r="6565" spans="76:77" x14ac:dyDescent="0.2">
      <c r="BX6565" s="214" t="e">
        <f t="shared" si="220"/>
        <v>#DIV/0!</v>
      </c>
      <c r="BY6565" s="215">
        <f t="shared" si="221"/>
        <v>0</v>
      </c>
    </row>
    <row r="6566" spans="76:77" x14ac:dyDescent="0.2">
      <c r="BX6566" s="214" t="e">
        <f t="shared" si="220"/>
        <v>#DIV/0!</v>
      </c>
      <c r="BY6566" s="215">
        <f t="shared" si="221"/>
        <v>0</v>
      </c>
    </row>
    <row r="6567" spans="76:77" x14ac:dyDescent="0.2">
      <c r="BX6567" s="214" t="e">
        <f t="shared" si="220"/>
        <v>#DIV/0!</v>
      </c>
      <c r="BY6567" s="215">
        <f t="shared" si="221"/>
        <v>0</v>
      </c>
    </row>
    <row r="6568" spans="76:77" x14ac:dyDescent="0.2">
      <c r="BX6568" s="214" t="e">
        <f t="shared" si="220"/>
        <v>#DIV/0!</v>
      </c>
      <c r="BY6568" s="215">
        <f t="shared" si="221"/>
        <v>0</v>
      </c>
    </row>
    <row r="6569" spans="76:77" x14ac:dyDescent="0.2">
      <c r="BX6569" s="214" t="e">
        <f t="shared" si="220"/>
        <v>#DIV/0!</v>
      </c>
      <c r="BY6569" s="215">
        <f t="shared" si="221"/>
        <v>0</v>
      </c>
    </row>
    <row r="6570" spans="76:77" x14ac:dyDescent="0.2">
      <c r="BX6570" s="214" t="e">
        <f t="shared" si="220"/>
        <v>#DIV/0!</v>
      </c>
      <c r="BY6570" s="215">
        <f t="shared" si="221"/>
        <v>0</v>
      </c>
    </row>
    <row r="6571" spans="76:77" x14ac:dyDescent="0.2">
      <c r="BX6571" s="214" t="e">
        <f t="shared" si="220"/>
        <v>#DIV/0!</v>
      </c>
      <c r="BY6571" s="215">
        <f t="shared" si="221"/>
        <v>0</v>
      </c>
    </row>
    <row r="6572" spans="76:77" x14ac:dyDescent="0.2">
      <c r="BX6572" s="214" t="e">
        <f t="shared" si="220"/>
        <v>#DIV/0!</v>
      </c>
      <c r="BY6572" s="215">
        <f t="shared" si="221"/>
        <v>0</v>
      </c>
    </row>
    <row r="6573" spans="76:77" x14ac:dyDescent="0.2">
      <c r="BX6573" s="214" t="e">
        <f t="shared" si="220"/>
        <v>#DIV/0!</v>
      </c>
      <c r="BY6573" s="215">
        <f t="shared" si="221"/>
        <v>0</v>
      </c>
    </row>
    <row r="6574" spans="76:77" x14ac:dyDescent="0.2">
      <c r="BX6574" s="214" t="e">
        <f t="shared" si="220"/>
        <v>#DIV/0!</v>
      </c>
      <c r="BY6574" s="215">
        <f t="shared" si="221"/>
        <v>0</v>
      </c>
    </row>
    <row r="6575" spans="76:77" x14ac:dyDescent="0.2">
      <c r="BX6575" s="214" t="e">
        <f t="shared" si="220"/>
        <v>#DIV/0!</v>
      </c>
      <c r="BY6575" s="215">
        <f t="shared" si="221"/>
        <v>0</v>
      </c>
    </row>
    <row r="6576" spans="76:77" x14ac:dyDescent="0.2">
      <c r="BX6576" s="214" t="e">
        <f t="shared" si="220"/>
        <v>#DIV/0!</v>
      </c>
      <c r="BY6576" s="215">
        <f t="shared" si="221"/>
        <v>0</v>
      </c>
    </row>
    <row r="6577" spans="76:77" x14ac:dyDescent="0.2">
      <c r="BX6577" s="214" t="e">
        <f t="shared" si="220"/>
        <v>#DIV/0!</v>
      </c>
      <c r="BY6577" s="215">
        <f t="shared" si="221"/>
        <v>0</v>
      </c>
    </row>
    <row r="6578" spans="76:77" x14ac:dyDescent="0.2">
      <c r="BX6578" s="214" t="e">
        <f t="shared" si="220"/>
        <v>#DIV/0!</v>
      </c>
      <c r="BY6578" s="215">
        <f t="shared" si="221"/>
        <v>0</v>
      </c>
    </row>
    <row r="6579" spans="76:77" x14ac:dyDescent="0.2">
      <c r="BX6579" s="214" t="e">
        <f t="shared" si="220"/>
        <v>#DIV/0!</v>
      </c>
      <c r="BY6579" s="215">
        <f t="shared" si="221"/>
        <v>0</v>
      </c>
    </row>
    <row r="6580" spans="76:77" x14ac:dyDescent="0.2">
      <c r="BX6580" s="214" t="e">
        <f t="shared" si="220"/>
        <v>#DIV/0!</v>
      </c>
      <c r="BY6580" s="215">
        <f t="shared" si="221"/>
        <v>0</v>
      </c>
    </row>
    <row r="6581" spans="76:77" x14ac:dyDescent="0.2">
      <c r="BX6581" s="214" t="e">
        <f t="shared" si="220"/>
        <v>#DIV/0!</v>
      </c>
      <c r="BY6581" s="215">
        <f t="shared" si="221"/>
        <v>0</v>
      </c>
    </row>
    <row r="6582" spans="76:77" x14ac:dyDescent="0.2">
      <c r="BX6582" s="214" t="e">
        <f t="shared" si="220"/>
        <v>#DIV/0!</v>
      </c>
      <c r="BY6582" s="215">
        <f t="shared" si="221"/>
        <v>0</v>
      </c>
    </row>
    <row r="6583" spans="76:77" x14ac:dyDescent="0.2">
      <c r="BX6583" s="214" t="e">
        <f t="shared" si="220"/>
        <v>#DIV/0!</v>
      </c>
      <c r="BY6583" s="215">
        <f t="shared" si="221"/>
        <v>0</v>
      </c>
    </row>
    <row r="6584" spans="76:77" x14ac:dyDescent="0.2">
      <c r="BX6584" s="214" t="e">
        <f t="shared" si="220"/>
        <v>#DIV/0!</v>
      </c>
      <c r="BY6584" s="215">
        <f t="shared" si="221"/>
        <v>0</v>
      </c>
    </row>
    <row r="6585" spans="76:77" x14ac:dyDescent="0.2">
      <c r="BX6585" s="214" t="e">
        <f t="shared" si="220"/>
        <v>#DIV/0!</v>
      </c>
      <c r="BY6585" s="215">
        <f t="shared" si="221"/>
        <v>0</v>
      </c>
    </row>
    <row r="6586" spans="76:77" x14ac:dyDescent="0.2">
      <c r="BX6586" s="214" t="e">
        <f t="shared" si="220"/>
        <v>#DIV/0!</v>
      </c>
      <c r="BY6586" s="215">
        <f t="shared" si="221"/>
        <v>0</v>
      </c>
    </row>
    <row r="6587" spans="76:77" x14ac:dyDescent="0.2">
      <c r="BX6587" s="214" t="e">
        <f t="shared" si="220"/>
        <v>#DIV/0!</v>
      </c>
      <c r="BY6587" s="215">
        <f t="shared" si="221"/>
        <v>0</v>
      </c>
    </row>
    <row r="6588" spans="76:77" x14ac:dyDescent="0.2">
      <c r="BX6588" s="214" t="e">
        <f t="shared" si="220"/>
        <v>#DIV/0!</v>
      </c>
      <c r="BY6588" s="215">
        <f t="shared" si="221"/>
        <v>0</v>
      </c>
    </row>
    <row r="6589" spans="76:77" x14ac:dyDescent="0.2">
      <c r="BX6589" s="214" t="e">
        <f t="shared" si="220"/>
        <v>#DIV/0!</v>
      </c>
      <c r="BY6589" s="215">
        <f t="shared" si="221"/>
        <v>0</v>
      </c>
    </row>
    <row r="6590" spans="76:77" x14ac:dyDescent="0.2">
      <c r="BX6590" s="214" t="e">
        <f t="shared" si="220"/>
        <v>#DIV/0!</v>
      </c>
      <c r="BY6590" s="215">
        <f t="shared" si="221"/>
        <v>0</v>
      </c>
    </row>
    <row r="6591" spans="76:77" x14ac:dyDescent="0.2">
      <c r="BX6591" s="214" t="e">
        <f t="shared" si="220"/>
        <v>#DIV/0!</v>
      </c>
      <c r="BY6591" s="215">
        <f t="shared" si="221"/>
        <v>0</v>
      </c>
    </row>
    <row r="6592" spans="76:77" x14ac:dyDescent="0.2">
      <c r="BX6592" s="214" t="e">
        <f t="shared" si="220"/>
        <v>#DIV/0!</v>
      </c>
      <c r="BY6592" s="215">
        <f t="shared" si="221"/>
        <v>0</v>
      </c>
    </row>
    <row r="6593" spans="76:77" x14ac:dyDescent="0.2">
      <c r="BX6593" s="214" t="e">
        <f t="shared" si="220"/>
        <v>#DIV/0!</v>
      </c>
      <c r="BY6593" s="215">
        <f t="shared" si="221"/>
        <v>0</v>
      </c>
    </row>
    <row r="6594" spans="76:77" x14ac:dyDescent="0.2">
      <c r="BX6594" s="214" t="e">
        <f t="shared" si="220"/>
        <v>#DIV/0!</v>
      </c>
      <c r="BY6594" s="215">
        <f t="shared" si="221"/>
        <v>0</v>
      </c>
    </row>
    <row r="6595" spans="76:77" x14ac:dyDescent="0.2">
      <c r="BX6595" s="214" t="e">
        <f t="shared" si="220"/>
        <v>#DIV/0!</v>
      </c>
      <c r="BY6595" s="215">
        <f t="shared" si="221"/>
        <v>0</v>
      </c>
    </row>
    <row r="6596" spans="76:77" x14ac:dyDescent="0.2">
      <c r="BX6596" s="214" t="e">
        <f t="shared" si="220"/>
        <v>#DIV/0!</v>
      </c>
      <c r="BY6596" s="215">
        <f t="shared" si="221"/>
        <v>0</v>
      </c>
    </row>
    <row r="6597" spans="76:77" x14ac:dyDescent="0.2">
      <c r="BX6597" s="214" t="e">
        <f t="shared" si="220"/>
        <v>#DIV/0!</v>
      </c>
      <c r="BY6597" s="215">
        <f t="shared" si="221"/>
        <v>0</v>
      </c>
    </row>
    <row r="6598" spans="76:77" x14ac:dyDescent="0.2">
      <c r="BX6598" s="214" t="e">
        <f t="shared" si="220"/>
        <v>#DIV/0!</v>
      </c>
      <c r="BY6598" s="215">
        <f t="shared" si="221"/>
        <v>0</v>
      </c>
    </row>
    <row r="6599" spans="76:77" x14ac:dyDescent="0.2">
      <c r="BX6599" s="214" t="e">
        <f t="shared" si="220"/>
        <v>#DIV/0!</v>
      </c>
      <c r="BY6599" s="215">
        <f t="shared" si="221"/>
        <v>0</v>
      </c>
    </row>
    <row r="6600" spans="76:77" x14ac:dyDescent="0.2">
      <c r="BX6600" s="214" t="e">
        <f t="shared" si="220"/>
        <v>#DIV/0!</v>
      </c>
      <c r="BY6600" s="215">
        <f t="shared" si="221"/>
        <v>0</v>
      </c>
    </row>
    <row r="6601" spans="76:77" x14ac:dyDescent="0.2">
      <c r="BX6601" s="214" t="e">
        <f t="shared" si="220"/>
        <v>#DIV/0!</v>
      </c>
      <c r="BY6601" s="215">
        <f t="shared" si="221"/>
        <v>0</v>
      </c>
    </row>
    <row r="6602" spans="76:77" x14ac:dyDescent="0.2">
      <c r="BX6602" s="214" t="e">
        <f t="shared" si="220"/>
        <v>#DIV/0!</v>
      </c>
      <c r="BY6602" s="215">
        <f t="shared" si="221"/>
        <v>0</v>
      </c>
    </row>
    <row r="6603" spans="76:77" x14ac:dyDescent="0.2">
      <c r="BX6603" s="214" t="e">
        <f t="shared" si="220"/>
        <v>#DIV/0!</v>
      </c>
      <c r="BY6603" s="215">
        <f t="shared" si="221"/>
        <v>0</v>
      </c>
    </row>
    <row r="6604" spans="76:77" x14ac:dyDescent="0.2">
      <c r="BX6604" s="214" t="e">
        <f t="shared" si="220"/>
        <v>#DIV/0!</v>
      </c>
      <c r="BY6604" s="215">
        <f t="shared" si="221"/>
        <v>0</v>
      </c>
    </row>
    <row r="6605" spans="76:77" x14ac:dyDescent="0.2">
      <c r="BX6605" s="214" t="e">
        <f t="shared" ref="BX6605:BX6668" si="222">BY6605/BV6605</f>
        <v>#DIV/0!</v>
      </c>
      <c r="BY6605" s="215">
        <f t="shared" si="221"/>
        <v>0</v>
      </c>
    </row>
    <row r="6606" spans="76:77" x14ac:dyDescent="0.2">
      <c r="BX6606" s="214" t="e">
        <f t="shared" si="222"/>
        <v>#DIV/0!</v>
      </c>
      <c r="BY6606" s="215">
        <f t="shared" ref="BY6606:BY6669" si="223">BY6605+BW6606*(BV6606-BV6605)</f>
        <v>0</v>
      </c>
    </row>
    <row r="6607" spans="76:77" x14ac:dyDescent="0.2">
      <c r="BX6607" s="214" t="e">
        <f t="shared" si="222"/>
        <v>#DIV/0!</v>
      </c>
      <c r="BY6607" s="215">
        <f t="shared" si="223"/>
        <v>0</v>
      </c>
    </row>
    <row r="6608" spans="76:77" x14ac:dyDescent="0.2">
      <c r="BX6608" s="214" t="e">
        <f t="shared" si="222"/>
        <v>#DIV/0!</v>
      </c>
      <c r="BY6608" s="215">
        <f t="shared" si="223"/>
        <v>0</v>
      </c>
    </row>
    <row r="6609" spans="76:77" x14ac:dyDescent="0.2">
      <c r="BX6609" s="214" t="e">
        <f t="shared" si="222"/>
        <v>#DIV/0!</v>
      </c>
      <c r="BY6609" s="215">
        <f t="shared" si="223"/>
        <v>0</v>
      </c>
    </row>
    <row r="6610" spans="76:77" x14ac:dyDescent="0.2">
      <c r="BX6610" s="214" t="e">
        <f t="shared" si="222"/>
        <v>#DIV/0!</v>
      </c>
      <c r="BY6610" s="215">
        <f t="shared" si="223"/>
        <v>0</v>
      </c>
    </row>
    <row r="6611" spans="76:77" x14ac:dyDescent="0.2">
      <c r="BX6611" s="214" t="e">
        <f t="shared" si="222"/>
        <v>#DIV/0!</v>
      </c>
      <c r="BY6611" s="215">
        <f t="shared" si="223"/>
        <v>0</v>
      </c>
    </row>
    <row r="6612" spans="76:77" x14ac:dyDescent="0.2">
      <c r="BX6612" s="214" t="e">
        <f t="shared" si="222"/>
        <v>#DIV/0!</v>
      </c>
      <c r="BY6612" s="215">
        <f t="shared" si="223"/>
        <v>0</v>
      </c>
    </row>
    <row r="6613" spans="76:77" x14ac:dyDescent="0.2">
      <c r="BX6613" s="214" t="e">
        <f t="shared" si="222"/>
        <v>#DIV/0!</v>
      </c>
      <c r="BY6613" s="215">
        <f t="shared" si="223"/>
        <v>0</v>
      </c>
    </row>
    <row r="6614" spans="76:77" x14ac:dyDescent="0.2">
      <c r="BX6614" s="214" t="e">
        <f t="shared" si="222"/>
        <v>#DIV/0!</v>
      </c>
      <c r="BY6614" s="215">
        <f t="shared" si="223"/>
        <v>0</v>
      </c>
    </row>
    <row r="6615" spans="76:77" x14ac:dyDescent="0.2">
      <c r="BX6615" s="214" t="e">
        <f t="shared" si="222"/>
        <v>#DIV/0!</v>
      </c>
      <c r="BY6615" s="215">
        <f t="shared" si="223"/>
        <v>0</v>
      </c>
    </row>
    <row r="6616" spans="76:77" x14ac:dyDescent="0.2">
      <c r="BX6616" s="214" t="e">
        <f t="shared" si="222"/>
        <v>#DIV/0!</v>
      </c>
      <c r="BY6616" s="215">
        <f t="shared" si="223"/>
        <v>0</v>
      </c>
    </row>
    <row r="6617" spans="76:77" x14ac:dyDescent="0.2">
      <c r="BX6617" s="214" t="e">
        <f t="shared" si="222"/>
        <v>#DIV/0!</v>
      </c>
      <c r="BY6617" s="215">
        <f t="shared" si="223"/>
        <v>0</v>
      </c>
    </row>
    <row r="6618" spans="76:77" x14ac:dyDescent="0.2">
      <c r="BX6618" s="214" t="e">
        <f t="shared" si="222"/>
        <v>#DIV/0!</v>
      </c>
      <c r="BY6618" s="215">
        <f t="shared" si="223"/>
        <v>0</v>
      </c>
    </row>
    <row r="6619" spans="76:77" x14ac:dyDescent="0.2">
      <c r="BX6619" s="214" t="e">
        <f t="shared" si="222"/>
        <v>#DIV/0!</v>
      </c>
      <c r="BY6619" s="215">
        <f t="shared" si="223"/>
        <v>0</v>
      </c>
    </row>
    <row r="6620" spans="76:77" x14ac:dyDescent="0.2">
      <c r="BX6620" s="214" t="e">
        <f t="shared" si="222"/>
        <v>#DIV/0!</v>
      </c>
      <c r="BY6620" s="215">
        <f t="shared" si="223"/>
        <v>0</v>
      </c>
    </row>
    <row r="6621" spans="76:77" x14ac:dyDescent="0.2">
      <c r="BX6621" s="214" t="e">
        <f t="shared" si="222"/>
        <v>#DIV/0!</v>
      </c>
      <c r="BY6621" s="215">
        <f t="shared" si="223"/>
        <v>0</v>
      </c>
    </row>
    <row r="6622" spans="76:77" x14ac:dyDescent="0.2">
      <c r="BX6622" s="214" t="e">
        <f t="shared" si="222"/>
        <v>#DIV/0!</v>
      </c>
      <c r="BY6622" s="215">
        <f t="shared" si="223"/>
        <v>0</v>
      </c>
    </row>
    <row r="6623" spans="76:77" x14ac:dyDescent="0.2">
      <c r="BX6623" s="214" t="e">
        <f t="shared" si="222"/>
        <v>#DIV/0!</v>
      </c>
      <c r="BY6623" s="215">
        <f t="shared" si="223"/>
        <v>0</v>
      </c>
    </row>
    <row r="6624" spans="76:77" x14ac:dyDescent="0.2">
      <c r="BX6624" s="214" t="e">
        <f t="shared" si="222"/>
        <v>#DIV/0!</v>
      </c>
      <c r="BY6624" s="215">
        <f t="shared" si="223"/>
        <v>0</v>
      </c>
    </row>
    <row r="6625" spans="76:77" x14ac:dyDescent="0.2">
      <c r="BX6625" s="214" t="e">
        <f t="shared" si="222"/>
        <v>#DIV/0!</v>
      </c>
      <c r="BY6625" s="215">
        <f t="shared" si="223"/>
        <v>0</v>
      </c>
    </row>
    <row r="6626" spans="76:77" x14ac:dyDescent="0.2">
      <c r="BX6626" s="214" t="e">
        <f t="shared" si="222"/>
        <v>#DIV/0!</v>
      </c>
      <c r="BY6626" s="215">
        <f t="shared" si="223"/>
        <v>0</v>
      </c>
    </row>
    <row r="6627" spans="76:77" x14ac:dyDescent="0.2">
      <c r="BX6627" s="214" t="e">
        <f t="shared" si="222"/>
        <v>#DIV/0!</v>
      </c>
      <c r="BY6627" s="215">
        <f t="shared" si="223"/>
        <v>0</v>
      </c>
    </row>
    <row r="6628" spans="76:77" x14ac:dyDescent="0.2">
      <c r="BX6628" s="214" t="e">
        <f t="shared" si="222"/>
        <v>#DIV/0!</v>
      </c>
      <c r="BY6628" s="215">
        <f t="shared" si="223"/>
        <v>0</v>
      </c>
    </row>
    <row r="6629" spans="76:77" x14ac:dyDescent="0.2">
      <c r="BX6629" s="214" t="e">
        <f t="shared" si="222"/>
        <v>#DIV/0!</v>
      </c>
      <c r="BY6629" s="215">
        <f t="shared" si="223"/>
        <v>0</v>
      </c>
    </row>
    <row r="6630" spans="76:77" x14ac:dyDescent="0.2">
      <c r="BX6630" s="214" t="e">
        <f t="shared" si="222"/>
        <v>#DIV/0!</v>
      </c>
      <c r="BY6630" s="215">
        <f t="shared" si="223"/>
        <v>0</v>
      </c>
    </row>
    <row r="6631" spans="76:77" x14ac:dyDescent="0.2">
      <c r="BX6631" s="214" t="e">
        <f t="shared" si="222"/>
        <v>#DIV/0!</v>
      </c>
      <c r="BY6631" s="215">
        <f t="shared" si="223"/>
        <v>0</v>
      </c>
    </row>
    <row r="6632" spans="76:77" x14ac:dyDescent="0.2">
      <c r="BX6632" s="214" t="e">
        <f t="shared" si="222"/>
        <v>#DIV/0!</v>
      </c>
      <c r="BY6632" s="215">
        <f t="shared" si="223"/>
        <v>0</v>
      </c>
    </row>
    <row r="6633" spans="76:77" x14ac:dyDescent="0.2">
      <c r="BX6633" s="214" t="e">
        <f t="shared" si="222"/>
        <v>#DIV/0!</v>
      </c>
      <c r="BY6633" s="215">
        <f t="shared" si="223"/>
        <v>0</v>
      </c>
    </row>
    <row r="6634" spans="76:77" x14ac:dyDescent="0.2">
      <c r="BX6634" s="214" t="e">
        <f t="shared" si="222"/>
        <v>#DIV/0!</v>
      </c>
      <c r="BY6634" s="215">
        <f t="shared" si="223"/>
        <v>0</v>
      </c>
    </row>
    <row r="6635" spans="76:77" x14ac:dyDescent="0.2">
      <c r="BX6635" s="214" t="e">
        <f t="shared" si="222"/>
        <v>#DIV/0!</v>
      </c>
      <c r="BY6635" s="215">
        <f t="shared" si="223"/>
        <v>0</v>
      </c>
    </row>
    <row r="6636" spans="76:77" x14ac:dyDescent="0.2">
      <c r="BX6636" s="214" t="e">
        <f t="shared" si="222"/>
        <v>#DIV/0!</v>
      </c>
      <c r="BY6636" s="215">
        <f t="shared" si="223"/>
        <v>0</v>
      </c>
    </row>
    <row r="6637" spans="76:77" x14ac:dyDescent="0.2">
      <c r="BX6637" s="214" t="e">
        <f t="shared" si="222"/>
        <v>#DIV/0!</v>
      </c>
      <c r="BY6637" s="215">
        <f t="shared" si="223"/>
        <v>0</v>
      </c>
    </row>
    <row r="6638" spans="76:77" x14ac:dyDescent="0.2">
      <c r="BX6638" s="214" t="e">
        <f t="shared" si="222"/>
        <v>#DIV/0!</v>
      </c>
      <c r="BY6638" s="215">
        <f t="shared" si="223"/>
        <v>0</v>
      </c>
    </row>
    <row r="6639" spans="76:77" x14ac:dyDescent="0.2">
      <c r="BX6639" s="214" t="e">
        <f t="shared" si="222"/>
        <v>#DIV/0!</v>
      </c>
      <c r="BY6639" s="215">
        <f t="shared" si="223"/>
        <v>0</v>
      </c>
    </row>
    <row r="6640" spans="76:77" x14ac:dyDescent="0.2">
      <c r="BX6640" s="214" t="e">
        <f t="shared" si="222"/>
        <v>#DIV/0!</v>
      </c>
      <c r="BY6640" s="215">
        <f t="shared" si="223"/>
        <v>0</v>
      </c>
    </row>
    <row r="6641" spans="76:77" x14ac:dyDescent="0.2">
      <c r="BX6641" s="214" t="e">
        <f t="shared" si="222"/>
        <v>#DIV/0!</v>
      </c>
      <c r="BY6641" s="215">
        <f t="shared" si="223"/>
        <v>0</v>
      </c>
    </row>
    <row r="6642" spans="76:77" x14ac:dyDescent="0.2">
      <c r="BX6642" s="214" t="e">
        <f t="shared" si="222"/>
        <v>#DIV/0!</v>
      </c>
      <c r="BY6642" s="215">
        <f t="shared" si="223"/>
        <v>0</v>
      </c>
    </row>
    <row r="6643" spans="76:77" x14ac:dyDescent="0.2">
      <c r="BX6643" s="214" t="e">
        <f t="shared" si="222"/>
        <v>#DIV/0!</v>
      </c>
      <c r="BY6643" s="215">
        <f t="shared" si="223"/>
        <v>0</v>
      </c>
    </row>
    <row r="6644" spans="76:77" x14ac:dyDescent="0.2">
      <c r="BX6644" s="214" t="e">
        <f t="shared" si="222"/>
        <v>#DIV/0!</v>
      </c>
      <c r="BY6644" s="215">
        <f t="shared" si="223"/>
        <v>0</v>
      </c>
    </row>
    <row r="6645" spans="76:77" x14ac:dyDescent="0.2">
      <c r="BX6645" s="214" t="e">
        <f t="shared" si="222"/>
        <v>#DIV/0!</v>
      </c>
      <c r="BY6645" s="215">
        <f t="shared" si="223"/>
        <v>0</v>
      </c>
    </row>
    <row r="6646" spans="76:77" x14ac:dyDescent="0.2">
      <c r="BX6646" s="214" t="e">
        <f t="shared" si="222"/>
        <v>#DIV/0!</v>
      </c>
      <c r="BY6646" s="215">
        <f t="shared" si="223"/>
        <v>0</v>
      </c>
    </row>
    <row r="6647" spans="76:77" x14ac:dyDescent="0.2">
      <c r="BX6647" s="214" t="e">
        <f t="shared" si="222"/>
        <v>#DIV/0!</v>
      </c>
      <c r="BY6647" s="215">
        <f t="shared" si="223"/>
        <v>0</v>
      </c>
    </row>
    <row r="6648" spans="76:77" x14ac:dyDescent="0.2">
      <c r="BX6648" s="214" t="e">
        <f t="shared" si="222"/>
        <v>#DIV/0!</v>
      </c>
      <c r="BY6648" s="215">
        <f t="shared" si="223"/>
        <v>0</v>
      </c>
    </row>
    <row r="6649" spans="76:77" x14ac:dyDescent="0.2">
      <c r="BX6649" s="214" t="e">
        <f t="shared" si="222"/>
        <v>#DIV/0!</v>
      </c>
      <c r="BY6649" s="215">
        <f t="shared" si="223"/>
        <v>0</v>
      </c>
    </row>
    <row r="6650" spans="76:77" x14ac:dyDescent="0.2">
      <c r="BX6650" s="214" t="e">
        <f t="shared" si="222"/>
        <v>#DIV/0!</v>
      </c>
      <c r="BY6650" s="215">
        <f t="shared" si="223"/>
        <v>0</v>
      </c>
    </row>
    <row r="6651" spans="76:77" x14ac:dyDescent="0.2">
      <c r="BX6651" s="214" t="e">
        <f t="shared" si="222"/>
        <v>#DIV/0!</v>
      </c>
      <c r="BY6651" s="215">
        <f t="shared" si="223"/>
        <v>0</v>
      </c>
    </row>
    <row r="6652" spans="76:77" x14ac:dyDescent="0.2">
      <c r="BX6652" s="214" t="e">
        <f t="shared" si="222"/>
        <v>#DIV/0!</v>
      </c>
      <c r="BY6652" s="215">
        <f t="shared" si="223"/>
        <v>0</v>
      </c>
    </row>
    <row r="6653" spans="76:77" x14ac:dyDescent="0.2">
      <c r="BX6653" s="214" t="e">
        <f t="shared" si="222"/>
        <v>#DIV/0!</v>
      </c>
      <c r="BY6653" s="215">
        <f t="shared" si="223"/>
        <v>0</v>
      </c>
    </row>
    <row r="6654" spans="76:77" x14ac:dyDescent="0.2">
      <c r="BX6654" s="214" t="e">
        <f t="shared" si="222"/>
        <v>#DIV/0!</v>
      </c>
      <c r="BY6654" s="215">
        <f t="shared" si="223"/>
        <v>0</v>
      </c>
    </row>
    <row r="6655" spans="76:77" x14ac:dyDescent="0.2">
      <c r="BX6655" s="214" t="e">
        <f t="shared" si="222"/>
        <v>#DIV/0!</v>
      </c>
      <c r="BY6655" s="215">
        <f t="shared" si="223"/>
        <v>0</v>
      </c>
    </row>
    <row r="6656" spans="76:77" x14ac:dyDescent="0.2">
      <c r="BX6656" s="214" t="e">
        <f t="shared" si="222"/>
        <v>#DIV/0!</v>
      </c>
      <c r="BY6656" s="215">
        <f t="shared" si="223"/>
        <v>0</v>
      </c>
    </row>
    <row r="6657" spans="76:77" x14ac:dyDescent="0.2">
      <c r="BX6657" s="214" t="e">
        <f t="shared" si="222"/>
        <v>#DIV/0!</v>
      </c>
      <c r="BY6657" s="215">
        <f t="shared" si="223"/>
        <v>0</v>
      </c>
    </row>
    <row r="6658" spans="76:77" x14ac:dyDescent="0.2">
      <c r="BX6658" s="214" t="e">
        <f t="shared" si="222"/>
        <v>#DIV/0!</v>
      </c>
      <c r="BY6658" s="215">
        <f t="shared" si="223"/>
        <v>0</v>
      </c>
    </row>
    <row r="6659" spans="76:77" x14ac:dyDescent="0.2">
      <c r="BX6659" s="214" t="e">
        <f t="shared" si="222"/>
        <v>#DIV/0!</v>
      </c>
      <c r="BY6659" s="215">
        <f t="shared" si="223"/>
        <v>0</v>
      </c>
    </row>
    <row r="6660" spans="76:77" x14ac:dyDescent="0.2">
      <c r="BX6660" s="214" t="e">
        <f t="shared" si="222"/>
        <v>#DIV/0!</v>
      </c>
      <c r="BY6660" s="215">
        <f t="shared" si="223"/>
        <v>0</v>
      </c>
    </row>
    <row r="6661" spans="76:77" x14ac:dyDescent="0.2">
      <c r="BX6661" s="214" t="e">
        <f t="shared" si="222"/>
        <v>#DIV/0!</v>
      </c>
      <c r="BY6661" s="215">
        <f t="shared" si="223"/>
        <v>0</v>
      </c>
    </row>
    <row r="6662" spans="76:77" x14ac:dyDescent="0.2">
      <c r="BX6662" s="214" t="e">
        <f t="shared" si="222"/>
        <v>#DIV/0!</v>
      </c>
      <c r="BY6662" s="215">
        <f t="shared" si="223"/>
        <v>0</v>
      </c>
    </row>
    <row r="6663" spans="76:77" x14ac:dyDescent="0.2">
      <c r="BX6663" s="214" t="e">
        <f t="shared" si="222"/>
        <v>#DIV/0!</v>
      </c>
      <c r="BY6663" s="215">
        <f t="shared" si="223"/>
        <v>0</v>
      </c>
    </row>
    <row r="6664" spans="76:77" x14ac:dyDescent="0.2">
      <c r="BX6664" s="214" t="e">
        <f t="shared" si="222"/>
        <v>#DIV/0!</v>
      </c>
      <c r="BY6664" s="215">
        <f t="shared" si="223"/>
        <v>0</v>
      </c>
    </row>
    <row r="6665" spans="76:77" x14ac:dyDescent="0.2">
      <c r="BX6665" s="214" t="e">
        <f t="shared" si="222"/>
        <v>#DIV/0!</v>
      </c>
      <c r="BY6665" s="215">
        <f t="shared" si="223"/>
        <v>0</v>
      </c>
    </row>
    <row r="6666" spans="76:77" x14ac:dyDescent="0.2">
      <c r="BX6666" s="214" t="e">
        <f t="shared" si="222"/>
        <v>#DIV/0!</v>
      </c>
      <c r="BY6666" s="215">
        <f t="shared" si="223"/>
        <v>0</v>
      </c>
    </row>
    <row r="6667" spans="76:77" x14ac:dyDescent="0.2">
      <c r="BX6667" s="214" t="e">
        <f t="shared" si="222"/>
        <v>#DIV/0!</v>
      </c>
      <c r="BY6667" s="215">
        <f t="shared" si="223"/>
        <v>0</v>
      </c>
    </row>
    <row r="6668" spans="76:77" x14ac:dyDescent="0.2">
      <c r="BX6668" s="214" t="e">
        <f t="shared" si="222"/>
        <v>#DIV/0!</v>
      </c>
      <c r="BY6668" s="215">
        <f t="shared" si="223"/>
        <v>0</v>
      </c>
    </row>
    <row r="6669" spans="76:77" x14ac:dyDescent="0.2">
      <c r="BX6669" s="214" t="e">
        <f t="shared" ref="BX6669:BX6732" si="224">BY6669/BV6669</f>
        <v>#DIV/0!</v>
      </c>
      <c r="BY6669" s="215">
        <f t="shared" si="223"/>
        <v>0</v>
      </c>
    </row>
    <row r="6670" spans="76:77" x14ac:dyDescent="0.2">
      <c r="BX6670" s="214" t="e">
        <f t="shared" si="224"/>
        <v>#DIV/0!</v>
      </c>
      <c r="BY6670" s="215">
        <f t="shared" ref="BY6670:BY6733" si="225">BY6669+BW6670*(BV6670-BV6669)</f>
        <v>0</v>
      </c>
    </row>
    <row r="6671" spans="76:77" x14ac:dyDescent="0.2">
      <c r="BX6671" s="214" t="e">
        <f t="shared" si="224"/>
        <v>#DIV/0!</v>
      </c>
      <c r="BY6671" s="215">
        <f t="shared" si="225"/>
        <v>0</v>
      </c>
    </row>
    <row r="6672" spans="76:77" x14ac:dyDescent="0.2">
      <c r="BX6672" s="214" t="e">
        <f t="shared" si="224"/>
        <v>#DIV/0!</v>
      </c>
      <c r="BY6672" s="215">
        <f t="shared" si="225"/>
        <v>0</v>
      </c>
    </row>
    <row r="6673" spans="76:77" x14ac:dyDescent="0.2">
      <c r="BX6673" s="214" t="e">
        <f t="shared" si="224"/>
        <v>#DIV/0!</v>
      </c>
      <c r="BY6673" s="215">
        <f t="shared" si="225"/>
        <v>0</v>
      </c>
    </row>
    <row r="6674" spans="76:77" x14ac:dyDescent="0.2">
      <c r="BX6674" s="214" t="e">
        <f t="shared" si="224"/>
        <v>#DIV/0!</v>
      </c>
      <c r="BY6674" s="215">
        <f t="shared" si="225"/>
        <v>0</v>
      </c>
    </row>
    <row r="6675" spans="76:77" x14ac:dyDescent="0.2">
      <c r="BX6675" s="214" t="e">
        <f t="shared" si="224"/>
        <v>#DIV/0!</v>
      </c>
      <c r="BY6675" s="215">
        <f t="shared" si="225"/>
        <v>0</v>
      </c>
    </row>
    <row r="6676" spans="76:77" x14ac:dyDescent="0.2">
      <c r="BX6676" s="214" t="e">
        <f t="shared" si="224"/>
        <v>#DIV/0!</v>
      </c>
      <c r="BY6676" s="215">
        <f t="shared" si="225"/>
        <v>0</v>
      </c>
    </row>
    <row r="6677" spans="76:77" x14ac:dyDescent="0.2">
      <c r="BX6677" s="214" t="e">
        <f t="shared" si="224"/>
        <v>#DIV/0!</v>
      </c>
      <c r="BY6677" s="215">
        <f t="shared" si="225"/>
        <v>0</v>
      </c>
    </row>
    <row r="6678" spans="76:77" x14ac:dyDescent="0.2">
      <c r="BX6678" s="214" t="e">
        <f t="shared" si="224"/>
        <v>#DIV/0!</v>
      </c>
      <c r="BY6678" s="215">
        <f t="shared" si="225"/>
        <v>0</v>
      </c>
    </row>
    <row r="6679" spans="76:77" x14ac:dyDescent="0.2">
      <c r="BX6679" s="214" t="e">
        <f t="shared" si="224"/>
        <v>#DIV/0!</v>
      </c>
      <c r="BY6679" s="215">
        <f t="shared" si="225"/>
        <v>0</v>
      </c>
    </row>
    <row r="6680" spans="76:77" x14ac:dyDescent="0.2">
      <c r="BX6680" s="214" t="e">
        <f t="shared" si="224"/>
        <v>#DIV/0!</v>
      </c>
      <c r="BY6680" s="215">
        <f t="shared" si="225"/>
        <v>0</v>
      </c>
    </row>
    <row r="6681" spans="76:77" x14ac:dyDescent="0.2">
      <c r="BX6681" s="214" t="e">
        <f t="shared" si="224"/>
        <v>#DIV/0!</v>
      </c>
      <c r="BY6681" s="215">
        <f t="shared" si="225"/>
        <v>0</v>
      </c>
    </row>
    <row r="6682" spans="76:77" x14ac:dyDescent="0.2">
      <c r="BX6682" s="214" t="e">
        <f t="shared" si="224"/>
        <v>#DIV/0!</v>
      </c>
      <c r="BY6682" s="215">
        <f t="shared" si="225"/>
        <v>0</v>
      </c>
    </row>
    <row r="6683" spans="76:77" x14ac:dyDescent="0.2">
      <c r="BX6683" s="214" t="e">
        <f t="shared" si="224"/>
        <v>#DIV/0!</v>
      </c>
      <c r="BY6683" s="215">
        <f t="shared" si="225"/>
        <v>0</v>
      </c>
    </row>
    <row r="6684" spans="76:77" x14ac:dyDescent="0.2">
      <c r="BX6684" s="214" t="e">
        <f t="shared" si="224"/>
        <v>#DIV/0!</v>
      </c>
      <c r="BY6684" s="215">
        <f t="shared" si="225"/>
        <v>0</v>
      </c>
    </row>
    <row r="6685" spans="76:77" x14ac:dyDescent="0.2">
      <c r="BX6685" s="214" t="e">
        <f t="shared" si="224"/>
        <v>#DIV/0!</v>
      </c>
      <c r="BY6685" s="215">
        <f t="shared" si="225"/>
        <v>0</v>
      </c>
    </row>
    <row r="6686" spans="76:77" x14ac:dyDescent="0.2">
      <c r="BX6686" s="214" t="e">
        <f t="shared" si="224"/>
        <v>#DIV/0!</v>
      </c>
      <c r="BY6686" s="215">
        <f t="shared" si="225"/>
        <v>0</v>
      </c>
    </row>
    <row r="6687" spans="76:77" x14ac:dyDescent="0.2">
      <c r="BX6687" s="214" t="e">
        <f t="shared" si="224"/>
        <v>#DIV/0!</v>
      </c>
      <c r="BY6687" s="215">
        <f t="shared" si="225"/>
        <v>0</v>
      </c>
    </row>
    <row r="6688" spans="76:77" x14ac:dyDescent="0.2">
      <c r="BX6688" s="214" t="e">
        <f t="shared" si="224"/>
        <v>#DIV/0!</v>
      </c>
      <c r="BY6688" s="215">
        <f t="shared" si="225"/>
        <v>0</v>
      </c>
    </row>
    <row r="6689" spans="76:77" x14ac:dyDescent="0.2">
      <c r="BX6689" s="214" t="e">
        <f t="shared" si="224"/>
        <v>#DIV/0!</v>
      </c>
      <c r="BY6689" s="215">
        <f t="shared" si="225"/>
        <v>0</v>
      </c>
    </row>
    <row r="6690" spans="76:77" x14ac:dyDescent="0.2">
      <c r="BX6690" s="214" t="e">
        <f t="shared" si="224"/>
        <v>#DIV/0!</v>
      </c>
      <c r="BY6690" s="215">
        <f t="shared" si="225"/>
        <v>0</v>
      </c>
    </row>
    <row r="6691" spans="76:77" x14ac:dyDescent="0.2">
      <c r="BX6691" s="214" t="e">
        <f t="shared" si="224"/>
        <v>#DIV/0!</v>
      </c>
      <c r="BY6691" s="215">
        <f t="shared" si="225"/>
        <v>0</v>
      </c>
    </row>
    <row r="6692" spans="76:77" x14ac:dyDescent="0.2">
      <c r="BX6692" s="214" t="e">
        <f t="shared" si="224"/>
        <v>#DIV/0!</v>
      </c>
      <c r="BY6692" s="215">
        <f t="shared" si="225"/>
        <v>0</v>
      </c>
    </row>
    <row r="6693" spans="76:77" x14ac:dyDescent="0.2">
      <c r="BX6693" s="214" t="e">
        <f t="shared" si="224"/>
        <v>#DIV/0!</v>
      </c>
      <c r="BY6693" s="215">
        <f t="shared" si="225"/>
        <v>0</v>
      </c>
    </row>
    <row r="6694" spans="76:77" x14ac:dyDescent="0.2">
      <c r="BX6694" s="214" t="e">
        <f t="shared" si="224"/>
        <v>#DIV/0!</v>
      </c>
      <c r="BY6694" s="215">
        <f t="shared" si="225"/>
        <v>0</v>
      </c>
    </row>
    <row r="6695" spans="76:77" x14ac:dyDescent="0.2">
      <c r="BX6695" s="214" t="e">
        <f t="shared" si="224"/>
        <v>#DIV/0!</v>
      </c>
      <c r="BY6695" s="215">
        <f t="shared" si="225"/>
        <v>0</v>
      </c>
    </row>
    <row r="6696" spans="76:77" x14ac:dyDescent="0.2">
      <c r="BX6696" s="214" t="e">
        <f t="shared" si="224"/>
        <v>#DIV/0!</v>
      </c>
      <c r="BY6696" s="215">
        <f t="shared" si="225"/>
        <v>0</v>
      </c>
    </row>
    <row r="6697" spans="76:77" x14ac:dyDescent="0.2">
      <c r="BX6697" s="214" t="e">
        <f t="shared" si="224"/>
        <v>#DIV/0!</v>
      </c>
      <c r="BY6697" s="215">
        <f t="shared" si="225"/>
        <v>0</v>
      </c>
    </row>
    <row r="6698" spans="76:77" x14ac:dyDescent="0.2">
      <c r="BX6698" s="214" t="e">
        <f t="shared" si="224"/>
        <v>#DIV/0!</v>
      </c>
      <c r="BY6698" s="215">
        <f t="shared" si="225"/>
        <v>0</v>
      </c>
    </row>
    <row r="6699" spans="76:77" x14ac:dyDescent="0.2">
      <c r="BX6699" s="214" t="e">
        <f t="shared" si="224"/>
        <v>#DIV/0!</v>
      </c>
      <c r="BY6699" s="215">
        <f t="shared" si="225"/>
        <v>0</v>
      </c>
    </row>
    <row r="6700" spans="76:77" x14ac:dyDescent="0.2">
      <c r="BX6700" s="214" t="e">
        <f t="shared" si="224"/>
        <v>#DIV/0!</v>
      </c>
      <c r="BY6700" s="215">
        <f t="shared" si="225"/>
        <v>0</v>
      </c>
    </row>
    <row r="6701" spans="76:77" x14ac:dyDescent="0.2">
      <c r="BX6701" s="214" t="e">
        <f t="shared" si="224"/>
        <v>#DIV/0!</v>
      </c>
      <c r="BY6701" s="215">
        <f t="shared" si="225"/>
        <v>0</v>
      </c>
    </row>
    <row r="6702" spans="76:77" x14ac:dyDescent="0.2">
      <c r="BX6702" s="214" t="e">
        <f t="shared" si="224"/>
        <v>#DIV/0!</v>
      </c>
      <c r="BY6702" s="215">
        <f t="shared" si="225"/>
        <v>0</v>
      </c>
    </row>
    <row r="6703" spans="76:77" x14ac:dyDescent="0.2">
      <c r="BX6703" s="214" t="e">
        <f t="shared" si="224"/>
        <v>#DIV/0!</v>
      </c>
      <c r="BY6703" s="215">
        <f t="shared" si="225"/>
        <v>0</v>
      </c>
    </row>
    <row r="6704" spans="76:77" x14ac:dyDescent="0.2">
      <c r="BX6704" s="214" t="e">
        <f t="shared" si="224"/>
        <v>#DIV/0!</v>
      </c>
      <c r="BY6704" s="215">
        <f t="shared" si="225"/>
        <v>0</v>
      </c>
    </row>
    <row r="6705" spans="76:77" x14ac:dyDescent="0.2">
      <c r="BX6705" s="214" t="e">
        <f t="shared" si="224"/>
        <v>#DIV/0!</v>
      </c>
      <c r="BY6705" s="215">
        <f t="shared" si="225"/>
        <v>0</v>
      </c>
    </row>
    <row r="6706" spans="76:77" x14ac:dyDescent="0.2">
      <c r="BX6706" s="214" t="e">
        <f t="shared" si="224"/>
        <v>#DIV/0!</v>
      </c>
      <c r="BY6706" s="215">
        <f t="shared" si="225"/>
        <v>0</v>
      </c>
    </row>
    <row r="6707" spans="76:77" x14ac:dyDescent="0.2">
      <c r="BX6707" s="214" t="e">
        <f t="shared" si="224"/>
        <v>#DIV/0!</v>
      </c>
      <c r="BY6707" s="215">
        <f t="shared" si="225"/>
        <v>0</v>
      </c>
    </row>
    <row r="6708" spans="76:77" x14ac:dyDescent="0.2">
      <c r="BX6708" s="214" t="e">
        <f t="shared" si="224"/>
        <v>#DIV/0!</v>
      </c>
      <c r="BY6708" s="215">
        <f t="shared" si="225"/>
        <v>0</v>
      </c>
    </row>
    <row r="6709" spans="76:77" x14ac:dyDescent="0.2">
      <c r="BX6709" s="214" t="e">
        <f t="shared" si="224"/>
        <v>#DIV/0!</v>
      </c>
      <c r="BY6709" s="215">
        <f t="shared" si="225"/>
        <v>0</v>
      </c>
    </row>
    <row r="6710" spans="76:77" x14ac:dyDescent="0.2">
      <c r="BX6710" s="214" t="e">
        <f t="shared" si="224"/>
        <v>#DIV/0!</v>
      </c>
      <c r="BY6710" s="215">
        <f t="shared" si="225"/>
        <v>0</v>
      </c>
    </row>
    <row r="6711" spans="76:77" x14ac:dyDescent="0.2">
      <c r="BX6711" s="214" t="e">
        <f t="shared" si="224"/>
        <v>#DIV/0!</v>
      </c>
      <c r="BY6711" s="215">
        <f t="shared" si="225"/>
        <v>0</v>
      </c>
    </row>
    <row r="6712" spans="76:77" x14ac:dyDescent="0.2">
      <c r="BX6712" s="214" t="e">
        <f t="shared" si="224"/>
        <v>#DIV/0!</v>
      </c>
      <c r="BY6712" s="215">
        <f t="shared" si="225"/>
        <v>0</v>
      </c>
    </row>
    <row r="6713" spans="76:77" x14ac:dyDescent="0.2">
      <c r="BX6713" s="214" t="e">
        <f t="shared" si="224"/>
        <v>#DIV/0!</v>
      </c>
      <c r="BY6713" s="215">
        <f t="shared" si="225"/>
        <v>0</v>
      </c>
    </row>
    <row r="6714" spans="76:77" x14ac:dyDescent="0.2">
      <c r="BX6714" s="214" t="e">
        <f t="shared" si="224"/>
        <v>#DIV/0!</v>
      </c>
      <c r="BY6714" s="215">
        <f t="shared" si="225"/>
        <v>0</v>
      </c>
    </row>
    <row r="6715" spans="76:77" x14ac:dyDescent="0.2">
      <c r="BX6715" s="214" t="e">
        <f t="shared" si="224"/>
        <v>#DIV/0!</v>
      </c>
      <c r="BY6715" s="215">
        <f t="shared" si="225"/>
        <v>0</v>
      </c>
    </row>
    <row r="6716" spans="76:77" x14ac:dyDescent="0.2">
      <c r="BX6716" s="214" t="e">
        <f t="shared" si="224"/>
        <v>#DIV/0!</v>
      </c>
      <c r="BY6716" s="215">
        <f t="shared" si="225"/>
        <v>0</v>
      </c>
    </row>
    <row r="6717" spans="76:77" x14ac:dyDescent="0.2">
      <c r="BX6717" s="214" t="e">
        <f t="shared" si="224"/>
        <v>#DIV/0!</v>
      </c>
      <c r="BY6717" s="215">
        <f t="shared" si="225"/>
        <v>0</v>
      </c>
    </row>
    <row r="6718" spans="76:77" x14ac:dyDescent="0.2">
      <c r="BX6718" s="214" t="e">
        <f t="shared" si="224"/>
        <v>#DIV/0!</v>
      </c>
      <c r="BY6718" s="215">
        <f t="shared" si="225"/>
        <v>0</v>
      </c>
    </row>
    <row r="6719" spans="76:77" x14ac:dyDescent="0.2">
      <c r="BX6719" s="214" t="e">
        <f t="shared" si="224"/>
        <v>#DIV/0!</v>
      </c>
      <c r="BY6719" s="215">
        <f t="shared" si="225"/>
        <v>0</v>
      </c>
    </row>
    <row r="6720" spans="76:77" x14ac:dyDescent="0.2">
      <c r="BX6720" s="214" t="e">
        <f t="shared" si="224"/>
        <v>#DIV/0!</v>
      </c>
      <c r="BY6720" s="215">
        <f t="shared" si="225"/>
        <v>0</v>
      </c>
    </row>
    <row r="6721" spans="76:77" x14ac:dyDescent="0.2">
      <c r="BX6721" s="214" t="e">
        <f t="shared" si="224"/>
        <v>#DIV/0!</v>
      </c>
      <c r="BY6721" s="215">
        <f t="shared" si="225"/>
        <v>0</v>
      </c>
    </row>
    <row r="6722" spans="76:77" x14ac:dyDescent="0.2">
      <c r="BX6722" s="214" t="e">
        <f t="shared" si="224"/>
        <v>#DIV/0!</v>
      </c>
      <c r="BY6722" s="215">
        <f t="shared" si="225"/>
        <v>0</v>
      </c>
    </row>
    <row r="6723" spans="76:77" x14ac:dyDescent="0.2">
      <c r="BX6723" s="214" t="e">
        <f t="shared" si="224"/>
        <v>#DIV/0!</v>
      </c>
      <c r="BY6723" s="215">
        <f t="shared" si="225"/>
        <v>0</v>
      </c>
    </row>
    <row r="6724" spans="76:77" x14ac:dyDescent="0.2">
      <c r="BX6724" s="214" t="e">
        <f t="shared" si="224"/>
        <v>#DIV/0!</v>
      </c>
      <c r="BY6724" s="215">
        <f t="shared" si="225"/>
        <v>0</v>
      </c>
    </row>
    <row r="6725" spans="76:77" x14ac:dyDescent="0.2">
      <c r="BX6725" s="214" t="e">
        <f t="shared" si="224"/>
        <v>#DIV/0!</v>
      </c>
      <c r="BY6725" s="215">
        <f t="shared" si="225"/>
        <v>0</v>
      </c>
    </row>
    <row r="6726" spans="76:77" x14ac:dyDescent="0.2">
      <c r="BX6726" s="214" t="e">
        <f t="shared" si="224"/>
        <v>#DIV/0!</v>
      </c>
      <c r="BY6726" s="215">
        <f t="shared" si="225"/>
        <v>0</v>
      </c>
    </row>
    <row r="6727" spans="76:77" x14ac:dyDescent="0.2">
      <c r="BX6727" s="214" t="e">
        <f t="shared" si="224"/>
        <v>#DIV/0!</v>
      </c>
      <c r="BY6727" s="215">
        <f t="shared" si="225"/>
        <v>0</v>
      </c>
    </row>
    <row r="6728" spans="76:77" x14ac:dyDescent="0.2">
      <c r="BX6728" s="214" t="e">
        <f t="shared" si="224"/>
        <v>#DIV/0!</v>
      </c>
      <c r="BY6728" s="215">
        <f t="shared" si="225"/>
        <v>0</v>
      </c>
    </row>
    <row r="6729" spans="76:77" x14ac:dyDescent="0.2">
      <c r="BX6729" s="214" t="e">
        <f t="shared" si="224"/>
        <v>#DIV/0!</v>
      </c>
      <c r="BY6729" s="215">
        <f t="shared" si="225"/>
        <v>0</v>
      </c>
    </row>
    <row r="6730" spans="76:77" x14ac:dyDescent="0.2">
      <c r="BX6730" s="214" t="e">
        <f t="shared" si="224"/>
        <v>#DIV/0!</v>
      </c>
      <c r="BY6730" s="215">
        <f t="shared" si="225"/>
        <v>0</v>
      </c>
    </row>
    <row r="6731" spans="76:77" x14ac:dyDescent="0.2">
      <c r="BX6731" s="214" t="e">
        <f t="shared" si="224"/>
        <v>#DIV/0!</v>
      </c>
      <c r="BY6731" s="215">
        <f t="shared" si="225"/>
        <v>0</v>
      </c>
    </row>
    <row r="6732" spans="76:77" x14ac:dyDescent="0.2">
      <c r="BX6732" s="214" t="e">
        <f t="shared" si="224"/>
        <v>#DIV/0!</v>
      </c>
      <c r="BY6732" s="215">
        <f t="shared" si="225"/>
        <v>0</v>
      </c>
    </row>
    <row r="6733" spans="76:77" x14ac:dyDescent="0.2">
      <c r="BX6733" s="214" t="e">
        <f t="shared" ref="BX6733:BX6796" si="226">BY6733/BV6733</f>
        <v>#DIV/0!</v>
      </c>
      <c r="BY6733" s="215">
        <f t="shared" si="225"/>
        <v>0</v>
      </c>
    </row>
    <row r="6734" spans="76:77" x14ac:dyDescent="0.2">
      <c r="BX6734" s="214" t="e">
        <f t="shared" si="226"/>
        <v>#DIV/0!</v>
      </c>
      <c r="BY6734" s="215">
        <f t="shared" ref="BY6734:BY6797" si="227">BY6733+BW6734*(BV6734-BV6733)</f>
        <v>0</v>
      </c>
    </row>
    <row r="6735" spans="76:77" x14ac:dyDescent="0.2">
      <c r="BX6735" s="214" t="e">
        <f t="shared" si="226"/>
        <v>#DIV/0!</v>
      </c>
      <c r="BY6735" s="215">
        <f t="shared" si="227"/>
        <v>0</v>
      </c>
    </row>
    <row r="6736" spans="76:77" x14ac:dyDescent="0.2">
      <c r="BX6736" s="214" t="e">
        <f t="shared" si="226"/>
        <v>#DIV/0!</v>
      </c>
      <c r="BY6736" s="215">
        <f t="shared" si="227"/>
        <v>0</v>
      </c>
    </row>
    <row r="6737" spans="76:77" x14ac:dyDescent="0.2">
      <c r="BX6737" s="214" t="e">
        <f t="shared" si="226"/>
        <v>#DIV/0!</v>
      </c>
      <c r="BY6737" s="215">
        <f t="shared" si="227"/>
        <v>0</v>
      </c>
    </row>
    <row r="6738" spans="76:77" x14ac:dyDescent="0.2">
      <c r="BX6738" s="214" t="e">
        <f t="shared" si="226"/>
        <v>#DIV/0!</v>
      </c>
      <c r="BY6738" s="215">
        <f t="shared" si="227"/>
        <v>0</v>
      </c>
    </row>
    <row r="6739" spans="76:77" x14ac:dyDescent="0.2">
      <c r="BX6739" s="214" t="e">
        <f t="shared" si="226"/>
        <v>#DIV/0!</v>
      </c>
      <c r="BY6739" s="215">
        <f t="shared" si="227"/>
        <v>0</v>
      </c>
    </row>
    <row r="6740" spans="76:77" x14ac:dyDescent="0.2">
      <c r="BX6740" s="214" t="e">
        <f t="shared" si="226"/>
        <v>#DIV/0!</v>
      </c>
      <c r="BY6740" s="215">
        <f t="shared" si="227"/>
        <v>0</v>
      </c>
    </row>
    <row r="6741" spans="76:77" x14ac:dyDescent="0.2">
      <c r="BX6741" s="214" t="e">
        <f t="shared" si="226"/>
        <v>#DIV/0!</v>
      </c>
      <c r="BY6741" s="215">
        <f t="shared" si="227"/>
        <v>0</v>
      </c>
    </row>
    <row r="6742" spans="76:77" x14ac:dyDescent="0.2">
      <c r="BX6742" s="214" t="e">
        <f t="shared" si="226"/>
        <v>#DIV/0!</v>
      </c>
      <c r="BY6742" s="215">
        <f t="shared" si="227"/>
        <v>0</v>
      </c>
    </row>
    <row r="6743" spans="76:77" x14ac:dyDescent="0.2">
      <c r="BX6743" s="214" t="e">
        <f t="shared" si="226"/>
        <v>#DIV/0!</v>
      </c>
      <c r="BY6743" s="215">
        <f t="shared" si="227"/>
        <v>0</v>
      </c>
    </row>
    <row r="6744" spans="76:77" x14ac:dyDescent="0.2">
      <c r="BX6744" s="214" t="e">
        <f t="shared" si="226"/>
        <v>#DIV/0!</v>
      </c>
      <c r="BY6744" s="215">
        <f t="shared" si="227"/>
        <v>0</v>
      </c>
    </row>
    <row r="6745" spans="76:77" x14ac:dyDescent="0.2">
      <c r="BX6745" s="214" t="e">
        <f t="shared" si="226"/>
        <v>#DIV/0!</v>
      </c>
      <c r="BY6745" s="215">
        <f t="shared" si="227"/>
        <v>0</v>
      </c>
    </row>
    <row r="6746" spans="76:77" x14ac:dyDescent="0.2">
      <c r="BX6746" s="214" t="e">
        <f t="shared" si="226"/>
        <v>#DIV/0!</v>
      </c>
      <c r="BY6746" s="215">
        <f t="shared" si="227"/>
        <v>0</v>
      </c>
    </row>
    <row r="6747" spans="76:77" x14ac:dyDescent="0.2">
      <c r="BX6747" s="214" t="e">
        <f t="shared" si="226"/>
        <v>#DIV/0!</v>
      </c>
      <c r="BY6747" s="215">
        <f t="shared" si="227"/>
        <v>0</v>
      </c>
    </row>
    <row r="6748" spans="76:77" x14ac:dyDescent="0.2">
      <c r="BX6748" s="214" t="e">
        <f t="shared" si="226"/>
        <v>#DIV/0!</v>
      </c>
      <c r="BY6748" s="215">
        <f t="shared" si="227"/>
        <v>0</v>
      </c>
    </row>
    <row r="6749" spans="76:77" x14ac:dyDescent="0.2">
      <c r="BX6749" s="214" t="e">
        <f t="shared" si="226"/>
        <v>#DIV/0!</v>
      </c>
      <c r="BY6749" s="215">
        <f t="shared" si="227"/>
        <v>0</v>
      </c>
    </row>
    <row r="6750" spans="76:77" x14ac:dyDescent="0.2">
      <c r="BX6750" s="214" t="e">
        <f t="shared" si="226"/>
        <v>#DIV/0!</v>
      </c>
      <c r="BY6750" s="215">
        <f t="shared" si="227"/>
        <v>0</v>
      </c>
    </row>
    <row r="6751" spans="76:77" x14ac:dyDescent="0.2">
      <c r="BX6751" s="214" t="e">
        <f t="shared" si="226"/>
        <v>#DIV/0!</v>
      </c>
      <c r="BY6751" s="215">
        <f t="shared" si="227"/>
        <v>0</v>
      </c>
    </row>
    <row r="6752" spans="76:77" x14ac:dyDescent="0.2">
      <c r="BX6752" s="214" t="e">
        <f t="shared" si="226"/>
        <v>#DIV/0!</v>
      </c>
      <c r="BY6752" s="215">
        <f t="shared" si="227"/>
        <v>0</v>
      </c>
    </row>
    <row r="6753" spans="76:77" x14ac:dyDescent="0.2">
      <c r="BX6753" s="214" t="e">
        <f t="shared" si="226"/>
        <v>#DIV/0!</v>
      </c>
      <c r="BY6753" s="215">
        <f t="shared" si="227"/>
        <v>0</v>
      </c>
    </row>
    <row r="6754" spans="76:77" x14ac:dyDescent="0.2">
      <c r="BX6754" s="214" t="e">
        <f t="shared" si="226"/>
        <v>#DIV/0!</v>
      </c>
      <c r="BY6754" s="215">
        <f t="shared" si="227"/>
        <v>0</v>
      </c>
    </row>
    <row r="6755" spans="76:77" x14ac:dyDescent="0.2">
      <c r="BX6755" s="214" t="e">
        <f t="shared" si="226"/>
        <v>#DIV/0!</v>
      </c>
      <c r="BY6755" s="215">
        <f t="shared" si="227"/>
        <v>0</v>
      </c>
    </row>
    <row r="6756" spans="76:77" x14ac:dyDescent="0.2">
      <c r="BX6756" s="214" t="e">
        <f t="shared" si="226"/>
        <v>#DIV/0!</v>
      </c>
      <c r="BY6756" s="215">
        <f t="shared" si="227"/>
        <v>0</v>
      </c>
    </row>
    <row r="6757" spans="76:77" x14ac:dyDescent="0.2">
      <c r="BX6757" s="214" t="e">
        <f t="shared" si="226"/>
        <v>#DIV/0!</v>
      </c>
      <c r="BY6757" s="215">
        <f t="shared" si="227"/>
        <v>0</v>
      </c>
    </row>
    <row r="6758" spans="76:77" x14ac:dyDescent="0.2">
      <c r="BX6758" s="214" t="e">
        <f t="shared" si="226"/>
        <v>#DIV/0!</v>
      </c>
      <c r="BY6758" s="215">
        <f t="shared" si="227"/>
        <v>0</v>
      </c>
    </row>
    <row r="6759" spans="76:77" x14ac:dyDescent="0.2">
      <c r="BX6759" s="214" t="e">
        <f t="shared" si="226"/>
        <v>#DIV/0!</v>
      </c>
      <c r="BY6759" s="215">
        <f t="shared" si="227"/>
        <v>0</v>
      </c>
    </row>
    <row r="6760" spans="76:77" x14ac:dyDescent="0.2">
      <c r="BX6760" s="214" t="e">
        <f t="shared" si="226"/>
        <v>#DIV/0!</v>
      </c>
      <c r="BY6760" s="215">
        <f t="shared" si="227"/>
        <v>0</v>
      </c>
    </row>
    <row r="6761" spans="76:77" x14ac:dyDescent="0.2">
      <c r="BX6761" s="214" t="e">
        <f t="shared" si="226"/>
        <v>#DIV/0!</v>
      </c>
      <c r="BY6761" s="215">
        <f t="shared" si="227"/>
        <v>0</v>
      </c>
    </row>
    <row r="6762" spans="76:77" x14ac:dyDescent="0.2">
      <c r="BX6762" s="214" t="e">
        <f t="shared" si="226"/>
        <v>#DIV/0!</v>
      </c>
      <c r="BY6762" s="215">
        <f t="shared" si="227"/>
        <v>0</v>
      </c>
    </row>
    <row r="6763" spans="76:77" x14ac:dyDescent="0.2">
      <c r="BX6763" s="214" t="e">
        <f t="shared" si="226"/>
        <v>#DIV/0!</v>
      </c>
      <c r="BY6763" s="215">
        <f t="shared" si="227"/>
        <v>0</v>
      </c>
    </row>
    <row r="6764" spans="76:77" x14ac:dyDescent="0.2">
      <c r="BX6764" s="214" t="e">
        <f t="shared" si="226"/>
        <v>#DIV/0!</v>
      </c>
      <c r="BY6764" s="215">
        <f t="shared" si="227"/>
        <v>0</v>
      </c>
    </row>
    <row r="6765" spans="76:77" x14ac:dyDescent="0.2">
      <c r="BX6765" s="214" t="e">
        <f t="shared" si="226"/>
        <v>#DIV/0!</v>
      </c>
      <c r="BY6765" s="215">
        <f t="shared" si="227"/>
        <v>0</v>
      </c>
    </row>
    <row r="6766" spans="76:77" x14ac:dyDescent="0.2">
      <c r="BX6766" s="214" t="e">
        <f t="shared" si="226"/>
        <v>#DIV/0!</v>
      </c>
      <c r="BY6766" s="215">
        <f t="shared" si="227"/>
        <v>0</v>
      </c>
    </row>
    <row r="6767" spans="76:77" x14ac:dyDescent="0.2">
      <c r="BX6767" s="214" t="e">
        <f t="shared" si="226"/>
        <v>#DIV/0!</v>
      </c>
      <c r="BY6767" s="215">
        <f t="shared" si="227"/>
        <v>0</v>
      </c>
    </row>
    <row r="6768" spans="76:77" x14ac:dyDescent="0.2">
      <c r="BX6768" s="214" t="e">
        <f t="shared" si="226"/>
        <v>#DIV/0!</v>
      </c>
      <c r="BY6768" s="215">
        <f t="shared" si="227"/>
        <v>0</v>
      </c>
    </row>
    <row r="6769" spans="76:77" x14ac:dyDescent="0.2">
      <c r="BX6769" s="214" t="e">
        <f t="shared" si="226"/>
        <v>#DIV/0!</v>
      </c>
      <c r="BY6769" s="215">
        <f t="shared" si="227"/>
        <v>0</v>
      </c>
    </row>
    <row r="6770" spans="76:77" x14ac:dyDescent="0.2">
      <c r="BX6770" s="214" t="e">
        <f t="shared" si="226"/>
        <v>#DIV/0!</v>
      </c>
      <c r="BY6770" s="215">
        <f t="shared" si="227"/>
        <v>0</v>
      </c>
    </row>
    <row r="6771" spans="76:77" x14ac:dyDescent="0.2">
      <c r="BX6771" s="214" t="e">
        <f t="shared" si="226"/>
        <v>#DIV/0!</v>
      </c>
      <c r="BY6771" s="215">
        <f t="shared" si="227"/>
        <v>0</v>
      </c>
    </row>
    <row r="6772" spans="76:77" x14ac:dyDescent="0.2">
      <c r="BX6772" s="214" t="e">
        <f t="shared" si="226"/>
        <v>#DIV/0!</v>
      </c>
      <c r="BY6772" s="215">
        <f t="shared" si="227"/>
        <v>0</v>
      </c>
    </row>
    <row r="6773" spans="76:77" x14ac:dyDescent="0.2">
      <c r="BX6773" s="214" t="e">
        <f t="shared" si="226"/>
        <v>#DIV/0!</v>
      </c>
      <c r="BY6773" s="215">
        <f t="shared" si="227"/>
        <v>0</v>
      </c>
    </row>
    <row r="6774" spans="76:77" x14ac:dyDescent="0.2">
      <c r="BX6774" s="214" t="e">
        <f t="shared" si="226"/>
        <v>#DIV/0!</v>
      </c>
      <c r="BY6774" s="215">
        <f t="shared" si="227"/>
        <v>0</v>
      </c>
    </row>
    <row r="6775" spans="76:77" x14ac:dyDescent="0.2">
      <c r="BX6775" s="214" t="e">
        <f t="shared" si="226"/>
        <v>#DIV/0!</v>
      </c>
      <c r="BY6775" s="215">
        <f t="shared" si="227"/>
        <v>0</v>
      </c>
    </row>
    <row r="6776" spans="76:77" x14ac:dyDescent="0.2">
      <c r="BX6776" s="214" t="e">
        <f t="shared" si="226"/>
        <v>#DIV/0!</v>
      </c>
      <c r="BY6776" s="215">
        <f t="shared" si="227"/>
        <v>0</v>
      </c>
    </row>
    <row r="6777" spans="76:77" x14ac:dyDescent="0.2">
      <c r="BX6777" s="214" t="e">
        <f t="shared" si="226"/>
        <v>#DIV/0!</v>
      </c>
      <c r="BY6777" s="215">
        <f t="shared" si="227"/>
        <v>0</v>
      </c>
    </row>
    <row r="6778" spans="76:77" x14ac:dyDescent="0.2">
      <c r="BX6778" s="214" t="e">
        <f t="shared" si="226"/>
        <v>#DIV/0!</v>
      </c>
      <c r="BY6778" s="215">
        <f t="shared" si="227"/>
        <v>0</v>
      </c>
    </row>
    <row r="6779" spans="76:77" x14ac:dyDescent="0.2">
      <c r="BX6779" s="214" t="e">
        <f t="shared" si="226"/>
        <v>#DIV/0!</v>
      </c>
      <c r="BY6779" s="215">
        <f t="shared" si="227"/>
        <v>0</v>
      </c>
    </row>
    <row r="6780" spans="76:77" x14ac:dyDescent="0.2">
      <c r="BX6780" s="214" t="e">
        <f t="shared" si="226"/>
        <v>#DIV/0!</v>
      </c>
      <c r="BY6780" s="215">
        <f t="shared" si="227"/>
        <v>0</v>
      </c>
    </row>
    <row r="6781" spans="76:77" x14ac:dyDescent="0.2">
      <c r="BX6781" s="214" t="e">
        <f t="shared" si="226"/>
        <v>#DIV/0!</v>
      </c>
      <c r="BY6781" s="215">
        <f t="shared" si="227"/>
        <v>0</v>
      </c>
    </row>
    <row r="6782" spans="76:77" x14ac:dyDescent="0.2">
      <c r="BX6782" s="214" t="e">
        <f t="shared" si="226"/>
        <v>#DIV/0!</v>
      </c>
      <c r="BY6782" s="215">
        <f t="shared" si="227"/>
        <v>0</v>
      </c>
    </row>
    <row r="6783" spans="76:77" x14ac:dyDescent="0.2">
      <c r="BX6783" s="214" t="e">
        <f t="shared" si="226"/>
        <v>#DIV/0!</v>
      </c>
      <c r="BY6783" s="215">
        <f t="shared" si="227"/>
        <v>0</v>
      </c>
    </row>
    <row r="6784" spans="76:77" x14ac:dyDescent="0.2">
      <c r="BX6784" s="214" t="e">
        <f t="shared" si="226"/>
        <v>#DIV/0!</v>
      </c>
      <c r="BY6784" s="215">
        <f t="shared" si="227"/>
        <v>0</v>
      </c>
    </row>
    <row r="6785" spans="76:77" x14ac:dyDescent="0.2">
      <c r="BX6785" s="214" t="e">
        <f t="shared" si="226"/>
        <v>#DIV/0!</v>
      </c>
      <c r="BY6785" s="215">
        <f t="shared" si="227"/>
        <v>0</v>
      </c>
    </row>
    <row r="6786" spans="76:77" x14ac:dyDescent="0.2">
      <c r="BX6786" s="214" t="e">
        <f t="shared" si="226"/>
        <v>#DIV/0!</v>
      </c>
      <c r="BY6786" s="215">
        <f t="shared" si="227"/>
        <v>0</v>
      </c>
    </row>
    <row r="6787" spans="76:77" x14ac:dyDescent="0.2">
      <c r="BX6787" s="214" t="e">
        <f t="shared" si="226"/>
        <v>#DIV/0!</v>
      </c>
      <c r="BY6787" s="215">
        <f t="shared" si="227"/>
        <v>0</v>
      </c>
    </row>
    <row r="6788" spans="76:77" x14ac:dyDescent="0.2">
      <c r="BX6788" s="214" t="e">
        <f t="shared" si="226"/>
        <v>#DIV/0!</v>
      </c>
      <c r="BY6788" s="215">
        <f t="shared" si="227"/>
        <v>0</v>
      </c>
    </row>
    <row r="6789" spans="76:77" x14ac:dyDescent="0.2">
      <c r="BX6789" s="214" t="e">
        <f t="shared" si="226"/>
        <v>#DIV/0!</v>
      </c>
      <c r="BY6789" s="215">
        <f t="shared" si="227"/>
        <v>0</v>
      </c>
    </row>
    <row r="6790" spans="76:77" x14ac:dyDescent="0.2">
      <c r="BX6790" s="214" t="e">
        <f t="shared" si="226"/>
        <v>#DIV/0!</v>
      </c>
      <c r="BY6790" s="215">
        <f t="shared" si="227"/>
        <v>0</v>
      </c>
    </row>
    <row r="6791" spans="76:77" x14ac:dyDescent="0.2">
      <c r="BX6791" s="214" t="e">
        <f t="shared" si="226"/>
        <v>#DIV/0!</v>
      </c>
      <c r="BY6791" s="215">
        <f t="shared" si="227"/>
        <v>0</v>
      </c>
    </row>
    <row r="6792" spans="76:77" x14ac:dyDescent="0.2">
      <c r="BX6792" s="214" t="e">
        <f t="shared" si="226"/>
        <v>#DIV/0!</v>
      </c>
      <c r="BY6792" s="215">
        <f t="shared" si="227"/>
        <v>0</v>
      </c>
    </row>
    <row r="6793" spans="76:77" x14ac:dyDescent="0.2">
      <c r="BX6793" s="214" t="e">
        <f t="shared" si="226"/>
        <v>#DIV/0!</v>
      </c>
      <c r="BY6793" s="215">
        <f t="shared" si="227"/>
        <v>0</v>
      </c>
    </row>
    <row r="6794" spans="76:77" x14ac:dyDescent="0.2">
      <c r="BX6794" s="214" t="e">
        <f t="shared" si="226"/>
        <v>#DIV/0!</v>
      </c>
      <c r="BY6794" s="215">
        <f t="shared" si="227"/>
        <v>0</v>
      </c>
    </row>
    <row r="6795" spans="76:77" x14ac:dyDescent="0.2">
      <c r="BX6795" s="214" t="e">
        <f t="shared" si="226"/>
        <v>#DIV/0!</v>
      </c>
      <c r="BY6795" s="215">
        <f t="shared" si="227"/>
        <v>0</v>
      </c>
    </row>
    <row r="6796" spans="76:77" x14ac:dyDescent="0.2">
      <c r="BX6796" s="214" t="e">
        <f t="shared" si="226"/>
        <v>#DIV/0!</v>
      </c>
      <c r="BY6796" s="215">
        <f t="shared" si="227"/>
        <v>0</v>
      </c>
    </row>
    <row r="6797" spans="76:77" x14ac:dyDescent="0.2">
      <c r="BX6797" s="214" t="e">
        <f t="shared" ref="BX6797:BX6860" si="228">BY6797/BV6797</f>
        <v>#DIV/0!</v>
      </c>
      <c r="BY6797" s="215">
        <f t="shared" si="227"/>
        <v>0</v>
      </c>
    </row>
    <row r="6798" spans="76:77" x14ac:dyDescent="0.2">
      <c r="BX6798" s="214" t="e">
        <f t="shared" si="228"/>
        <v>#DIV/0!</v>
      </c>
      <c r="BY6798" s="215">
        <f t="shared" ref="BY6798:BY6861" si="229">BY6797+BW6798*(BV6798-BV6797)</f>
        <v>0</v>
      </c>
    </row>
    <row r="6799" spans="76:77" x14ac:dyDescent="0.2">
      <c r="BX6799" s="214" t="e">
        <f t="shared" si="228"/>
        <v>#DIV/0!</v>
      </c>
      <c r="BY6799" s="215">
        <f t="shared" si="229"/>
        <v>0</v>
      </c>
    </row>
    <row r="6800" spans="76:77" x14ac:dyDescent="0.2">
      <c r="BX6800" s="214" t="e">
        <f t="shared" si="228"/>
        <v>#DIV/0!</v>
      </c>
      <c r="BY6800" s="215">
        <f t="shared" si="229"/>
        <v>0</v>
      </c>
    </row>
    <row r="6801" spans="76:77" x14ac:dyDescent="0.2">
      <c r="BX6801" s="214" t="e">
        <f t="shared" si="228"/>
        <v>#DIV/0!</v>
      </c>
      <c r="BY6801" s="215">
        <f t="shared" si="229"/>
        <v>0</v>
      </c>
    </row>
    <row r="6802" spans="76:77" x14ac:dyDescent="0.2">
      <c r="BX6802" s="214" t="e">
        <f t="shared" si="228"/>
        <v>#DIV/0!</v>
      </c>
      <c r="BY6802" s="215">
        <f t="shared" si="229"/>
        <v>0</v>
      </c>
    </row>
    <row r="6803" spans="76:77" x14ac:dyDescent="0.2">
      <c r="BX6803" s="214" t="e">
        <f t="shared" si="228"/>
        <v>#DIV/0!</v>
      </c>
      <c r="BY6803" s="215">
        <f t="shared" si="229"/>
        <v>0</v>
      </c>
    </row>
    <row r="6804" spans="76:77" x14ac:dyDescent="0.2">
      <c r="BX6804" s="214" t="e">
        <f t="shared" si="228"/>
        <v>#DIV/0!</v>
      </c>
      <c r="BY6804" s="215">
        <f t="shared" si="229"/>
        <v>0</v>
      </c>
    </row>
    <row r="6805" spans="76:77" x14ac:dyDescent="0.2">
      <c r="BX6805" s="214" t="e">
        <f t="shared" si="228"/>
        <v>#DIV/0!</v>
      </c>
      <c r="BY6805" s="215">
        <f t="shared" si="229"/>
        <v>0</v>
      </c>
    </row>
    <row r="6806" spans="76:77" x14ac:dyDescent="0.2">
      <c r="BX6806" s="214" t="e">
        <f t="shared" si="228"/>
        <v>#DIV/0!</v>
      </c>
      <c r="BY6806" s="215">
        <f t="shared" si="229"/>
        <v>0</v>
      </c>
    </row>
    <row r="6807" spans="76:77" x14ac:dyDescent="0.2">
      <c r="BX6807" s="214" t="e">
        <f t="shared" si="228"/>
        <v>#DIV/0!</v>
      </c>
      <c r="BY6807" s="215">
        <f t="shared" si="229"/>
        <v>0</v>
      </c>
    </row>
    <row r="6808" spans="76:77" x14ac:dyDescent="0.2">
      <c r="BX6808" s="214" t="e">
        <f t="shared" si="228"/>
        <v>#DIV/0!</v>
      </c>
      <c r="BY6808" s="215">
        <f t="shared" si="229"/>
        <v>0</v>
      </c>
    </row>
    <row r="6809" spans="76:77" x14ac:dyDescent="0.2">
      <c r="BX6809" s="214" t="e">
        <f t="shared" si="228"/>
        <v>#DIV/0!</v>
      </c>
      <c r="BY6809" s="215">
        <f t="shared" si="229"/>
        <v>0</v>
      </c>
    </row>
    <row r="6810" spans="76:77" x14ac:dyDescent="0.2">
      <c r="BX6810" s="214" t="e">
        <f t="shared" si="228"/>
        <v>#DIV/0!</v>
      </c>
      <c r="BY6810" s="215">
        <f t="shared" si="229"/>
        <v>0</v>
      </c>
    </row>
    <row r="6811" spans="76:77" x14ac:dyDescent="0.2">
      <c r="BX6811" s="214" t="e">
        <f t="shared" si="228"/>
        <v>#DIV/0!</v>
      </c>
      <c r="BY6811" s="215">
        <f t="shared" si="229"/>
        <v>0</v>
      </c>
    </row>
    <row r="6812" spans="76:77" x14ac:dyDescent="0.2">
      <c r="BX6812" s="214" t="e">
        <f t="shared" si="228"/>
        <v>#DIV/0!</v>
      </c>
      <c r="BY6812" s="215">
        <f t="shared" si="229"/>
        <v>0</v>
      </c>
    </row>
    <row r="6813" spans="76:77" x14ac:dyDescent="0.2">
      <c r="BX6813" s="214" t="e">
        <f t="shared" si="228"/>
        <v>#DIV/0!</v>
      </c>
      <c r="BY6813" s="215">
        <f t="shared" si="229"/>
        <v>0</v>
      </c>
    </row>
    <row r="6814" spans="76:77" x14ac:dyDescent="0.2">
      <c r="BX6814" s="214" t="e">
        <f t="shared" si="228"/>
        <v>#DIV/0!</v>
      </c>
      <c r="BY6814" s="215">
        <f t="shared" si="229"/>
        <v>0</v>
      </c>
    </row>
    <row r="6815" spans="76:77" x14ac:dyDescent="0.2">
      <c r="BX6815" s="214" t="e">
        <f t="shared" si="228"/>
        <v>#DIV/0!</v>
      </c>
      <c r="BY6815" s="215">
        <f t="shared" si="229"/>
        <v>0</v>
      </c>
    </row>
    <row r="6816" spans="76:77" x14ac:dyDescent="0.2">
      <c r="BX6816" s="214" t="e">
        <f t="shared" si="228"/>
        <v>#DIV/0!</v>
      </c>
      <c r="BY6816" s="215">
        <f t="shared" si="229"/>
        <v>0</v>
      </c>
    </row>
    <row r="6817" spans="76:77" x14ac:dyDescent="0.2">
      <c r="BX6817" s="214" t="e">
        <f t="shared" si="228"/>
        <v>#DIV/0!</v>
      </c>
      <c r="BY6817" s="215">
        <f t="shared" si="229"/>
        <v>0</v>
      </c>
    </row>
    <row r="6818" spans="76:77" x14ac:dyDescent="0.2">
      <c r="BX6818" s="214" t="e">
        <f t="shared" si="228"/>
        <v>#DIV/0!</v>
      </c>
      <c r="BY6818" s="215">
        <f t="shared" si="229"/>
        <v>0</v>
      </c>
    </row>
    <row r="6819" spans="76:77" x14ac:dyDescent="0.2">
      <c r="BX6819" s="214" t="e">
        <f t="shared" si="228"/>
        <v>#DIV/0!</v>
      </c>
      <c r="BY6819" s="215">
        <f t="shared" si="229"/>
        <v>0</v>
      </c>
    </row>
    <row r="6820" spans="76:77" x14ac:dyDescent="0.2">
      <c r="BX6820" s="214" t="e">
        <f t="shared" si="228"/>
        <v>#DIV/0!</v>
      </c>
      <c r="BY6820" s="215">
        <f t="shared" si="229"/>
        <v>0</v>
      </c>
    </row>
    <row r="6821" spans="76:77" x14ac:dyDescent="0.2">
      <c r="BX6821" s="214" t="e">
        <f t="shared" si="228"/>
        <v>#DIV/0!</v>
      </c>
      <c r="BY6821" s="215">
        <f t="shared" si="229"/>
        <v>0</v>
      </c>
    </row>
    <row r="6822" spans="76:77" x14ac:dyDescent="0.2">
      <c r="BX6822" s="214" t="e">
        <f t="shared" si="228"/>
        <v>#DIV/0!</v>
      </c>
      <c r="BY6822" s="215">
        <f t="shared" si="229"/>
        <v>0</v>
      </c>
    </row>
    <row r="6823" spans="76:77" x14ac:dyDescent="0.2">
      <c r="BX6823" s="214" t="e">
        <f t="shared" si="228"/>
        <v>#DIV/0!</v>
      </c>
      <c r="BY6823" s="215">
        <f t="shared" si="229"/>
        <v>0</v>
      </c>
    </row>
    <row r="6824" spans="76:77" x14ac:dyDescent="0.2">
      <c r="BX6824" s="214" t="e">
        <f t="shared" si="228"/>
        <v>#DIV/0!</v>
      </c>
      <c r="BY6824" s="215">
        <f t="shared" si="229"/>
        <v>0</v>
      </c>
    </row>
    <row r="6825" spans="76:77" x14ac:dyDescent="0.2">
      <c r="BX6825" s="214" t="e">
        <f t="shared" si="228"/>
        <v>#DIV/0!</v>
      </c>
      <c r="BY6825" s="215">
        <f t="shared" si="229"/>
        <v>0</v>
      </c>
    </row>
    <row r="6826" spans="76:77" x14ac:dyDescent="0.2">
      <c r="BX6826" s="214" t="e">
        <f t="shared" si="228"/>
        <v>#DIV/0!</v>
      </c>
      <c r="BY6826" s="215">
        <f t="shared" si="229"/>
        <v>0</v>
      </c>
    </row>
    <row r="6827" spans="76:77" x14ac:dyDescent="0.2">
      <c r="BX6827" s="214" t="e">
        <f t="shared" si="228"/>
        <v>#DIV/0!</v>
      </c>
      <c r="BY6827" s="215">
        <f t="shared" si="229"/>
        <v>0</v>
      </c>
    </row>
    <row r="6828" spans="76:77" x14ac:dyDescent="0.2">
      <c r="BX6828" s="214" t="e">
        <f t="shared" si="228"/>
        <v>#DIV/0!</v>
      </c>
      <c r="BY6828" s="215">
        <f t="shared" si="229"/>
        <v>0</v>
      </c>
    </row>
    <row r="6829" spans="76:77" x14ac:dyDescent="0.2">
      <c r="BX6829" s="214" t="e">
        <f t="shared" si="228"/>
        <v>#DIV/0!</v>
      </c>
      <c r="BY6829" s="215">
        <f t="shared" si="229"/>
        <v>0</v>
      </c>
    </row>
    <row r="6830" spans="76:77" x14ac:dyDescent="0.2">
      <c r="BX6830" s="214" t="e">
        <f t="shared" si="228"/>
        <v>#DIV/0!</v>
      </c>
      <c r="BY6830" s="215">
        <f t="shared" si="229"/>
        <v>0</v>
      </c>
    </row>
    <row r="6831" spans="76:77" x14ac:dyDescent="0.2">
      <c r="BX6831" s="214" t="e">
        <f t="shared" si="228"/>
        <v>#DIV/0!</v>
      </c>
      <c r="BY6831" s="215">
        <f t="shared" si="229"/>
        <v>0</v>
      </c>
    </row>
    <row r="6832" spans="76:77" x14ac:dyDescent="0.2">
      <c r="BX6832" s="214" t="e">
        <f t="shared" si="228"/>
        <v>#DIV/0!</v>
      </c>
      <c r="BY6832" s="215">
        <f t="shared" si="229"/>
        <v>0</v>
      </c>
    </row>
    <row r="6833" spans="76:77" x14ac:dyDescent="0.2">
      <c r="BX6833" s="214" t="e">
        <f t="shared" si="228"/>
        <v>#DIV/0!</v>
      </c>
      <c r="BY6833" s="215">
        <f t="shared" si="229"/>
        <v>0</v>
      </c>
    </row>
    <row r="6834" spans="76:77" x14ac:dyDescent="0.2">
      <c r="BX6834" s="214" t="e">
        <f t="shared" si="228"/>
        <v>#DIV/0!</v>
      </c>
      <c r="BY6834" s="215">
        <f t="shared" si="229"/>
        <v>0</v>
      </c>
    </row>
    <row r="6835" spans="76:77" x14ac:dyDescent="0.2">
      <c r="BX6835" s="214" t="e">
        <f t="shared" si="228"/>
        <v>#DIV/0!</v>
      </c>
      <c r="BY6835" s="215">
        <f t="shared" si="229"/>
        <v>0</v>
      </c>
    </row>
    <row r="6836" spans="76:77" x14ac:dyDescent="0.2">
      <c r="BX6836" s="214" t="e">
        <f t="shared" si="228"/>
        <v>#DIV/0!</v>
      </c>
      <c r="BY6836" s="215">
        <f t="shared" si="229"/>
        <v>0</v>
      </c>
    </row>
    <row r="6837" spans="76:77" x14ac:dyDescent="0.2">
      <c r="BX6837" s="214" t="e">
        <f t="shared" si="228"/>
        <v>#DIV/0!</v>
      </c>
      <c r="BY6837" s="215">
        <f t="shared" si="229"/>
        <v>0</v>
      </c>
    </row>
    <row r="6838" spans="76:77" x14ac:dyDescent="0.2">
      <c r="BX6838" s="214" t="e">
        <f t="shared" si="228"/>
        <v>#DIV/0!</v>
      </c>
      <c r="BY6838" s="215">
        <f t="shared" si="229"/>
        <v>0</v>
      </c>
    </row>
    <row r="6839" spans="76:77" x14ac:dyDescent="0.2">
      <c r="BX6839" s="214" t="e">
        <f t="shared" si="228"/>
        <v>#DIV/0!</v>
      </c>
      <c r="BY6839" s="215">
        <f t="shared" si="229"/>
        <v>0</v>
      </c>
    </row>
    <row r="6840" spans="76:77" x14ac:dyDescent="0.2">
      <c r="BX6840" s="214" t="e">
        <f t="shared" si="228"/>
        <v>#DIV/0!</v>
      </c>
      <c r="BY6840" s="215">
        <f t="shared" si="229"/>
        <v>0</v>
      </c>
    </row>
    <row r="6841" spans="76:77" x14ac:dyDescent="0.2">
      <c r="BX6841" s="214" t="e">
        <f t="shared" si="228"/>
        <v>#DIV/0!</v>
      </c>
      <c r="BY6841" s="215">
        <f t="shared" si="229"/>
        <v>0</v>
      </c>
    </row>
    <row r="6842" spans="76:77" x14ac:dyDescent="0.2">
      <c r="BX6842" s="214" t="e">
        <f t="shared" si="228"/>
        <v>#DIV/0!</v>
      </c>
      <c r="BY6842" s="215">
        <f t="shared" si="229"/>
        <v>0</v>
      </c>
    </row>
    <row r="6843" spans="76:77" x14ac:dyDescent="0.2">
      <c r="BX6843" s="214" t="e">
        <f t="shared" si="228"/>
        <v>#DIV/0!</v>
      </c>
      <c r="BY6843" s="215">
        <f t="shared" si="229"/>
        <v>0</v>
      </c>
    </row>
    <row r="6844" spans="76:77" x14ac:dyDescent="0.2">
      <c r="BX6844" s="214" t="e">
        <f t="shared" si="228"/>
        <v>#DIV/0!</v>
      </c>
      <c r="BY6844" s="215">
        <f t="shared" si="229"/>
        <v>0</v>
      </c>
    </row>
    <row r="6845" spans="76:77" x14ac:dyDescent="0.2">
      <c r="BX6845" s="214" t="e">
        <f t="shared" si="228"/>
        <v>#DIV/0!</v>
      </c>
      <c r="BY6845" s="215">
        <f t="shared" si="229"/>
        <v>0</v>
      </c>
    </row>
    <row r="6846" spans="76:77" x14ac:dyDescent="0.2">
      <c r="BX6846" s="214" t="e">
        <f t="shared" si="228"/>
        <v>#DIV/0!</v>
      </c>
      <c r="BY6846" s="215">
        <f t="shared" si="229"/>
        <v>0</v>
      </c>
    </row>
    <row r="6847" spans="76:77" x14ac:dyDescent="0.2">
      <c r="BX6847" s="214" t="e">
        <f t="shared" si="228"/>
        <v>#DIV/0!</v>
      </c>
      <c r="BY6847" s="215">
        <f t="shared" si="229"/>
        <v>0</v>
      </c>
    </row>
    <row r="6848" spans="76:77" x14ac:dyDescent="0.2">
      <c r="BX6848" s="214" t="e">
        <f t="shared" si="228"/>
        <v>#DIV/0!</v>
      </c>
      <c r="BY6848" s="215">
        <f t="shared" si="229"/>
        <v>0</v>
      </c>
    </row>
    <row r="6849" spans="76:77" x14ac:dyDescent="0.2">
      <c r="BX6849" s="214" t="e">
        <f t="shared" si="228"/>
        <v>#DIV/0!</v>
      </c>
      <c r="BY6849" s="215">
        <f t="shared" si="229"/>
        <v>0</v>
      </c>
    </row>
    <row r="6850" spans="76:77" x14ac:dyDescent="0.2">
      <c r="BX6850" s="214" t="e">
        <f t="shared" si="228"/>
        <v>#DIV/0!</v>
      </c>
      <c r="BY6850" s="215">
        <f t="shared" si="229"/>
        <v>0</v>
      </c>
    </row>
    <row r="6851" spans="76:77" x14ac:dyDescent="0.2">
      <c r="BX6851" s="214" t="e">
        <f t="shared" si="228"/>
        <v>#DIV/0!</v>
      </c>
      <c r="BY6851" s="215">
        <f t="shared" si="229"/>
        <v>0</v>
      </c>
    </row>
    <row r="6852" spans="76:77" x14ac:dyDescent="0.2">
      <c r="BX6852" s="214" t="e">
        <f t="shared" si="228"/>
        <v>#DIV/0!</v>
      </c>
      <c r="BY6852" s="215">
        <f t="shared" si="229"/>
        <v>0</v>
      </c>
    </row>
    <row r="6853" spans="76:77" x14ac:dyDescent="0.2">
      <c r="BX6853" s="214" t="e">
        <f t="shared" si="228"/>
        <v>#DIV/0!</v>
      </c>
      <c r="BY6853" s="215">
        <f t="shared" si="229"/>
        <v>0</v>
      </c>
    </row>
    <row r="6854" spans="76:77" x14ac:dyDescent="0.2">
      <c r="BX6854" s="214" t="e">
        <f t="shared" si="228"/>
        <v>#DIV/0!</v>
      </c>
      <c r="BY6854" s="215">
        <f t="shared" si="229"/>
        <v>0</v>
      </c>
    </row>
    <row r="6855" spans="76:77" x14ac:dyDescent="0.2">
      <c r="BX6855" s="214" t="e">
        <f t="shared" si="228"/>
        <v>#DIV/0!</v>
      </c>
      <c r="BY6855" s="215">
        <f t="shared" si="229"/>
        <v>0</v>
      </c>
    </row>
    <row r="6856" spans="76:77" x14ac:dyDescent="0.2">
      <c r="BX6856" s="214" t="e">
        <f t="shared" si="228"/>
        <v>#DIV/0!</v>
      </c>
      <c r="BY6856" s="215">
        <f t="shared" si="229"/>
        <v>0</v>
      </c>
    </row>
    <row r="6857" spans="76:77" x14ac:dyDescent="0.2">
      <c r="BX6857" s="214" t="e">
        <f t="shared" si="228"/>
        <v>#DIV/0!</v>
      </c>
      <c r="BY6857" s="215">
        <f t="shared" si="229"/>
        <v>0</v>
      </c>
    </row>
    <row r="6858" spans="76:77" x14ac:dyDescent="0.2">
      <c r="BX6858" s="214" t="e">
        <f t="shared" si="228"/>
        <v>#DIV/0!</v>
      </c>
      <c r="BY6858" s="215">
        <f t="shared" si="229"/>
        <v>0</v>
      </c>
    </row>
    <row r="6859" spans="76:77" x14ac:dyDescent="0.2">
      <c r="BX6859" s="214" t="e">
        <f t="shared" si="228"/>
        <v>#DIV/0!</v>
      </c>
      <c r="BY6859" s="215">
        <f t="shared" si="229"/>
        <v>0</v>
      </c>
    </row>
    <row r="6860" spans="76:77" x14ac:dyDescent="0.2">
      <c r="BX6860" s="214" t="e">
        <f t="shared" si="228"/>
        <v>#DIV/0!</v>
      </c>
      <c r="BY6860" s="215">
        <f t="shared" si="229"/>
        <v>0</v>
      </c>
    </row>
    <row r="6861" spans="76:77" x14ac:dyDescent="0.2">
      <c r="BX6861" s="214" t="e">
        <f t="shared" ref="BX6861:BX6924" si="230">BY6861/BV6861</f>
        <v>#DIV/0!</v>
      </c>
      <c r="BY6861" s="215">
        <f t="shared" si="229"/>
        <v>0</v>
      </c>
    </row>
    <row r="6862" spans="76:77" x14ac:dyDescent="0.2">
      <c r="BX6862" s="214" t="e">
        <f t="shared" si="230"/>
        <v>#DIV/0!</v>
      </c>
      <c r="BY6862" s="215">
        <f t="shared" ref="BY6862:BY6925" si="231">BY6861+BW6862*(BV6862-BV6861)</f>
        <v>0</v>
      </c>
    </row>
    <row r="6863" spans="76:77" x14ac:dyDescent="0.2">
      <c r="BX6863" s="214" t="e">
        <f t="shared" si="230"/>
        <v>#DIV/0!</v>
      </c>
      <c r="BY6863" s="215">
        <f t="shared" si="231"/>
        <v>0</v>
      </c>
    </row>
    <row r="6864" spans="76:77" x14ac:dyDescent="0.2">
      <c r="BX6864" s="214" t="e">
        <f t="shared" si="230"/>
        <v>#DIV/0!</v>
      </c>
      <c r="BY6864" s="215">
        <f t="shared" si="231"/>
        <v>0</v>
      </c>
    </row>
    <row r="6865" spans="76:77" x14ac:dyDescent="0.2">
      <c r="BX6865" s="214" t="e">
        <f t="shared" si="230"/>
        <v>#DIV/0!</v>
      </c>
      <c r="BY6865" s="215">
        <f t="shared" si="231"/>
        <v>0</v>
      </c>
    </row>
    <row r="6866" spans="76:77" x14ac:dyDescent="0.2">
      <c r="BX6866" s="214" t="e">
        <f t="shared" si="230"/>
        <v>#DIV/0!</v>
      </c>
      <c r="BY6866" s="215">
        <f t="shared" si="231"/>
        <v>0</v>
      </c>
    </row>
    <row r="6867" spans="76:77" x14ac:dyDescent="0.2">
      <c r="BX6867" s="214" t="e">
        <f t="shared" si="230"/>
        <v>#DIV/0!</v>
      </c>
      <c r="BY6867" s="215">
        <f t="shared" si="231"/>
        <v>0</v>
      </c>
    </row>
    <row r="6868" spans="76:77" x14ac:dyDescent="0.2">
      <c r="BX6868" s="214" t="e">
        <f t="shared" si="230"/>
        <v>#DIV/0!</v>
      </c>
      <c r="BY6868" s="215">
        <f t="shared" si="231"/>
        <v>0</v>
      </c>
    </row>
    <row r="6869" spans="76:77" x14ac:dyDescent="0.2">
      <c r="BX6869" s="214" t="e">
        <f t="shared" si="230"/>
        <v>#DIV/0!</v>
      </c>
      <c r="BY6869" s="215">
        <f t="shared" si="231"/>
        <v>0</v>
      </c>
    </row>
    <row r="6870" spans="76:77" x14ac:dyDescent="0.2">
      <c r="BX6870" s="214" t="e">
        <f t="shared" si="230"/>
        <v>#DIV/0!</v>
      </c>
      <c r="BY6870" s="215">
        <f t="shared" si="231"/>
        <v>0</v>
      </c>
    </row>
    <row r="6871" spans="76:77" x14ac:dyDescent="0.2">
      <c r="BX6871" s="214" t="e">
        <f t="shared" si="230"/>
        <v>#DIV/0!</v>
      </c>
      <c r="BY6871" s="215">
        <f t="shared" si="231"/>
        <v>0</v>
      </c>
    </row>
    <row r="6872" spans="76:77" x14ac:dyDescent="0.2">
      <c r="BX6872" s="214" t="e">
        <f t="shared" si="230"/>
        <v>#DIV/0!</v>
      </c>
      <c r="BY6872" s="215">
        <f t="shared" si="231"/>
        <v>0</v>
      </c>
    </row>
    <row r="6873" spans="76:77" x14ac:dyDescent="0.2">
      <c r="BX6873" s="214" t="e">
        <f t="shared" si="230"/>
        <v>#DIV/0!</v>
      </c>
      <c r="BY6873" s="215">
        <f t="shared" si="231"/>
        <v>0</v>
      </c>
    </row>
    <row r="6874" spans="76:77" x14ac:dyDescent="0.2">
      <c r="BX6874" s="214" t="e">
        <f t="shared" si="230"/>
        <v>#DIV/0!</v>
      </c>
      <c r="BY6874" s="215">
        <f t="shared" si="231"/>
        <v>0</v>
      </c>
    </row>
    <row r="6875" spans="76:77" x14ac:dyDescent="0.2">
      <c r="BX6875" s="214" t="e">
        <f t="shared" si="230"/>
        <v>#DIV/0!</v>
      </c>
      <c r="BY6875" s="215">
        <f t="shared" si="231"/>
        <v>0</v>
      </c>
    </row>
    <row r="6876" spans="76:77" x14ac:dyDescent="0.2">
      <c r="BX6876" s="214" t="e">
        <f t="shared" si="230"/>
        <v>#DIV/0!</v>
      </c>
      <c r="BY6876" s="215">
        <f t="shared" si="231"/>
        <v>0</v>
      </c>
    </row>
    <row r="6877" spans="76:77" x14ac:dyDescent="0.2">
      <c r="BX6877" s="214" t="e">
        <f t="shared" si="230"/>
        <v>#DIV/0!</v>
      </c>
      <c r="BY6877" s="215">
        <f t="shared" si="231"/>
        <v>0</v>
      </c>
    </row>
    <row r="6878" spans="76:77" x14ac:dyDescent="0.2">
      <c r="BX6878" s="214" t="e">
        <f t="shared" si="230"/>
        <v>#DIV/0!</v>
      </c>
      <c r="BY6878" s="215">
        <f t="shared" si="231"/>
        <v>0</v>
      </c>
    </row>
    <row r="6879" spans="76:77" x14ac:dyDescent="0.2">
      <c r="BX6879" s="214" t="e">
        <f t="shared" si="230"/>
        <v>#DIV/0!</v>
      </c>
      <c r="BY6879" s="215">
        <f t="shared" si="231"/>
        <v>0</v>
      </c>
    </row>
    <row r="6880" spans="76:77" x14ac:dyDescent="0.2">
      <c r="BX6880" s="214" t="e">
        <f t="shared" si="230"/>
        <v>#DIV/0!</v>
      </c>
      <c r="BY6880" s="215">
        <f t="shared" si="231"/>
        <v>0</v>
      </c>
    </row>
    <row r="6881" spans="76:77" x14ac:dyDescent="0.2">
      <c r="BX6881" s="214" t="e">
        <f t="shared" si="230"/>
        <v>#DIV/0!</v>
      </c>
      <c r="BY6881" s="215">
        <f t="shared" si="231"/>
        <v>0</v>
      </c>
    </row>
    <row r="6882" spans="76:77" x14ac:dyDescent="0.2">
      <c r="BX6882" s="214" t="e">
        <f t="shared" si="230"/>
        <v>#DIV/0!</v>
      </c>
      <c r="BY6882" s="215">
        <f t="shared" si="231"/>
        <v>0</v>
      </c>
    </row>
    <row r="6883" spans="76:77" x14ac:dyDescent="0.2">
      <c r="BX6883" s="214" t="e">
        <f t="shared" si="230"/>
        <v>#DIV/0!</v>
      </c>
      <c r="BY6883" s="215">
        <f t="shared" si="231"/>
        <v>0</v>
      </c>
    </row>
    <row r="6884" spans="76:77" x14ac:dyDescent="0.2">
      <c r="BX6884" s="214" t="e">
        <f t="shared" si="230"/>
        <v>#DIV/0!</v>
      </c>
      <c r="BY6884" s="215">
        <f t="shared" si="231"/>
        <v>0</v>
      </c>
    </row>
    <row r="6885" spans="76:77" x14ac:dyDescent="0.2">
      <c r="BX6885" s="214" t="e">
        <f t="shared" si="230"/>
        <v>#DIV/0!</v>
      </c>
      <c r="BY6885" s="215">
        <f t="shared" si="231"/>
        <v>0</v>
      </c>
    </row>
    <row r="6886" spans="76:77" x14ac:dyDescent="0.2">
      <c r="BX6886" s="214" t="e">
        <f t="shared" si="230"/>
        <v>#DIV/0!</v>
      </c>
      <c r="BY6886" s="215">
        <f t="shared" si="231"/>
        <v>0</v>
      </c>
    </row>
    <row r="6887" spans="76:77" x14ac:dyDescent="0.2">
      <c r="BX6887" s="214" t="e">
        <f t="shared" si="230"/>
        <v>#DIV/0!</v>
      </c>
      <c r="BY6887" s="215">
        <f t="shared" si="231"/>
        <v>0</v>
      </c>
    </row>
    <row r="6888" spans="76:77" x14ac:dyDescent="0.2">
      <c r="BX6888" s="214" t="e">
        <f t="shared" si="230"/>
        <v>#DIV/0!</v>
      </c>
      <c r="BY6888" s="215">
        <f t="shared" si="231"/>
        <v>0</v>
      </c>
    </row>
    <row r="6889" spans="76:77" x14ac:dyDescent="0.2">
      <c r="BX6889" s="214" t="e">
        <f t="shared" si="230"/>
        <v>#DIV/0!</v>
      </c>
      <c r="BY6889" s="215">
        <f t="shared" si="231"/>
        <v>0</v>
      </c>
    </row>
    <row r="6890" spans="76:77" x14ac:dyDescent="0.2">
      <c r="BX6890" s="214" t="e">
        <f t="shared" si="230"/>
        <v>#DIV/0!</v>
      </c>
      <c r="BY6890" s="215">
        <f t="shared" si="231"/>
        <v>0</v>
      </c>
    </row>
    <row r="6891" spans="76:77" x14ac:dyDescent="0.2">
      <c r="BX6891" s="214" t="e">
        <f t="shared" si="230"/>
        <v>#DIV/0!</v>
      </c>
      <c r="BY6891" s="215">
        <f t="shared" si="231"/>
        <v>0</v>
      </c>
    </row>
    <row r="6892" spans="76:77" x14ac:dyDescent="0.2">
      <c r="BX6892" s="214" t="e">
        <f t="shared" si="230"/>
        <v>#DIV/0!</v>
      </c>
      <c r="BY6892" s="215">
        <f t="shared" si="231"/>
        <v>0</v>
      </c>
    </row>
    <row r="6893" spans="76:77" x14ac:dyDescent="0.2">
      <c r="BX6893" s="214" t="e">
        <f t="shared" si="230"/>
        <v>#DIV/0!</v>
      </c>
      <c r="BY6893" s="215">
        <f t="shared" si="231"/>
        <v>0</v>
      </c>
    </row>
    <row r="6894" spans="76:77" x14ac:dyDescent="0.2">
      <c r="BX6894" s="214" t="e">
        <f t="shared" si="230"/>
        <v>#DIV/0!</v>
      </c>
      <c r="BY6894" s="215">
        <f t="shared" si="231"/>
        <v>0</v>
      </c>
    </row>
    <row r="6895" spans="76:77" x14ac:dyDescent="0.2">
      <c r="BX6895" s="214" t="e">
        <f t="shared" si="230"/>
        <v>#DIV/0!</v>
      </c>
      <c r="BY6895" s="215">
        <f t="shared" si="231"/>
        <v>0</v>
      </c>
    </row>
    <row r="6896" spans="76:77" x14ac:dyDescent="0.2">
      <c r="BX6896" s="214" t="e">
        <f t="shared" si="230"/>
        <v>#DIV/0!</v>
      </c>
      <c r="BY6896" s="215">
        <f t="shared" si="231"/>
        <v>0</v>
      </c>
    </row>
    <row r="6897" spans="76:77" x14ac:dyDescent="0.2">
      <c r="BX6897" s="214" t="e">
        <f t="shared" si="230"/>
        <v>#DIV/0!</v>
      </c>
      <c r="BY6897" s="215">
        <f t="shared" si="231"/>
        <v>0</v>
      </c>
    </row>
    <row r="6898" spans="76:77" x14ac:dyDescent="0.2">
      <c r="BX6898" s="214" t="e">
        <f t="shared" si="230"/>
        <v>#DIV/0!</v>
      </c>
      <c r="BY6898" s="215">
        <f t="shared" si="231"/>
        <v>0</v>
      </c>
    </row>
    <row r="6899" spans="76:77" x14ac:dyDescent="0.2">
      <c r="BX6899" s="214" t="e">
        <f t="shared" si="230"/>
        <v>#DIV/0!</v>
      </c>
      <c r="BY6899" s="215">
        <f t="shared" si="231"/>
        <v>0</v>
      </c>
    </row>
    <row r="6900" spans="76:77" x14ac:dyDescent="0.2">
      <c r="BX6900" s="214" t="e">
        <f t="shared" si="230"/>
        <v>#DIV/0!</v>
      </c>
      <c r="BY6900" s="215">
        <f t="shared" si="231"/>
        <v>0</v>
      </c>
    </row>
    <row r="6901" spans="76:77" x14ac:dyDescent="0.2">
      <c r="BX6901" s="214" t="e">
        <f t="shared" si="230"/>
        <v>#DIV/0!</v>
      </c>
      <c r="BY6901" s="215">
        <f t="shared" si="231"/>
        <v>0</v>
      </c>
    </row>
    <row r="6902" spans="76:77" x14ac:dyDescent="0.2">
      <c r="BX6902" s="214" t="e">
        <f t="shared" si="230"/>
        <v>#DIV/0!</v>
      </c>
      <c r="BY6902" s="215">
        <f t="shared" si="231"/>
        <v>0</v>
      </c>
    </row>
    <row r="6903" spans="76:77" x14ac:dyDescent="0.2">
      <c r="BX6903" s="214" t="e">
        <f t="shared" si="230"/>
        <v>#DIV/0!</v>
      </c>
      <c r="BY6903" s="215">
        <f t="shared" si="231"/>
        <v>0</v>
      </c>
    </row>
    <row r="6904" spans="76:77" x14ac:dyDescent="0.2">
      <c r="BX6904" s="214" t="e">
        <f t="shared" si="230"/>
        <v>#DIV/0!</v>
      </c>
      <c r="BY6904" s="215">
        <f t="shared" si="231"/>
        <v>0</v>
      </c>
    </row>
    <row r="6905" spans="76:77" x14ac:dyDescent="0.2">
      <c r="BX6905" s="214" t="e">
        <f t="shared" si="230"/>
        <v>#DIV/0!</v>
      </c>
      <c r="BY6905" s="215">
        <f t="shared" si="231"/>
        <v>0</v>
      </c>
    </row>
    <row r="6906" spans="76:77" x14ac:dyDescent="0.2">
      <c r="BX6906" s="214" t="e">
        <f t="shared" si="230"/>
        <v>#DIV/0!</v>
      </c>
      <c r="BY6906" s="215">
        <f t="shared" si="231"/>
        <v>0</v>
      </c>
    </row>
    <row r="6907" spans="76:77" x14ac:dyDescent="0.2">
      <c r="BX6907" s="214" t="e">
        <f t="shared" si="230"/>
        <v>#DIV/0!</v>
      </c>
      <c r="BY6907" s="215">
        <f t="shared" si="231"/>
        <v>0</v>
      </c>
    </row>
    <row r="6908" spans="76:77" x14ac:dyDescent="0.2">
      <c r="BX6908" s="214" t="e">
        <f t="shared" si="230"/>
        <v>#DIV/0!</v>
      </c>
      <c r="BY6908" s="215">
        <f t="shared" si="231"/>
        <v>0</v>
      </c>
    </row>
    <row r="6909" spans="76:77" x14ac:dyDescent="0.2">
      <c r="BX6909" s="214" t="e">
        <f t="shared" si="230"/>
        <v>#DIV/0!</v>
      </c>
      <c r="BY6909" s="215">
        <f t="shared" si="231"/>
        <v>0</v>
      </c>
    </row>
    <row r="6910" spans="76:77" x14ac:dyDescent="0.2">
      <c r="BX6910" s="214" t="e">
        <f t="shared" si="230"/>
        <v>#DIV/0!</v>
      </c>
      <c r="BY6910" s="215">
        <f t="shared" si="231"/>
        <v>0</v>
      </c>
    </row>
    <row r="6911" spans="76:77" x14ac:dyDescent="0.2">
      <c r="BX6911" s="214" t="e">
        <f t="shared" si="230"/>
        <v>#DIV/0!</v>
      </c>
      <c r="BY6911" s="215">
        <f t="shared" si="231"/>
        <v>0</v>
      </c>
    </row>
    <row r="6912" spans="76:77" x14ac:dyDescent="0.2">
      <c r="BX6912" s="214" t="e">
        <f t="shared" si="230"/>
        <v>#DIV/0!</v>
      </c>
      <c r="BY6912" s="215">
        <f t="shared" si="231"/>
        <v>0</v>
      </c>
    </row>
    <row r="6913" spans="76:77" x14ac:dyDescent="0.2">
      <c r="BX6913" s="214" t="e">
        <f t="shared" si="230"/>
        <v>#DIV/0!</v>
      </c>
      <c r="BY6913" s="215">
        <f t="shared" si="231"/>
        <v>0</v>
      </c>
    </row>
    <row r="6914" spans="76:77" x14ac:dyDescent="0.2">
      <c r="BX6914" s="214" t="e">
        <f t="shared" si="230"/>
        <v>#DIV/0!</v>
      </c>
      <c r="BY6914" s="215">
        <f t="shared" si="231"/>
        <v>0</v>
      </c>
    </row>
    <row r="6915" spans="76:77" x14ac:dyDescent="0.2">
      <c r="BX6915" s="214" t="e">
        <f t="shared" si="230"/>
        <v>#DIV/0!</v>
      </c>
      <c r="BY6915" s="215">
        <f t="shared" si="231"/>
        <v>0</v>
      </c>
    </row>
    <row r="6916" spans="76:77" x14ac:dyDescent="0.2">
      <c r="BX6916" s="214" t="e">
        <f t="shared" si="230"/>
        <v>#DIV/0!</v>
      </c>
      <c r="BY6916" s="215">
        <f t="shared" si="231"/>
        <v>0</v>
      </c>
    </row>
    <row r="6917" spans="76:77" x14ac:dyDescent="0.2">
      <c r="BX6917" s="214" t="e">
        <f t="shared" si="230"/>
        <v>#DIV/0!</v>
      </c>
      <c r="BY6917" s="215">
        <f t="shared" si="231"/>
        <v>0</v>
      </c>
    </row>
    <row r="6918" spans="76:77" x14ac:dyDescent="0.2">
      <c r="BX6918" s="214" t="e">
        <f t="shared" si="230"/>
        <v>#DIV/0!</v>
      </c>
      <c r="BY6918" s="215">
        <f t="shared" si="231"/>
        <v>0</v>
      </c>
    </row>
    <row r="6919" spans="76:77" x14ac:dyDescent="0.2">
      <c r="BX6919" s="214" t="e">
        <f t="shared" si="230"/>
        <v>#DIV/0!</v>
      </c>
      <c r="BY6919" s="215">
        <f t="shared" si="231"/>
        <v>0</v>
      </c>
    </row>
    <row r="6920" spans="76:77" x14ac:dyDescent="0.2">
      <c r="BX6920" s="214" t="e">
        <f t="shared" si="230"/>
        <v>#DIV/0!</v>
      </c>
      <c r="BY6920" s="215">
        <f t="shared" si="231"/>
        <v>0</v>
      </c>
    </row>
    <row r="6921" spans="76:77" x14ac:dyDescent="0.2">
      <c r="BX6921" s="214" t="e">
        <f t="shared" si="230"/>
        <v>#DIV/0!</v>
      </c>
      <c r="BY6921" s="215">
        <f t="shared" si="231"/>
        <v>0</v>
      </c>
    </row>
    <row r="6922" spans="76:77" x14ac:dyDescent="0.2">
      <c r="BX6922" s="214" t="e">
        <f t="shared" si="230"/>
        <v>#DIV/0!</v>
      </c>
      <c r="BY6922" s="215">
        <f t="shared" si="231"/>
        <v>0</v>
      </c>
    </row>
    <row r="6923" spans="76:77" x14ac:dyDescent="0.2">
      <c r="BX6923" s="214" t="e">
        <f t="shared" si="230"/>
        <v>#DIV/0!</v>
      </c>
      <c r="BY6923" s="215">
        <f t="shared" si="231"/>
        <v>0</v>
      </c>
    </row>
    <row r="6924" spans="76:77" x14ac:dyDescent="0.2">
      <c r="BX6924" s="214" t="e">
        <f t="shared" si="230"/>
        <v>#DIV/0!</v>
      </c>
      <c r="BY6924" s="215">
        <f t="shared" si="231"/>
        <v>0</v>
      </c>
    </row>
    <row r="6925" spans="76:77" x14ac:dyDescent="0.2">
      <c r="BX6925" s="214" t="e">
        <f t="shared" ref="BX6925:BX6988" si="232">BY6925/BV6925</f>
        <v>#DIV/0!</v>
      </c>
      <c r="BY6925" s="215">
        <f t="shared" si="231"/>
        <v>0</v>
      </c>
    </row>
    <row r="6926" spans="76:77" x14ac:dyDescent="0.2">
      <c r="BX6926" s="214" t="e">
        <f t="shared" si="232"/>
        <v>#DIV/0!</v>
      </c>
      <c r="BY6926" s="215">
        <f t="shared" ref="BY6926:BY6989" si="233">BY6925+BW6926*(BV6926-BV6925)</f>
        <v>0</v>
      </c>
    </row>
    <row r="6927" spans="76:77" x14ac:dyDescent="0.2">
      <c r="BX6927" s="214" t="e">
        <f t="shared" si="232"/>
        <v>#DIV/0!</v>
      </c>
      <c r="BY6927" s="215">
        <f t="shared" si="233"/>
        <v>0</v>
      </c>
    </row>
    <row r="6928" spans="76:77" x14ac:dyDescent="0.2">
      <c r="BX6928" s="214" t="e">
        <f t="shared" si="232"/>
        <v>#DIV/0!</v>
      </c>
      <c r="BY6928" s="215">
        <f t="shared" si="233"/>
        <v>0</v>
      </c>
    </row>
    <row r="6929" spans="76:77" x14ac:dyDescent="0.2">
      <c r="BX6929" s="214" t="e">
        <f t="shared" si="232"/>
        <v>#DIV/0!</v>
      </c>
      <c r="BY6929" s="215">
        <f t="shared" si="233"/>
        <v>0</v>
      </c>
    </row>
    <row r="6930" spans="76:77" x14ac:dyDescent="0.2">
      <c r="BX6930" s="214" t="e">
        <f t="shared" si="232"/>
        <v>#DIV/0!</v>
      </c>
      <c r="BY6930" s="215">
        <f t="shared" si="233"/>
        <v>0</v>
      </c>
    </row>
    <row r="6931" spans="76:77" x14ac:dyDescent="0.2">
      <c r="BX6931" s="214" t="e">
        <f t="shared" si="232"/>
        <v>#DIV/0!</v>
      </c>
      <c r="BY6931" s="215">
        <f t="shared" si="233"/>
        <v>0</v>
      </c>
    </row>
    <row r="6932" spans="76:77" x14ac:dyDescent="0.2">
      <c r="BX6932" s="214" t="e">
        <f t="shared" si="232"/>
        <v>#DIV/0!</v>
      </c>
      <c r="BY6932" s="215">
        <f t="shared" si="233"/>
        <v>0</v>
      </c>
    </row>
    <row r="6933" spans="76:77" x14ac:dyDescent="0.2">
      <c r="BX6933" s="214" t="e">
        <f t="shared" si="232"/>
        <v>#DIV/0!</v>
      </c>
      <c r="BY6933" s="215">
        <f t="shared" si="233"/>
        <v>0</v>
      </c>
    </row>
    <row r="6934" spans="76:77" x14ac:dyDescent="0.2">
      <c r="BX6934" s="214" t="e">
        <f t="shared" si="232"/>
        <v>#DIV/0!</v>
      </c>
      <c r="BY6934" s="215">
        <f t="shared" si="233"/>
        <v>0</v>
      </c>
    </row>
    <row r="6935" spans="76:77" x14ac:dyDescent="0.2">
      <c r="BX6935" s="214" t="e">
        <f t="shared" si="232"/>
        <v>#DIV/0!</v>
      </c>
      <c r="BY6935" s="215">
        <f t="shared" si="233"/>
        <v>0</v>
      </c>
    </row>
    <row r="6936" spans="76:77" x14ac:dyDescent="0.2">
      <c r="BX6936" s="214" t="e">
        <f t="shared" si="232"/>
        <v>#DIV/0!</v>
      </c>
      <c r="BY6936" s="215">
        <f t="shared" si="233"/>
        <v>0</v>
      </c>
    </row>
    <row r="6937" spans="76:77" x14ac:dyDescent="0.2">
      <c r="BX6937" s="214" t="e">
        <f t="shared" si="232"/>
        <v>#DIV/0!</v>
      </c>
      <c r="BY6937" s="215">
        <f t="shared" si="233"/>
        <v>0</v>
      </c>
    </row>
    <row r="6938" spans="76:77" x14ac:dyDescent="0.2">
      <c r="BX6938" s="214" t="e">
        <f t="shared" si="232"/>
        <v>#DIV/0!</v>
      </c>
      <c r="BY6938" s="215">
        <f t="shared" si="233"/>
        <v>0</v>
      </c>
    </row>
    <row r="6939" spans="76:77" x14ac:dyDescent="0.2">
      <c r="BX6939" s="214" t="e">
        <f t="shared" si="232"/>
        <v>#DIV/0!</v>
      </c>
      <c r="BY6939" s="215">
        <f t="shared" si="233"/>
        <v>0</v>
      </c>
    </row>
    <row r="6940" spans="76:77" x14ac:dyDescent="0.2">
      <c r="BX6940" s="214" t="e">
        <f t="shared" si="232"/>
        <v>#DIV/0!</v>
      </c>
      <c r="BY6940" s="215">
        <f t="shared" si="233"/>
        <v>0</v>
      </c>
    </row>
    <row r="6941" spans="76:77" x14ac:dyDescent="0.2">
      <c r="BX6941" s="214" t="e">
        <f t="shared" si="232"/>
        <v>#DIV/0!</v>
      </c>
      <c r="BY6941" s="215">
        <f t="shared" si="233"/>
        <v>0</v>
      </c>
    </row>
    <row r="6942" spans="76:77" x14ac:dyDescent="0.2">
      <c r="BX6942" s="214" t="e">
        <f t="shared" si="232"/>
        <v>#DIV/0!</v>
      </c>
      <c r="BY6942" s="215">
        <f t="shared" si="233"/>
        <v>0</v>
      </c>
    </row>
    <row r="6943" spans="76:77" x14ac:dyDescent="0.2">
      <c r="BX6943" s="214" t="e">
        <f t="shared" si="232"/>
        <v>#DIV/0!</v>
      </c>
      <c r="BY6943" s="215">
        <f t="shared" si="233"/>
        <v>0</v>
      </c>
    </row>
    <row r="6944" spans="76:77" x14ac:dyDescent="0.2">
      <c r="BX6944" s="214" t="e">
        <f t="shared" si="232"/>
        <v>#DIV/0!</v>
      </c>
      <c r="BY6944" s="215">
        <f t="shared" si="233"/>
        <v>0</v>
      </c>
    </row>
    <row r="6945" spans="76:77" x14ac:dyDescent="0.2">
      <c r="BX6945" s="214" t="e">
        <f t="shared" si="232"/>
        <v>#DIV/0!</v>
      </c>
      <c r="BY6945" s="215">
        <f t="shared" si="233"/>
        <v>0</v>
      </c>
    </row>
    <row r="6946" spans="76:77" x14ac:dyDescent="0.2">
      <c r="BX6946" s="214" t="e">
        <f t="shared" si="232"/>
        <v>#DIV/0!</v>
      </c>
      <c r="BY6946" s="215">
        <f t="shared" si="233"/>
        <v>0</v>
      </c>
    </row>
    <row r="6947" spans="76:77" x14ac:dyDescent="0.2">
      <c r="BX6947" s="214" t="e">
        <f t="shared" si="232"/>
        <v>#DIV/0!</v>
      </c>
      <c r="BY6947" s="215">
        <f t="shared" si="233"/>
        <v>0</v>
      </c>
    </row>
    <row r="6948" spans="76:77" x14ac:dyDescent="0.2">
      <c r="BX6948" s="214" t="e">
        <f t="shared" si="232"/>
        <v>#DIV/0!</v>
      </c>
      <c r="BY6948" s="215">
        <f t="shared" si="233"/>
        <v>0</v>
      </c>
    </row>
    <row r="6949" spans="76:77" x14ac:dyDescent="0.2">
      <c r="BX6949" s="214" t="e">
        <f t="shared" si="232"/>
        <v>#DIV/0!</v>
      </c>
      <c r="BY6949" s="215">
        <f t="shared" si="233"/>
        <v>0</v>
      </c>
    </row>
    <row r="6950" spans="76:77" x14ac:dyDescent="0.2">
      <c r="BX6950" s="214" t="e">
        <f t="shared" si="232"/>
        <v>#DIV/0!</v>
      </c>
      <c r="BY6950" s="215">
        <f t="shared" si="233"/>
        <v>0</v>
      </c>
    </row>
    <row r="6951" spans="76:77" x14ac:dyDescent="0.2">
      <c r="BX6951" s="214" t="e">
        <f t="shared" si="232"/>
        <v>#DIV/0!</v>
      </c>
      <c r="BY6951" s="215">
        <f t="shared" si="233"/>
        <v>0</v>
      </c>
    </row>
    <row r="6952" spans="76:77" x14ac:dyDescent="0.2">
      <c r="BX6952" s="214" t="e">
        <f t="shared" si="232"/>
        <v>#DIV/0!</v>
      </c>
      <c r="BY6952" s="215">
        <f t="shared" si="233"/>
        <v>0</v>
      </c>
    </row>
    <row r="6953" spans="76:77" x14ac:dyDescent="0.2">
      <c r="BX6953" s="214" t="e">
        <f t="shared" si="232"/>
        <v>#DIV/0!</v>
      </c>
      <c r="BY6953" s="215">
        <f t="shared" si="233"/>
        <v>0</v>
      </c>
    </row>
    <row r="6954" spans="76:77" x14ac:dyDescent="0.2">
      <c r="BX6954" s="214" t="e">
        <f t="shared" si="232"/>
        <v>#DIV/0!</v>
      </c>
      <c r="BY6954" s="215">
        <f t="shared" si="233"/>
        <v>0</v>
      </c>
    </row>
    <row r="6955" spans="76:77" x14ac:dyDescent="0.2">
      <c r="BX6955" s="214" t="e">
        <f t="shared" si="232"/>
        <v>#DIV/0!</v>
      </c>
      <c r="BY6955" s="215">
        <f t="shared" si="233"/>
        <v>0</v>
      </c>
    </row>
    <row r="6956" spans="76:77" x14ac:dyDescent="0.2">
      <c r="BX6956" s="214" t="e">
        <f t="shared" si="232"/>
        <v>#DIV/0!</v>
      </c>
      <c r="BY6956" s="215">
        <f t="shared" si="233"/>
        <v>0</v>
      </c>
    </row>
    <row r="6957" spans="76:77" x14ac:dyDescent="0.2">
      <c r="BX6957" s="214" t="e">
        <f t="shared" si="232"/>
        <v>#DIV/0!</v>
      </c>
      <c r="BY6957" s="215">
        <f t="shared" si="233"/>
        <v>0</v>
      </c>
    </row>
    <row r="6958" spans="76:77" x14ac:dyDescent="0.2">
      <c r="BX6958" s="214" t="e">
        <f t="shared" si="232"/>
        <v>#DIV/0!</v>
      </c>
      <c r="BY6958" s="215">
        <f t="shared" si="233"/>
        <v>0</v>
      </c>
    </row>
    <row r="6959" spans="76:77" x14ac:dyDescent="0.2">
      <c r="BX6959" s="214" t="e">
        <f t="shared" si="232"/>
        <v>#DIV/0!</v>
      </c>
      <c r="BY6959" s="215">
        <f t="shared" si="233"/>
        <v>0</v>
      </c>
    </row>
    <row r="6960" spans="76:77" x14ac:dyDescent="0.2">
      <c r="BX6960" s="214" t="e">
        <f t="shared" si="232"/>
        <v>#DIV/0!</v>
      </c>
      <c r="BY6960" s="215">
        <f t="shared" si="233"/>
        <v>0</v>
      </c>
    </row>
    <row r="6961" spans="76:77" x14ac:dyDescent="0.2">
      <c r="BX6961" s="214" t="e">
        <f t="shared" si="232"/>
        <v>#DIV/0!</v>
      </c>
      <c r="BY6961" s="215">
        <f t="shared" si="233"/>
        <v>0</v>
      </c>
    </row>
    <row r="6962" spans="76:77" x14ac:dyDescent="0.2">
      <c r="BX6962" s="214" t="e">
        <f t="shared" si="232"/>
        <v>#DIV/0!</v>
      </c>
      <c r="BY6962" s="215">
        <f t="shared" si="233"/>
        <v>0</v>
      </c>
    </row>
    <row r="6963" spans="76:77" x14ac:dyDescent="0.2">
      <c r="BX6963" s="214" t="e">
        <f t="shared" si="232"/>
        <v>#DIV/0!</v>
      </c>
      <c r="BY6963" s="215">
        <f t="shared" si="233"/>
        <v>0</v>
      </c>
    </row>
    <row r="6964" spans="76:77" x14ac:dyDescent="0.2">
      <c r="BX6964" s="214" t="e">
        <f t="shared" si="232"/>
        <v>#DIV/0!</v>
      </c>
      <c r="BY6964" s="215">
        <f t="shared" si="233"/>
        <v>0</v>
      </c>
    </row>
    <row r="6965" spans="76:77" x14ac:dyDescent="0.2">
      <c r="BX6965" s="214" t="e">
        <f t="shared" si="232"/>
        <v>#DIV/0!</v>
      </c>
      <c r="BY6965" s="215">
        <f t="shared" si="233"/>
        <v>0</v>
      </c>
    </row>
    <row r="6966" spans="76:77" x14ac:dyDescent="0.2">
      <c r="BX6966" s="214" t="e">
        <f t="shared" si="232"/>
        <v>#DIV/0!</v>
      </c>
      <c r="BY6966" s="215">
        <f t="shared" si="233"/>
        <v>0</v>
      </c>
    </row>
    <row r="6967" spans="76:77" x14ac:dyDescent="0.2">
      <c r="BX6967" s="214" t="e">
        <f t="shared" si="232"/>
        <v>#DIV/0!</v>
      </c>
      <c r="BY6967" s="215">
        <f t="shared" si="233"/>
        <v>0</v>
      </c>
    </row>
    <row r="6968" spans="76:77" x14ac:dyDescent="0.2">
      <c r="BX6968" s="214" t="e">
        <f t="shared" si="232"/>
        <v>#DIV/0!</v>
      </c>
      <c r="BY6968" s="215">
        <f t="shared" si="233"/>
        <v>0</v>
      </c>
    </row>
    <row r="6969" spans="76:77" x14ac:dyDescent="0.2">
      <c r="BX6969" s="214" t="e">
        <f t="shared" si="232"/>
        <v>#DIV/0!</v>
      </c>
      <c r="BY6969" s="215">
        <f t="shared" si="233"/>
        <v>0</v>
      </c>
    </row>
    <row r="6970" spans="76:77" x14ac:dyDescent="0.2">
      <c r="BX6970" s="214" t="e">
        <f t="shared" si="232"/>
        <v>#DIV/0!</v>
      </c>
      <c r="BY6970" s="215">
        <f t="shared" si="233"/>
        <v>0</v>
      </c>
    </row>
    <row r="6971" spans="76:77" x14ac:dyDescent="0.2">
      <c r="BX6971" s="214" t="e">
        <f t="shared" si="232"/>
        <v>#DIV/0!</v>
      </c>
      <c r="BY6971" s="215">
        <f t="shared" si="233"/>
        <v>0</v>
      </c>
    </row>
    <row r="6972" spans="76:77" x14ac:dyDescent="0.2">
      <c r="BX6972" s="214" t="e">
        <f t="shared" si="232"/>
        <v>#DIV/0!</v>
      </c>
      <c r="BY6972" s="215">
        <f t="shared" si="233"/>
        <v>0</v>
      </c>
    </row>
    <row r="6973" spans="76:77" x14ac:dyDescent="0.2">
      <c r="BX6973" s="214" t="e">
        <f t="shared" si="232"/>
        <v>#DIV/0!</v>
      </c>
      <c r="BY6973" s="215">
        <f t="shared" si="233"/>
        <v>0</v>
      </c>
    </row>
    <row r="6974" spans="76:77" x14ac:dyDescent="0.2">
      <c r="BX6974" s="214" t="e">
        <f t="shared" si="232"/>
        <v>#DIV/0!</v>
      </c>
      <c r="BY6974" s="215">
        <f t="shared" si="233"/>
        <v>0</v>
      </c>
    </row>
    <row r="6975" spans="76:77" x14ac:dyDescent="0.2">
      <c r="BX6975" s="214" t="e">
        <f t="shared" si="232"/>
        <v>#DIV/0!</v>
      </c>
      <c r="BY6975" s="215">
        <f t="shared" si="233"/>
        <v>0</v>
      </c>
    </row>
    <row r="6976" spans="76:77" x14ac:dyDescent="0.2">
      <c r="BX6976" s="214" t="e">
        <f t="shared" si="232"/>
        <v>#DIV/0!</v>
      </c>
      <c r="BY6976" s="215">
        <f t="shared" si="233"/>
        <v>0</v>
      </c>
    </row>
    <row r="6977" spans="76:77" x14ac:dyDescent="0.2">
      <c r="BX6977" s="214" t="e">
        <f t="shared" si="232"/>
        <v>#DIV/0!</v>
      </c>
      <c r="BY6977" s="215">
        <f t="shared" si="233"/>
        <v>0</v>
      </c>
    </row>
    <row r="6978" spans="76:77" x14ac:dyDescent="0.2">
      <c r="BX6978" s="214" t="e">
        <f t="shared" si="232"/>
        <v>#DIV/0!</v>
      </c>
      <c r="BY6978" s="215">
        <f t="shared" si="233"/>
        <v>0</v>
      </c>
    </row>
    <row r="6979" spans="76:77" x14ac:dyDescent="0.2">
      <c r="BX6979" s="214" t="e">
        <f t="shared" si="232"/>
        <v>#DIV/0!</v>
      </c>
      <c r="BY6979" s="215">
        <f t="shared" si="233"/>
        <v>0</v>
      </c>
    </row>
    <row r="6980" spans="76:77" x14ac:dyDescent="0.2">
      <c r="BX6980" s="214" t="e">
        <f t="shared" si="232"/>
        <v>#DIV/0!</v>
      </c>
      <c r="BY6980" s="215">
        <f t="shared" si="233"/>
        <v>0</v>
      </c>
    </row>
    <row r="6981" spans="76:77" x14ac:dyDescent="0.2">
      <c r="BX6981" s="214" t="e">
        <f t="shared" si="232"/>
        <v>#DIV/0!</v>
      </c>
      <c r="BY6981" s="215">
        <f t="shared" si="233"/>
        <v>0</v>
      </c>
    </row>
    <row r="6982" spans="76:77" x14ac:dyDescent="0.2">
      <c r="BX6982" s="214" t="e">
        <f t="shared" si="232"/>
        <v>#DIV/0!</v>
      </c>
      <c r="BY6982" s="215">
        <f t="shared" si="233"/>
        <v>0</v>
      </c>
    </row>
    <row r="6983" spans="76:77" x14ac:dyDescent="0.2">
      <c r="BX6983" s="214" t="e">
        <f t="shared" si="232"/>
        <v>#DIV/0!</v>
      </c>
      <c r="BY6983" s="215">
        <f t="shared" si="233"/>
        <v>0</v>
      </c>
    </row>
    <row r="6984" spans="76:77" x14ac:dyDescent="0.2">
      <c r="BX6984" s="214" t="e">
        <f t="shared" si="232"/>
        <v>#DIV/0!</v>
      </c>
      <c r="BY6984" s="215">
        <f t="shared" si="233"/>
        <v>0</v>
      </c>
    </row>
    <row r="6985" spans="76:77" x14ac:dyDescent="0.2">
      <c r="BX6985" s="214" t="e">
        <f t="shared" si="232"/>
        <v>#DIV/0!</v>
      </c>
      <c r="BY6985" s="215">
        <f t="shared" si="233"/>
        <v>0</v>
      </c>
    </row>
    <row r="6986" spans="76:77" x14ac:dyDescent="0.2">
      <c r="BX6986" s="214" t="e">
        <f t="shared" si="232"/>
        <v>#DIV/0!</v>
      </c>
      <c r="BY6986" s="215">
        <f t="shared" si="233"/>
        <v>0</v>
      </c>
    </row>
    <row r="6987" spans="76:77" x14ac:dyDescent="0.2">
      <c r="BX6987" s="214" t="e">
        <f t="shared" si="232"/>
        <v>#DIV/0!</v>
      </c>
      <c r="BY6987" s="215">
        <f t="shared" si="233"/>
        <v>0</v>
      </c>
    </row>
    <row r="6988" spans="76:77" x14ac:dyDescent="0.2">
      <c r="BX6988" s="214" t="e">
        <f t="shared" si="232"/>
        <v>#DIV/0!</v>
      </c>
      <c r="BY6988" s="215">
        <f t="shared" si="233"/>
        <v>0</v>
      </c>
    </row>
    <row r="6989" spans="76:77" x14ac:dyDescent="0.2">
      <c r="BX6989" s="214" t="e">
        <f t="shared" ref="BX6989:BX7052" si="234">BY6989/BV6989</f>
        <v>#DIV/0!</v>
      </c>
      <c r="BY6989" s="215">
        <f t="shared" si="233"/>
        <v>0</v>
      </c>
    </row>
    <row r="6990" spans="76:77" x14ac:dyDescent="0.2">
      <c r="BX6990" s="214" t="e">
        <f t="shared" si="234"/>
        <v>#DIV/0!</v>
      </c>
      <c r="BY6990" s="215">
        <f t="shared" ref="BY6990:BY7053" si="235">BY6989+BW6990*(BV6990-BV6989)</f>
        <v>0</v>
      </c>
    </row>
    <row r="6991" spans="76:77" x14ac:dyDescent="0.2">
      <c r="BX6991" s="214" t="e">
        <f t="shared" si="234"/>
        <v>#DIV/0!</v>
      </c>
      <c r="BY6991" s="215">
        <f t="shared" si="235"/>
        <v>0</v>
      </c>
    </row>
    <row r="6992" spans="76:77" x14ac:dyDescent="0.2">
      <c r="BX6992" s="214" t="e">
        <f t="shared" si="234"/>
        <v>#DIV/0!</v>
      </c>
      <c r="BY6992" s="215">
        <f t="shared" si="235"/>
        <v>0</v>
      </c>
    </row>
    <row r="6993" spans="76:77" x14ac:dyDescent="0.2">
      <c r="BX6993" s="214" t="e">
        <f t="shared" si="234"/>
        <v>#DIV/0!</v>
      </c>
      <c r="BY6993" s="215">
        <f t="shared" si="235"/>
        <v>0</v>
      </c>
    </row>
    <row r="6994" spans="76:77" x14ac:dyDescent="0.2">
      <c r="BX6994" s="214" t="e">
        <f t="shared" si="234"/>
        <v>#DIV/0!</v>
      </c>
      <c r="BY6994" s="215">
        <f t="shared" si="235"/>
        <v>0</v>
      </c>
    </row>
    <row r="6995" spans="76:77" x14ac:dyDescent="0.2">
      <c r="BX6995" s="214" t="e">
        <f t="shared" si="234"/>
        <v>#DIV/0!</v>
      </c>
      <c r="BY6995" s="215">
        <f t="shared" si="235"/>
        <v>0</v>
      </c>
    </row>
    <row r="6996" spans="76:77" x14ac:dyDescent="0.2">
      <c r="BX6996" s="214" t="e">
        <f t="shared" si="234"/>
        <v>#DIV/0!</v>
      </c>
      <c r="BY6996" s="215">
        <f t="shared" si="235"/>
        <v>0</v>
      </c>
    </row>
    <row r="6997" spans="76:77" x14ac:dyDescent="0.2">
      <c r="BX6997" s="214" t="e">
        <f t="shared" si="234"/>
        <v>#DIV/0!</v>
      </c>
      <c r="BY6997" s="215">
        <f t="shared" si="235"/>
        <v>0</v>
      </c>
    </row>
    <row r="6998" spans="76:77" x14ac:dyDescent="0.2">
      <c r="BX6998" s="214" t="e">
        <f t="shared" si="234"/>
        <v>#DIV/0!</v>
      </c>
      <c r="BY6998" s="215">
        <f t="shared" si="235"/>
        <v>0</v>
      </c>
    </row>
    <row r="6999" spans="76:77" x14ac:dyDescent="0.2">
      <c r="BX6999" s="214" t="e">
        <f t="shared" si="234"/>
        <v>#DIV/0!</v>
      </c>
      <c r="BY6999" s="215">
        <f t="shared" si="235"/>
        <v>0</v>
      </c>
    </row>
    <row r="7000" spans="76:77" x14ac:dyDescent="0.2">
      <c r="BX7000" s="214" t="e">
        <f t="shared" si="234"/>
        <v>#DIV/0!</v>
      </c>
      <c r="BY7000" s="215">
        <f t="shared" si="235"/>
        <v>0</v>
      </c>
    </row>
    <row r="7001" spans="76:77" x14ac:dyDescent="0.2">
      <c r="BX7001" s="214" t="e">
        <f t="shared" si="234"/>
        <v>#DIV/0!</v>
      </c>
      <c r="BY7001" s="215">
        <f t="shared" si="235"/>
        <v>0</v>
      </c>
    </row>
    <row r="7002" spans="76:77" x14ac:dyDescent="0.2">
      <c r="BX7002" s="214" t="e">
        <f t="shared" si="234"/>
        <v>#DIV/0!</v>
      </c>
      <c r="BY7002" s="215">
        <f t="shared" si="235"/>
        <v>0</v>
      </c>
    </row>
    <row r="7003" spans="76:77" x14ac:dyDescent="0.2">
      <c r="BX7003" s="214" t="e">
        <f t="shared" si="234"/>
        <v>#DIV/0!</v>
      </c>
      <c r="BY7003" s="215">
        <f t="shared" si="235"/>
        <v>0</v>
      </c>
    </row>
    <row r="7004" spans="76:77" x14ac:dyDescent="0.2">
      <c r="BX7004" s="214" t="e">
        <f t="shared" si="234"/>
        <v>#DIV/0!</v>
      </c>
      <c r="BY7004" s="215">
        <f t="shared" si="235"/>
        <v>0</v>
      </c>
    </row>
    <row r="7005" spans="76:77" x14ac:dyDescent="0.2">
      <c r="BX7005" s="214" t="e">
        <f t="shared" si="234"/>
        <v>#DIV/0!</v>
      </c>
      <c r="BY7005" s="215">
        <f t="shared" si="235"/>
        <v>0</v>
      </c>
    </row>
    <row r="7006" spans="76:77" x14ac:dyDescent="0.2">
      <c r="BX7006" s="214" t="e">
        <f t="shared" si="234"/>
        <v>#DIV/0!</v>
      </c>
      <c r="BY7006" s="215">
        <f t="shared" si="235"/>
        <v>0</v>
      </c>
    </row>
    <row r="7007" spans="76:77" x14ac:dyDescent="0.2">
      <c r="BX7007" s="214" t="e">
        <f t="shared" si="234"/>
        <v>#DIV/0!</v>
      </c>
      <c r="BY7007" s="215">
        <f t="shared" si="235"/>
        <v>0</v>
      </c>
    </row>
    <row r="7008" spans="76:77" x14ac:dyDescent="0.2">
      <c r="BX7008" s="214" t="e">
        <f t="shared" si="234"/>
        <v>#DIV/0!</v>
      </c>
      <c r="BY7008" s="215">
        <f t="shared" si="235"/>
        <v>0</v>
      </c>
    </row>
    <row r="7009" spans="76:77" x14ac:dyDescent="0.2">
      <c r="BX7009" s="214" t="e">
        <f t="shared" si="234"/>
        <v>#DIV/0!</v>
      </c>
      <c r="BY7009" s="215">
        <f t="shared" si="235"/>
        <v>0</v>
      </c>
    </row>
    <row r="7010" spans="76:77" x14ac:dyDescent="0.2">
      <c r="BX7010" s="214" t="e">
        <f t="shared" si="234"/>
        <v>#DIV/0!</v>
      </c>
      <c r="BY7010" s="215">
        <f t="shared" si="235"/>
        <v>0</v>
      </c>
    </row>
    <row r="7011" spans="76:77" x14ac:dyDescent="0.2">
      <c r="BX7011" s="214" t="e">
        <f t="shared" si="234"/>
        <v>#DIV/0!</v>
      </c>
      <c r="BY7011" s="215">
        <f t="shared" si="235"/>
        <v>0</v>
      </c>
    </row>
    <row r="7012" spans="76:77" x14ac:dyDescent="0.2">
      <c r="BX7012" s="214" t="e">
        <f t="shared" si="234"/>
        <v>#DIV/0!</v>
      </c>
      <c r="BY7012" s="215">
        <f t="shared" si="235"/>
        <v>0</v>
      </c>
    </row>
    <row r="7013" spans="76:77" x14ac:dyDescent="0.2">
      <c r="BX7013" s="214" t="e">
        <f t="shared" si="234"/>
        <v>#DIV/0!</v>
      </c>
      <c r="BY7013" s="215">
        <f t="shared" si="235"/>
        <v>0</v>
      </c>
    </row>
    <row r="7014" spans="76:77" x14ac:dyDescent="0.2">
      <c r="BX7014" s="214" t="e">
        <f t="shared" si="234"/>
        <v>#DIV/0!</v>
      </c>
      <c r="BY7014" s="215">
        <f t="shared" si="235"/>
        <v>0</v>
      </c>
    </row>
    <row r="7015" spans="76:77" x14ac:dyDescent="0.2">
      <c r="BX7015" s="214" t="e">
        <f t="shared" si="234"/>
        <v>#DIV/0!</v>
      </c>
      <c r="BY7015" s="215">
        <f t="shared" si="235"/>
        <v>0</v>
      </c>
    </row>
    <row r="7016" spans="76:77" x14ac:dyDescent="0.2">
      <c r="BX7016" s="214" t="e">
        <f t="shared" si="234"/>
        <v>#DIV/0!</v>
      </c>
      <c r="BY7016" s="215">
        <f t="shared" si="235"/>
        <v>0</v>
      </c>
    </row>
    <row r="7017" spans="76:77" x14ac:dyDescent="0.2">
      <c r="BX7017" s="214" t="e">
        <f t="shared" si="234"/>
        <v>#DIV/0!</v>
      </c>
      <c r="BY7017" s="215">
        <f t="shared" si="235"/>
        <v>0</v>
      </c>
    </row>
    <row r="7018" spans="76:77" x14ac:dyDescent="0.2">
      <c r="BX7018" s="214" t="e">
        <f t="shared" si="234"/>
        <v>#DIV/0!</v>
      </c>
      <c r="BY7018" s="215">
        <f t="shared" si="235"/>
        <v>0</v>
      </c>
    </row>
    <row r="7019" spans="76:77" x14ac:dyDescent="0.2">
      <c r="BX7019" s="214" t="e">
        <f t="shared" si="234"/>
        <v>#DIV/0!</v>
      </c>
      <c r="BY7019" s="215">
        <f t="shared" si="235"/>
        <v>0</v>
      </c>
    </row>
    <row r="7020" spans="76:77" x14ac:dyDescent="0.2">
      <c r="BX7020" s="214" t="e">
        <f t="shared" si="234"/>
        <v>#DIV/0!</v>
      </c>
      <c r="BY7020" s="215">
        <f t="shared" si="235"/>
        <v>0</v>
      </c>
    </row>
    <row r="7021" spans="76:77" x14ac:dyDescent="0.2">
      <c r="BX7021" s="214" t="e">
        <f t="shared" si="234"/>
        <v>#DIV/0!</v>
      </c>
      <c r="BY7021" s="215">
        <f t="shared" si="235"/>
        <v>0</v>
      </c>
    </row>
    <row r="7022" spans="76:77" x14ac:dyDescent="0.2">
      <c r="BX7022" s="214" t="e">
        <f t="shared" si="234"/>
        <v>#DIV/0!</v>
      </c>
      <c r="BY7022" s="215">
        <f t="shared" si="235"/>
        <v>0</v>
      </c>
    </row>
    <row r="7023" spans="76:77" x14ac:dyDescent="0.2">
      <c r="BX7023" s="214" t="e">
        <f t="shared" si="234"/>
        <v>#DIV/0!</v>
      </c>
      <c r="BY7023" s="215">
        <f t="shared" si="235"/>
        <v>0</v>
      </c>
    </row>
    <row r="7024" spans="76:77" x14ac:dyDescent="0.2">
      <c r="BX7024" s="214" t="e">
        <f t="shared" si="234"/>
        <v>#DIV/0!</v>
      </c>
      <c r="BY7024" s="215">
        <f t="shared" si="235"/>
        <v>0</v>
      </c>
    </row>
    <row r="7025" spans="76:77" x14ac:dyDescent="0.2">
      <c r="BX7025" s="214" t="e">
        <f t="shared" si="234"/>
        <v>#DIV/0!</v>
      </c>
      <c r="BY7025" s="215">
        <f t="shared" si="235"/>
        <v>0</v>
      </c>
    </row>
    <row r="7026" spans="76:77" x14ac:dyDescent="0.2">
      <c r="BX7026" s="214" t="e">
        <f t="shared" si="234"/>
        <v>#DIV/0!</v>
      </c>
      <c r="BY7026" s="215">
        <f t="shared" si="235"/>
        <v>0</v>
      </c>
    </row>
    <row r="7027" spans="76:77" x14ac:dyDescent="0.2">
      <c r="BX7027" s="214" t="e">
        <f t="shared" si="234"/>
        <v>#DIV/0!</v>
      </c>
      <c r="BY7027" s="215">
        <f t="shared" si="235"/>
        <v>0</v>
      </c>
    </row>
    <row r="7028" spans="76:77" x14ac:dyDescent="0.2">
      <c r="BX7028" s="214" t="e">
        <f t="shared" si="234"/>
        <v>#DIV/0!</v>
      </c>
      <c r="BY7028" s="215">
        <f t="shared" si="235"/>
        <v>0</v>
      </c>
    </row>
    <row r="7029" spans="76:77" x14ac:dyDescent="0.2">
      <c r="BX7029" s="214" t="e">
        <f t="shared" si="234"/>
        <v>#DIV/0!</v>
      </c>
      <c r="BY7029" s="215">
        <f t="shared" si="235"/>
        <v>0</v>
      </c>
    </row>
    <row r="7030" spans="76:77" x14ac:dyDescent="0.2">
      <c r="BX7030" s="214" t="e">
        <f t="shared" si="234"/>
        <v>#DIV/0!</v>
      </c>
      <c r="BY7030" s="215">
        <f t="shared" si="235"/>
        <v>0</v>
      </c>
    </row>
    <row r="7031" spans="76:77" x14ac:dyDescent="0.2">
      <c r="BX7031" s="214" t="e">
        <f t="shared" si="234"/>
        <v>#DIV/0!</v>
      </c>
      <c r="BY7031" s="215">
        <f t="shared" si="235"/>
        <v>0</v>
      </c>
    </row>
    <row r="7032" spans="76:77" x14ac:dyDescent="0.2">
      <c r="BX7032" s="214" t="e">
        <f t="shared" si="234"/>
        <v>#DIV/0!</v>
      </c>
      <c r="BY7032" s="215">
        <f t="shared" si="235"/>
        <v>0</v>
      </c>
    </row>
    <row r="7033" spans="76:77" x14ac:dyDescent="0.2">
      <c r="BX7033" s="214" t="e">
        <f t="shared" si="234"/>
        <v>#DIV/0!</v>
      </c>
      <c r="BY7033" s="215">
        <f t="shared" si="235"/>
        <v>0</v>
      </c>
    </row>
    <row r="7034" spans="76:77" x14ac:dyDescent="0.2">
      <c r="BX7034" s="214" t="e">
        <f t="shared" si="234"/>
        <v>#DIV/0!</v>
      </c>
      <c r="BY7034" s="215">
        <f t="shared" si="235"/>
        <v>0</v>
      </c>
    </row>
    <row r="7035" spans="76:77" x14ac:dyDescent="0.2">
      <c r="BX7035" s="214" t="e">
        <f t="shared" si="234"/>
        <v>#DIV/0!</v>
      </c>
      <c r="BY7035" s="215">
        <f t="shared" si="235"/>
        <v>0</v>
      </c>
    </row>
    <row r="7036" spans="76:77" x14ac:dyDescent="0.2">
      <c r="BX7036" s="214" t="e">
        <f t="shared" si="234"/>
        <v>#DIV/0!</v>
      </c>
      <c r="BY7036" s="215">
        <f t="shared" si="235"/>
        <v>0</v>
      </c>
    </row>
    <row r="7037" spans="76:77" x14ac:dyDescent="0.2">
      <c r="BX7037" s="214" t="e">
        <f t="shared" si="234"/>
        <v>#DIV/0!</v>
      </c>
      <c r="BY7037" s="215">
        <f t="shared" si="235"/>
        <v>0</v>
      </c>
    </row>
    <row r="7038" spans="76:77" x14ac:dyDescent="0.2">
      <c r="BX7038" s="214" t="e">
        <f t="shared" si="234"/>
        <v>#DIV/0!</v>
      </c>
      <c r="BY7038" s="215">
        <f t="shared" si="235"/>
        <v>0</v>
      </c>
    </row>
    <row r="7039" spans="76:77" x14ac:dyDescent="0.2">
      <c r="BX7039" s="214" t="e">
        <f t="shared" si="234"/>
        <v>#DIV/0!</v>
      </c>
      <c r="BY7039" s="215">
        <f t="shared" si="235"/>
        <v>0</v>
      </c>
    </row>
    <row r="7040" spans="76:77" x14ac:dyDescent="0.2">
      <c r="BX7040" s="214" t="e">
        <f t="shared" si="234"/>
        <v>#DIV/0!</v>
      </c>
      <c r="BY7040" s="215">
        <f t="shared" si="235"/>
        <v>0</v>
      </c>
    </row>
    <row r="7041" spans="76:77" x14ac:dyDescent="0.2">
      <c r="BX7041" s="214" t="e">
        <f t="shared" si="234"/>
        <v>#DIV/0!</v>
      </c>
      <c r="BY7041" s="215">
        <f t="shared" si="235"/>
        <v>0</v>
      </c>
    </row>
    <row r="7042" spans="76:77" x14ac:dyDescent="0.2">
      <c r="BX7042" s="214" t="e">
        <f t="shared" si="234"/>
        <v>#DIV/0!</v>
      </c>
      <c r="BY7042" s="215">
        <f t="shared" si="235"/>
        <v>0</v>
      </c>
    </row>
    <row r="7043" spans="76:77" x14ac:dyDescent="0.2">
      <c r="BX7043" s="214" t="e">
        <f t="shared" si="234"/>
        <v>#DIV/0!</v>
      </c>
      <c r="BY7043" s="215">
        <f t="shared" si="235"/>
        <v>0</v>
      </c>
    </row>
    <row r="7044" spans="76:77" x14ac:dyDescent="0.2">
      <c r="BX7044" s="214" t="e">
        <f t="shared" si="234"/>
        <v>#DIV/0!</v>
      </c>
      <c r="BY7044" s="215">
        <f t="shared" si="235"/>
        <v>0</v>
      </c>
    </row>
    <row r="7045" spans="76:77" x14ac:dyDescent="0.2">
      <c r="BX7045" s="214" t="e">
        <f t="shared" si="234"/>
        <v>#DIV/0!</v>
      </c>
      <c r="BY7045" s="215">
        <f t="shared" si="235"/>
        <v>0</v>
      </c>
    </row>
    <row r="7046" spans="76:77" x14ac:dyDescent="0.2">
      <c r="BX7046" s="214" t="e">
        <f t="shared" si="234"/>
        <v>#DIV/0!</v>
      </c>
      <c r="BY7046" s="215">
        <f t="shared" si="235"/>
        <v>0</v>
      </c>
    </row>
    <row r="7047" spans="76:77" x14ac:dyDescent="0.2">
      <c r="BX7047" s="214" t="e">
        <f t="shared" si="234"/>
        <v>#DIV/0!</v>
      </c>
      <c r="BY7047" s="215">
        <f t="shared" si="235"/>
        <v>0</v>
      </c>
    </row>
    <row r="7048" spans="76:77" x14ac:dyDescent="0.2">
      <c r="BX7048" s="214" t="e">
        <f t="shared" si="234"/>
        <v>#DIV/0!</v>
      </c>
      <c r="BY7048" s="215">
        <f t="shared" si="235"/>
        <v>0</v>
      </c>
    </row>
    <row r="7049" spans="76:77" x14ac:dyDescent="0.2">
      <c r="BX7049" s="214" t="e">
        <f t="shared" si="234"/>
        <v>#DIV/0!</v>
      </c>
      <c r="BY7049" s="215">
        <f t="shared" si="235"/>
        <v>0</v>
      </c>
    </row>
    <row r="7050" spans="76:77" x14ac:dyDescent="0.2">
      <c r="BX7050" s="214" t="e">
        <f t="shared" si="234"/>
        <v>#DIV/0!</v>
      </c>
      <c r="BY7050" s="215">
        <f t="shared" si="235"/>
        <v>0</v>
      </c>
    </row>
    <row r="7051" spans="76:77" x14ac:dyDescent="0.2">
      <c r="BX7051" s="214" t="e">
        <f t="shared" si="234"/>
        <v>#DIV/0!</v>
      </c>
      <c r="BY7051" s="215">
        <f t="shared" si="235"/>
        <v>0</v>
      </c>
    </row>
    <row r="7052" spans="76:77" x14ac:dyDescent="0.2">
      <c r="BX7052" s="214" t="e">
        <f t="shared" si="234"/>
        <v>#DIV/0!</v>
      </c>
      <c r="BY7052" s="215">
        <f t="shared" si="235"/>
        <v>0</v>
      </c>
    </row>
    <row r="7053" spans="76:77" x14ac:dyDescent="0.2">
      <c r="BX7053" s="214" t="e">
        <f t="shared" ref="BX7053:BX7116" si="236">BY7053/BV7053</f>
        <v>#DIV/0!</v>
      </c>
      <c r="BY7053" s="215">
        <f t="shared" si="235"/>
        <v>0</v>
      </c>
    </row>
    <row r="7054" spans="76:77" x14ac:dyDescent="0.2">
      <c r="BX7054" s="214" t="e">
        <f t="shared" si="236"/>
        <v>#DIV/0!</v>
      </c>
      <c r="BY7054" s="215">
        <f t="shared" ref="BY7054:BY7117" si="237">BY7053+BW7054*(BV7054-BV7053)</f>
        <v>0</v>
      </c>
    </row>
    <row r="7055" spans="76:77" x14ac:dyDescent="0.2">
      <c r="BX7055" s="214" t="e">
        <f t="shared" si="236"/>
        <v>#DIV/0!</v>
      </c>
      <c r="BY7055" s="215">
        <f t="shared" si="237"/>
        <v>0</v>
      </c>
    </row>
    <row r="7056" spans="76:77" x14ac:dyDescent="0.2">
      <c r="BX7056" s="214" t="e">
        <f t="shared" si="236"/>
        <v>#DIV/0!</v>
      </c>
      <c r="BY7056" s="215">
        <f t="shared" si="237"/>
        <v>0</v>
      </c>
    </row>
    <row r="7057" spans="76:77" x14ac:dyDescent="0.2">
      <c r="BX7057" s="214" t="e">
        <f t="shared" si="236"/>
        <v>#DIV/0!</v>
      </c>
      <c r="BY7057" s="215">
        <f t="shared" si="237"/>
        <v>0</v>
      </c>
    </row>
    <row r="7058" spans="76:77" x14ac:dyDescent="0.2">
      <c r="BX7058" s="214" t="e">
        <f t="shared" si="236"/>
        <v>#DIV/0!</v>
      </c>
      <c r="BY7058" s="215">
        <f t="shared" si="237"/>
        <v>0</v>
      </c>
    </row>
    <row r="7059" spans="76:77" x14ac:dyDescent="0.2">
      <c r="BX7059" s="214" t="e">
        <f t="shared" si="236"/>
        <v>#DIV/0!</v>
      </c>
      <c r="BY7059" s="215">
        <f t="shared" si="237"/>
        <v>0</v>
      </c>
    </row>
    <row r="7060" spans="76:77" x14ac:dyDescent="0.2">
      <c r="BX7060" s="214" t="e">
        <f t="shared" si="236"/>
        <v>#DIV/0!</v>
      </c>
      <c r="BY7060" s="215">
        <f t="shared" si="237"/>
        <v>0</v>
      </c>
    </row>
    <row r="7061" spans="76:77" x14ac:dyDescent="0.2">
      <c r="BX7061" s="214" t="e">
        <f t="shared" si="236"/>
        <v>#DIV/0!</v>
      </c>
      <c r="BY7061" s="215">
        <f t="shared" si="237"/>
        <v>0</v>
      </c>
    </row>
    <row r="7062" spans="76:77" x14ac:dyDescent="0.2">
      <c r="BX7062" s="214" t="e">
        <f t="shared" si="236"/>
        <v>#DIV/0!</v>
      </c>
      <c r="BY7062" s="215">
        <f t="shared" si="237"/>
        <v>0</v>
      </c>
    </row>
    <row r="7063" spans="76:77" x14ac:dyDescent="0.2">
      <c r="BX7063" s="214" t="e">
        <f t="shared" si="236"/>
        <v>#DIV/0!</v>
      </c>
      <c r="BY7063" s="215">
        <f t="shared" si="237"/>
        <v>0</v>
      </c>
    </row>
    <row r="7064" spans="76:77" x14ac:dyDescent="0.2">
      <c r="BX7064" s="214" t="e">
        <f t="shared" si="236"/>
        <v>#DIV/0!</v>
      </c>
      <c r="BY7064" s="215">
        <f t="shared" si="237"/>
        <v>0</v>
      </c>
    </row>
    <row r="7065" spans="76:77" x14ac:dyDescent="0.2">
      <c r="BX7065" s="214" t="e">
        <f t="shared" si="236"/>
        <v>#DIV/0!</v>
      </c>
      <c r="BY7065" s="215">
        <f t="shared" si="237"/>
        <v>0</v>
      </c>
    </row>
    <row r="7066" spans="76:77" x14ac:dyDescent="0.2">
      <c r="BX7066" s="214" t="e">
        <f t="shared" si="236"/>
        <v>#DIV/0!</v>
      </c>
      <c r="BY7066" s="215">
        <f t="shared" si="237"/>
        <v>0</v>
      </c>
    </row>
    <row r="7067" spans="76:77" x14ac:dyDescent="0.2">
      <c r="BX7067" s="214" t="e">
        <f t="shared" si="236"/>
        <v>#DIV/0!</v>
      </c>
      <c r="BY7067" s="215">
        <f t="shared" si="237"/>
        <v>0</v>
      </c>
    </row>
    <row r="7068" spans="76:77" x14ac:dyDescent="0.2">
      <c r="BX7068" s="214" t="e">
        <f t="shared" si="236"/>
        <v>#DIV/0!</v>
      </c>
      <c r="BY7068" s="215">
        <f t="shared" si="237"/>
        <v>0</v>
      </c>
    </row>
    <row r="7069" spans="76:77" x14ac:dyDescent="0.2">
      <c r="BX7069" s="214" t="e">
        <f t="shared" si="236"/>
        <v>#DIV/0!</v>
      </c>
      <c r="BY7069" s="215">
        <f t="shared" si="237"/>
        <v>0</v>
      </c>
    </row>
    <row r="7070" spans="76:77" x14ac:dyDescent="0.2">
      <c r="BX7070" s="214" t="e">
        <f t="shared" si="236"/>
        <v>#DIV/0!</v>
      </c>
      <c r="BY7070" s="215">
        <f t="shared" si="237"/>
        <v>0</v>
      </c>
    </row>
    <row r="7071" spans="76:77" x14ac:dyDescent="0.2">
      <c r="BX7071" s="214" t="e">
        <f t="shared" si="236"/>
        <v>#DIV/0!</v>
      </c>
      <c r="BY7071" s="215">
        <f t="shared" si="237"/>
        <v>0</v>
      </c>
    </row>
    <row r="7072" spans="76:77" x14ac:dyDescent="0.2">
      <c r="BX7072" s="214" t="e">
        <f t="shared" si="236"/>
        <v>#DIV/0!</v>
      </c>
      <c r="BY7072" s="215">
        <f t="shared" si="237"/>
        <v>0</v>
      </c>
    </row>
    <row r="7073" spans="76:77" x14ac:dyDescent="0.2">
      <c r="BX7073" s="214" t="e">
        <f t="shared" si="236"/>
        <v>#DIV/0!</v>
      </c>
      <c r="BY7073" s="215">
        <f t="shared" si="237"/>
        <v>0</v>
      </c>
    </row>
    <row r="7074" spans="76:77" x14ac:dyDescent="0.2">
      <c r="BX7074" s="214" t="e">
        <f t="shared" si="236"/>
        <v>#DIV/0!</v>
      </c>
      <c r="BY7074" s="215">
        <f t="shared" si="237"/>
        <v>0</v>
      </c>
    </row>
    <row r="7075" spans="76:77" x14ac:dyDescent="0.2">
      <c r="BX7075" s="214" t="e">
        <f t="shared" si="236"/>
        <v>#DIV/0!</v>
      </c>
      <c r="BY7075" s="215">
        <f t="shared" si="237"/>
        <v>0</v>
      </c>
    </row>
    <row r="7076" spans="76:77" x14ac:dyDescent="0.2">
      <c r="BX7076" s="214" t="e">
        <f t="shared" si="236"/>
        <v>#DIV/0!</v>
      </c>
      <c r="BY7076" s="215">
        <f t="shared" si="237"/>
        <v>0</v>
      </c>
    </row>
    <row r="7077" spans="76:77" x14ac:dyDescent="0.2">
      <c r="BX7077" s="214" t="e">
        <f t="shared" si="236"/>
        <v>#DIV/0!</v>
      </c>
      <c r="BY7077" s="215">
        <f t="shared" si="237"/>
        <v>0</v>
      </c>
    </row>
    <row r="7078" spans="76:77" x14ac:dyDescent="0.2">
      <c r="BX7078" s="214" t="e">
        <f t="shared" si="236"/>
        <v>#DIV/0!</v>
      </c>
      <c r="BY7078" s="215">
        <f t="shared" si="237"/>
        <v>0</v>
      </c>
    </row>
    <row r="7079" spans="76:77" x14ac:dyDescent="0.2">
      <c r="BX7079" s="214" t="e">
        <f t="shared" si="236"/>
        <v>#DIV/0!</v>
      </c>
      <c r="BY7079" s="215">
        <f t="shared" si="237"/>
        <v>0</v>
      </c>
    </row>
    <row r="7080" spans="76:77" x14ac:dyDescent="0.2">
      <c r="BX7080" s="214" t="e">
        <f t="shared" si="236"/>
        <v>#DIV/0!</v>
      </c>
      <c r="BY7080" s="215">
        <f t="shared" si="237"/>
        <v>0</v>
      </c>
    </row>
    <row r="7081" spans="76:77" x14ac:dyDescent="0.2">
      <c r="BX7081" s="214" t="e">
        <f t="shared" si="236"/>
        <v>#DIV/0!</v>
      </c>
      <c r="BY7081" s="215">
        <f t="shared" si="237"/>
        <v>0</v>
      </c>
    </row>
    <row r="7082" spans="76:77" x14ac:dyDescent="0.2">
      <c r="BX7082" s="214" t="e">
        <f t="shared" si="236"/>
        <v>#DIV/0!</v>
      </c>
      <c r="BY7082" s="215">
        <f t="shared" si="237"/>
        <v>0</v>
      </c>
    </row>
    <row r="7083" spans="76:77" x14ac:dyDescent="0.2">
      <c r="BX7083" s="214" t="e">
        <f t="shared" si="236"/>
        <v>#DIV/0!</v>
      </c>
      <c r="BY7083" s="215">
        <f t="shared" si="237"/>
        <v>0</v>
      </c>
    </row>
    <row r="7084" spans="76:77" x14ac:dyDescent="0.2">
      <c r="BX7084" s="214" t="e">
        <f t="shared" si="236"/>
        <v>#DIV/0!</v>
      </c>
      <c r="BY7084" s="215">
        <f t="shared" si="237"/>
        <v>0</v>
      </c>
    </row>
    <row r="7085" spans="76:77" x14ac:dyDescent="0.2">
      <c r="BX7085" s="214" t="e">
        <f t="shared" si="236"/>
        <v>#DIV/0!</v>
      </c>
      <c r="BY7085" s="215">
        <f t="shared" si="237"/>
        <v>0</v>
      </c>
    </row>
    <row r="7086" spans="76:77" x14ac:dyDescent="0.2">
      <c r="BX7086" s="214" t="e">
        <f t="shared" si="236"/>
        <v>#DIV/0!</v>
      </c>
      <c r="BY7086" s="215">
        <f t="shared" si="237"/>
        <v>0</v>
      </c>
    </row>
    <row r="7087" spans="76:77" x14ac:dyDescent="0.2">
      <c r="BX7087" s="214" t="e">
        <f t="shared" si="236"/>
        <v>#DIV/0!</v>
      </c>
      <c r="BY7087" s="215">
        <f t="shared" si="237"/>
        <v>0</v>
      </c>
    </row>
    <row r="7088" spans="76:77" x14ac:dyDescent="0.2">
      <c r="BX7088" s="214" t="e">
        <f t="shared" si="236"/>
        <v>#DIV/0!</v>
      </c>
      <c r="BY7088" s="215">
        <f t="shared" si="237"/>
        <v>0</v>
      </c>
    </row>
    <row r="7089" spans="76:77" x14ac:dyDescent="0.2">
      <c r="BX7089" s="214" t="e">
        <f t="shared" si="236"/>
        <v>#DIV/0!</v>
      </c>
      <c r="BY7089" s="215">
        <f t="shared" si="237"/>
        <v>0</v>
      </c>
    </row>
    <row r="7090" spans="76:77" x14ac:dyDescent="0.2">
      <c r="BX7090" s="214" t="e">
        <f t="shared" si="236"/>
        <v>#DIV/0!</v>
      </c>
      <c r="BY7090" s="215">
        <f t="shared" si="237"/>
        <v>0</v>
      </c>
    </row>
    <row r="7091" spans="76:77" x14ac:dyDescent="0.2">
      <c r="BX7091" s="214" t="e">
        <f t="shared" si="236"/>
        <v>#DIV/0!</v>
      </c>
      <c r="BY7091" s="215">
        <f t="shared" si="237"/>
        <v>0</v>
      </c>
    </row>
    <row r="7092" spans="76:77" x14ac:dyDescent="0.2">
      <c r="BX7092" s="214" t="e">
        <f t="shared" si="236"/>
        <v>#DIV/0!</v>
      </c>
      <c r="BY7092" s="215">
        <f t="shared" si="237"/>
        <v>0</v>
      </c>
    </row>
    <row r="7093" spans="76:77" x14ac:dyDescent="0.2">
      <c r="BX7093" s="214" t="e">
        <f t="shared" si="236"/>
        <v>#DIV/0!</v>
      </c>
      <c r="BY7093" s="215">
        <f t="shared" si="237"/>
        <v>0</v>
      </c>
    </row>
    <row r="7094" spans="76:77" x14ac:dyDescent="0.2">
      <c r="BX7094" s="214" t="e">
        <f t="shared" si="236"/>
        <v>#DIV/0!</v>
      </c>
      <c r="BY7094" s="215">
        <f t="shared" si="237"/>
        <v>0</v>
      </c>
    </row>
    <row r="7095" spans="76:77" x14ac:dyDescent="0.2">
      <c r="BX7095" s="214" t="e">
        <f t="shared" si="236"/>
        <v>#DIV/0!</v>
      </c>
      <c r="BY7095" s="215">
        <f t="shared" si="237"/>
        <v>0</v>
      </c>
    </row>
    <row r="7096" spans="76:77" x14ac:dyDescent="0.2">
      <c r="BX7096" s="214" t="e">
        <f t="shared" si="236"/>
        <v>#DIV/0!</v>
      </c>
      <c r="BY7096" s="215">
        <f t="shared" si="237"/>
        <v>0</v>
      </c>
    </row>
    <row r="7097" spans="76:77" x14ac:dyDescent="0.2">
      <c r="BX7097" s="214" t="e">
        <f t="shared" si="236"/>
        <v>#DIV/0!</v>
      </c>
      <c r="BY7097" s="215">
        <f t="shared" si="237"/>
        <v>0</v>
      </c>
    </row>
    <row r="7098" spans="76:77" x14ac:dyDescent="0.2">
      <c r="BX7098" s="214" t="e">
        <f t="shared" si="236"/>
        <v>#DIV/0!</v>
      </c>
      <c r="BY7098" s="215">
        <f t="shared" si="237"/>
        <v>0</v>
      </c>
    </row>
    <row r="7099" spans="76:77" x14ac:dyDescent="0.2">
      <c r="BX7099" s="214" t="e">
        <f t="shared" si="236"/>
        <v>#DIV/0!</v>
      </c>
      <c r="BY7099" s="215">
        <f t="shared" si="237"/>
        <v>0</v>
      </c>
    </row>
    <row r="7100" spans="76:77" x14ac:dyDescent="0.2">
      <c r="BX7100" s="214" t="e">
        <f t="shared" si="236"/>
        <v>#DIV/0!</v>
      </c>
      <c r="BY7100" s="215">
        <f t="shared" si="237"/>
        <v>0</v>
      </c>
    </row>
    <row r="7101" spans="76:77" x14ac:dyDescent="0.2">
      <c r="BX7101" s="214" t="e">
        <f t="shared" si="236"/>
        <v>#DIV/0!</v>
      </c>
      <c r="BY7101" s="215">
        <f t="shared" si="237"/>
        <v>0</v>
      </c>
    </row>
    <row r="7102" spans="76:77" x14ac:dyDescent="0.2">
      <c r="BX7102" s="214" t="e">
        <f t="shared" si="236"/>
        <v>#DIV/0!</v>
      </c>
      <c r="BY7102" s="215">
        <f t="shared" si="237"/>
        <v>0</v>
      </c>
    </row>
    <row r="7103" spans="76:77" x14ac:dyDescent="0.2">
      <c r="BX7103" s="214" t="e">
        <f t="shared" si="236"/>
        <v>#DIV/0!</v>
      </c>
      <c r="BY7103" s="215">
        <f t="shared" si="237"/>
        <v>0</v>
      </c>
    </row>
    <row r="7104" spans="76:77" x14ac:dyDescent="0.2">
      <c r="BX7104" s="214" t="e">
        <f t="shared" si="236"/>
        <v>#DIV/0!</v>
      </c>
      <c r="BY7104" s="215">
        <f t="shared" si="237"/>
        <v>0</v>
      </c>
    </row>
    <row r="7105" spans="76:77" x14ac:dyDescent="0.2">
      <c r="BX7105" s="214" t="e">
        <f t="shared" si="236"/>
        <v>#DIV/0!</v>
      </c>
      <c r="BY7105" s="215">
        <f t="shared" si="237"/>
        <v>0</v>
      </c>
    </row>
    <row r="7106" spans="76:77" x14ac:dyDescent="0.2">
      <c r="BX7106" s="214" t="e">
        <f t="shared" si="236"/>
        <v>#DIV/0!</v>
      </c>
      <c r="BY7106" s="215">
        <f t="shared" si="237"/>
        <v>0</v>
      </c>
    </row>
    <row r="7107" spans="76:77" x14ac:dyDescent="0.2">
      <c r="BX7107" s="214" t="e">
        <f t="shared" si="236"/>
        <v>#DIV/0!</v>
      </c>
      <c r="BY7107" s="215">
        <f t="shared" si="237"/>
        <v>0</v>
      </c>
    </row>
    <row r="7108" spans="76:77" x14ac:dyDescent="0.2">
      <c r="BX7108" s="214" t="e">
        <f t="shared" si="236"/>
        <v>#DIV/0!</v>
      </c>
      <c r="BY7108" s="215">
        <f t="shared" si="237"/>
        <v>0</v>
      </c>
    </row>
    <row r="7109" spans="76:77" x14ac:dyDescent="0.2">
      <c r="BX7109" s="214" t="e">
        <f t="shared" si="236"/>
        <v>#DIV/0!</v>
      </c>
      <c r="BY7109" s="215">
        <f t="shared" si="237"/>
        <v>0</v>
      </c>
    </row>
    <row r="7110" spans="76:77" x14ac:dyDescent="0.2">
      <c r="BX7110" s="214" t="e">
        <f t="shared" si="236"/>
        <v>#DIV/0!</v>
      </c>
      <c r="BY7110" s="215">
        <f t="shared" si="237"/>
        <v>0</v>
      </c>
    </row>
    <row r="7111" spans="76:77" x14ac:dyDescent="0.2">
      <c r="BX7111" s="214" t="e">
        <f t="shared" si="236"/>
        <v>#DIV/0!</v>
      </c>
      <c r="BY7111" s="215">
        <f t="shared" si="237"/>
        <v>0</v>
      </c>
    </row>
    <row r="7112" spans="76:77" x14ac:dyDescent="0.2">
      <c r="BX7112" s="214" t="e">
        <f t="shared" si="236"/>
        <v>#DIV/0!</v>
      </c>
      <c r="BY7112" s="215">
        <f t="shared" si="237"/>
        <v>0</v>
      </c>
    </row>
    <row r="7113" spans="76:77" x14ac:dyDescent="0.2">
      <c r="BX7113" s="214" t="e">
        <f t="shared" si="236"/>
        <v>#DIV/0!</v>
      </c>
      <c r="BY7113" s="215">
        <f t="shared" si="237"/>
        <v>0</v>
      </c>
    </row>
    <row r="7114" spans="76:77" x14ac:dyDescent="0.2">
      <c r="BX7114" s="214" t="e">
        <f t="shared" si="236"/>
        <v>#DIV/0!</v>
      </c>
      <c r="BY7114" s="215">
        <f t="shared" si="237"/>
        <v>0</v>
      </c>
    </row>
    <row r="7115" spans="76:77" x14ac:dyDescent="0.2">
      <c r="BX7115" s="214" t="e">
        <f t="shared" si="236"/>
        <v>#DIV/0!</v>
      </c>
      <c r="BY7115" s="215">
        <f t="shared" si="237"/>
        <v>0</v>
      </c>
    </row>
    <row r="7116" spans="76:77" x14ac:dyDescent="0.2">
      <c r="BX7116" s="214" t="e">
        <f t="shared" si="236"/>
        <v>#DIV/0!</v>
      </c>
      <c r="BY7116" s="215">
        <f t="shared" si="237"/>
        <v>0</v>
      </c>
    </row>
    <row r="7117" spans="76:77" x14ac:dyDescent="0.2">
      <c r="BX7117" s="214" t="e">
        <f t="shared" ref="BX7117:BX7180" si="238">BY7117/BV7117</f>
        <v>#DIV/0!</v>
      </c>
      <c r="BY7117" s="215">
        <f t="shared" si="237"/>
        <v>0</v>
      </c>
    </row>
    <row r="7118" spans="76:77" x14ac:dyDescent="0.2">
      <c r="BX7118" s="214" t="e">
        <f t="shared" si="238"/>
        <v>#DIV/0!</v>
      </c>
      <c r="BY7118" s="215">
        <f t="shared" ref="BY7118:BY7181" si="239">BY7117+BW7118*(BV7118-BV7117)</f>
        <v>0</v>
      </c>
    </row>
    <row r="7119" spans="76:77" x14ac:dyDescent="0.2">
      <c r="BX7119" s="214" t="e">
        <f t="shared" si="238"/>
        <v>#DIV/0!</v>
      </c>
      <c r="BY7119" s="215">
        <f t="shared" si="239"/>
        <v>0</v>
      </c>
    </row>
    <row r="7120" spans="76:77" x14ac:dyDescent="0.2">
      <c r="BX7120" s="214" t="e">
        <f t="shared" si="238"/>
        <v>#DIV/0!</v>
      </c>
      <c r="BY7120" s="215">
        <f t="shared" si="239"/>
        <v>0</v>
      </c>
    </row>
    <row r="7121" spans="76:77" x14ac:dyDescent="0.2">
      <c r="BX7121" s="214" t="e">
        <f t="shared" si="238"/>
        <v>#DIV/0!</v>
      </c>
      <c r="BY7121" s="215">
        <f t="shared" si="239"/>
        <v>0</v>
      </c>
    </row>
    <row r="7122" spans="76:77" x14ac:dyDescent="0.2">
      <c r="BX7122" s="214" t="e">
        <f t="shared" si="238"/>
        <v>#DIV/0!</v>
      </c>
      <c r="BY7122" s="215">
        <f t="shared" si="239"/>
        <v>0</v>
      </c>
    </row>
    <row r="7123" spans="76:77" x14ac:dyDescent="0.2">
      <c r="BX7123" s="214" t="e">
        <f t="shared" si="238"/>
        <v>#DIV/0!</v>
      </c>
      <c r="BY7123" s="215">
        <f t="shared" si="239"/>
        <v>0</v>
      </c>
    </row>
    <row r="7124" spans="76:77" x14ac:dyDescent="0.2">
      <c r="BX7124" s="214" t="e">
        <f t="shared" si="238"/>
        <v>#DIV/0!</v>
      </c>
      <c r="BY7124" s="215">
        <f t="shared" si="239"/>
        <v>0</v>
      </c>
    </row>
    <row r="7125" spans="76:77" x14ac:dyDescent="0.2">
      <c r="BX7125" s="214" t="e">
        <f t="shared" si="238"/>
        <v>#DIV/0!</v>
      </c>
      <c r="BY7125" s="215">
        <f t="shared" si="239"/>
        <v>0</v>
      </c>
    </row>
    <row r="7126" spans="76:77" x14ac:dyDescent="0.2">
      <c r="BX7126" s="214" t="e">
        <f t="shared" si="238"/>
        <v>#DIV/0!</v>
      </c>
      <c r="BY7126" s="215">
        <f t="shared" si="239"/>
        <v>0</v>
      </c>
    </row>
    <row r="7127" spans="76:77" x14ac:dyDescent="0.2">
      <c r="BX7127" s="214" t="e">
        <f t="shared" si="238"/>
        <v>#DIV/0!</v>
      </c>
      <c r="BY7127" s="215">
        <f t="shared" si="239"/>
        <v>0</v>
      </c>
    </row>
    <row r="7128" spans="76:77" x14ac:dyDescent="0.2">
      <c r="BX7128" s="214" t="e">
        <f t="shared" si="238"/>
        <v>#DIV/0!</v>
      </c>
      <c r="BY7128" s="215">
        <f t="shared" si="239"/>
        <v>0</v>
      </c>
    </row>
    <row r="7129" spans="76:77" x14ac:dyDescent="0.2">
      <c r="BX7129" s="214" t="e">
        <f t="shared" si="238"/>
        <v>#DIV/0!</v>
      </c>
      <c r="BY7129" s="215">
        <f t="shared" si="239"/>
        <v>0</v>
      </c>
    </row>
    <row r="7130" spans="76:77" x14ac:dyDescent="0.2">
      <c r="BX7130" s="214" t="e">
        <f t="shared" si="238"/>
        <v>#DIV/0!</v>
      </c>
      <c r="BY7130" s="215">
        <f t="shared" si="239"/>
        <v>0</v>
      </c>
    </row>
    <row r="7131" spans="76:77" x14ac:dyDescent="0.2">
      <c r="BX7131" s="214" t="e">
        <f t="shared" si="238"/>
        <v>#DIV/0!</v>
      </c>
      <c r="BY7131" s="215">
        <f t="shared" si="239"/>
        <v>0</v>
      </c>
    </row>
    <row r="7132" spans="76:77" x14ac:dyDescent="0.2">
      <c r="BX7132" s="214" t="e">
        <f t="shared" si="238"/>
        <v>#DIV/0!</v>
      </c>
      <c r="BY7132" s="215">
        <f t="shared" si="239"/>
        <v>0</v>
      </c>
    </row>
    <row r="7133" spans="76:77" x14ac:dyDescent="0.2">
      <c r="BX7133" s="214" t="e">
        <f t="shared" si="238"/>
        <v>#DIV/0!</v>
      </c>
      <c r="BY7133" s="215">
        <f t="shared" si="239"/>
        <v>0</v>
      </c>
    </row>
    <row r="7134" spans="76:77" x14ac:dyDescent="0.2">
      <c r="BX7134" s="214" t="e">
        <f t="shared" si="238"/>
        <v>#DIV/0!</v>
      </c>
      <c r="BY7134" s="215">
        <f t="shared" si="239"/>
        <v>0</v>
      </c>
    </row>
    <row r="7135" spans="76:77" x14ac:dyDescent="0.2">
      <c r="BX7135" s="214" t="e">
        <f t="shared" si="238"/>
        <v>#DIV/0!</v>
      </c>
      <c r="BY7135" s="215">
        <f t="shared" si="239"/>
        <v>0</v>
      </c>
    </row>
    <row r="7136" spans="76:77" x14ac:dyDescent="0.2">
      <c r="BX7136" s="214" t="e">
        <f t="shared" si="238"/>
        <v>#DIV/0!</v>
      </c>
      <c r="BY7136" s="215">
        <f t="shared" si="239"/>
        <v>0</v>
      </c>
    </row>
    <row r="7137" spans="76:77" x14ac:dyDescent="0.2">
      <c r="BX7137" s="214" t="e">
        <f t="shared" si="238"/>
        <v>#DIV/0!</v>
      </c>
      <c r="BY7137" s="215">
        <f t="shared" si="239"/>
        <v>0</v>
      </c>
    </row>
    <row r="7138" spans="76:77" x14ac:dyDescent="0.2">
      <c r="BX7138" s="214" t="e">
        <f t="shared" si="238"/>
        <v>#DIV/0!</v>
      </c>
      <c r="BY7138" s="215">
        <f t="shared" si="239"/>
        <v>0</v>
      </c>
    </row>
    <row r="7139" spans="76:77" x14ac:dyDescent="0.2">
      <c r="BX7139" s="214" t="e">
        <f t="shared" si="238"/>
        <v>#DIV/0!</v>
      </c>
      <c r="BY7139" s="215">
        <f t="shared" si="239"/>
        <v>0</v>
      </c>
    </row>
    <row r="7140" spans="76:77" x14ac:dyDescent="0.2">
      <c r="BX7140" s="214" t="e">
        <f t="shared" si="238"/>
        <v>#DIV/0!</v>
      </c>
      <c r="BY7140" s="215">
        <f t="shared" si="239"/>
        <v>0</v>
      </c>
    </row>
    <row r="7141" spans="76:77" x14ac:dyDescent="0.2">
      <c r="BX7141" s="214" t="e">
        <f t="shared" si="238"/>
        <v>#DIV/0!</v>
      </c>
      <c r="BY7141" s="215">
        <f t="shared" si="239"/>
        <v>0</v>
      </c>
    </row>
    <row r="7142" spans="76:77" x14ac:dyDescent="0.2">
      <c r="BX7142" s="214" t="e">
        <f t="shared" si="238"/>
        <v>#DIV/0!</v>
      </c>
      <c r="BY7142" s="215">
        <f t="shared" si="239"/>
        <v>0</v>
      </c>
    </row>
    <row r="7143" spans="76:77" x14ac:dyDescent="0.2">
      <c r="BX7143" s="214" t="e">
        <f t="shared" si="238"/>
        <v>#DIV/0!</v>
      </c>
      <c r="BY7143" s="215">
        <f t="shared" si="239"/>
        <v>0</v>
      </c>
    </row>
    <row r="7144" spans="76:77" x14ac:dyDescent="0.2">
      <c r="BX7144" s="214" t="e">
        <f t="shared" si="238"/>
        <v>#DIV/0!</v>
      </c>
      <c r="BY7144" s="215">
        <f t="shared" si="239"/>
        <v>0</v>
      </c>
    </row>
    <row r="7145" spans="76:77" x14ac:dyDescent="0.2">
      <c r="BX7145" s="214" t="e">
        <f t="shared" si="238"/>
        <v>#DIV/0!</v>
      </c>
      <c r="BY7145" s="215">
        <f t="shared" si="239"/>
        <v>0</v>
      </c>
    </row>
    <row r="7146" spans="76:77" x14ac:dyDescent="0.2">
      <c r="BX7146" s="214" t="e">
        <f t="shared" si="238"/>
        <v>#DIV/0!</v>
      </c>
      <c r="BY7146" s="215">
        <f t="shared" si="239"/>
        <v>0</v>
      </c>
    </row>
    <row r="7147" spans="76:77" x14ac:dyDescent="0.2">
      <c r="BX7147" s="214" t="e">
        <f t="shared" si="238"/>
        <v>#DIV/0!</v>
      </c>
      <c r="BY7147" s="215">
        <f t="shared" si="239"/>
        <v>0</v>
      </c>
    </row>
    <row r="7148" spans="76:77" x14ac:dyDescent="0.2">
      <c r="BX7148" s="214" t="e">
        <f t="shared" si="238"/>
        <v>#DIV/0!</v>
      </c>
      <c r="BY7148" s="215">
        <f t="shared" si="239"/>
        <v>0</v>
      </c>
    </row>
    <row r="7149" spans="76:77" x14ac:dyDescent="0.2">
      <c r="BX7149" s="214" t="e">
        <f t="shared" si="238"/>
        <v>#DIV/0!</v>
      </c>
      <c r="BY7149" s="215">
        <f t="shared" si="239"/>
        <v>0</v>
      </c>
    </row>
    <row r="7150" spans="76:77" x14ac:dyDescent="0.2">
      <c r="BX7150" s="214" t="e">
        <f t="shared" si="238"/>
        <v>#DIV/0!</v>
      </c>
      <c r="BY7150" s="215">
        <f t="shared" si="239"/>
        <v>0</v>
      </c>
    </row>
    <row r="7151" spans="76:77" x14ac:dyDescent="0.2">
      <c r="BX7151" s="214" t="e">
        <f t="shared" si="238"/>
        <v>#DIV/0!</v>
      </c>
      <c r="BY7151" s="215">
        <f t="shared" si="239"/>
        <v>0</v>
      </c>
    </row>
    <row r="7152" spans="76:77" x14ac:dyDescent="0.2">
      <c r="BX7152" s="214" t="e">
        <f t="shared" si="238"/>
        <v>#DIV/0!</v>
      </c>
      <c r="BY7152" s="215">
        <f t="shared" si="239"/>
        <v>0</v>
      </c>
    </row>
    <row r="7153" spans="76:77" x14ac:dyDescent="0.2">
      <c r="BX7153" s="214" t="e">
        <f t="shared" si="238"/>
        <v>#DIV/0!</v>
      </c>
      <c r="BY7153" s="215">
        <f t="shared" si="239"/>
        <v>0</v>
      </c>
    </row>
    <row r="7154" spans="76:77" x14ac:dyDescent="0.2">
      <c r="BX7154" s="214" t="e">
        <f t="shared" si="238"/>
        <v>#DIV/0!</v>
      </c>
      <c r="BY7154" s="215">
        <f t="shared" si="239"/>
        <v>0</v>
      </c>
    </row>
    <row r="7155" spans="76:77" x14ac:dyDescent="0.2">
      <c r="BX7155" s="214" t="e">
        <f t="shared" si="238"/>
        <v>#DIV/0!</v>
      </c>
      <c r="BY7155" s="215">
        <f t="shared" si="239"/>
        <v>0</v>
      </c>
    </row>
    <row r="7156" spans="76:77" x14ac:dyDescent="0.2">
      <c r="BX7156" s="214" t="e">
        <f t="shared" si="238"/>
        <v>#DIV/0!</v>
      </c>
      <c r="BY7156" s="215">
        <f t="shared" si="239"/>
        <v>0</v>
      </c>
    </row>
    <row r="7157" spans="76:77" x14ac:dyDescent="0.2">
      <c r="BX7157" s="214" t="e">
        <f t="shared" si="238"/>
        <v>#DIV/0!</v>
      </c>
      <c r="BY7157" s="215">
        <f t="shared" si="239"/>
        <v>0</v>
      </c>
    </row>
    <row r="7158" spans="76:77" x14ac:dyDescent="0.2">
      <c r="BX7158" s="214" t="e">
        <f t="shared" si="238"/>
        <v>#DIV/0!</v>
      </c>
      <c r="BY7158" s="215">
        <f t="shared" si="239"/>
        <v>0</v>
      </c>
    </row>
    <row r="7159" spans="76:77" x14ac:dyDescent="0.2">
      <c r="BX7159" s="214" t="e">
        <f t="shared" si="238"/>
        <v>#DIV/0!</v>
      </c>
      <c r="BY7159" s="215">
        <f t="shared" si="239"/>
        <v>0</v>
      </c>
    </row>
    <row r="7160" spans="76:77" x14ac:dyDescent="0.2">
      <c r="BX7160" s="214" t="e">
        <f t="shared" si="238"/>
        <v>#DIV/0!</v>
      </c>
      <c r="BY7160" s="215">
        <f t="shared" si="239"/>
        <v>0</v>
      </c>
    </row>
    <row r="7161" spans="76:77" x14ac:dyDescent="0.2">
      <c r="BX7161" s="214" t="e">
        <f t="shared" si="238"/>
        <v>#DIV/0!</v>
      </c>
      <c r="BY7161" s="215">
        <f t="shared" si="239"/>
        <v>0</v>
      </c>
    </row>
    <row r="7162" spans="76:77" x14ac:dyDescent="0.2">
      <c r="BX7162" s="214" t="e">
        <f t="shared" si="238"/>
        <v>#DIV/0!</v>
      </c>
      <c r="BY7162" s="215">
        <f t="shared" si="239"/>
        <v>0</v>
      </c>
    </row>
    <row r="7163" spans="76:77" x14ac:dyDescent="0.2">
      <c r="BX7163" s="214" t="e">
        <f t="shared" si="238"/>
        <v>#DIV/0!</v>
      </c>
      <c r="BY7163" s="215">
        <f t="shared" si="239"/>
        <v>0</v>
      </c>
    </row>
    <row r="7164" spans="76:77" x14ac:dyDescent="0.2">
      <c r="BX7164" s="214" t="e">
        <f t="shared" si="238"/>
        <v>#DIV/0!</v>
      </c>
      <c r="BY7164" s="215">
        <f t="shared" si="239"/>
        <v>0</v>
      </c>
    </row>
    <row r="7165" spans="76:77" x14ac:dyDescent="0.2">
      <c r="BX7165" s="214" t="e">
        <f t="shared" si="238"/>
        <v>#DIV/0!</v>
      </c>
      <c r="BY7165" s="215">
        <f t="shared" si="239"/>
        <v>0</v>
      </c>
    </row>
    <row r="7166" spans="76:77" x14ac:dyDescent="0.2">
      <c r="BX7166" s="214" t="e">
        <f t="shared" si="238"/>
        <v>#DIV/0!</v>
      </c>
      <c r="BY7166" s="215">
        <f t="shared" si="239"/>
        <v>0</v>
      </c>
    </row>
    <row r="7167" spans="76:77" x14ac:dyDescent="0.2">
      <c r="BX7167" s="214" t="e">
        <f t="shared" si="238"/>
        <v>#DIV/0!</v>
      </c>
      <c r="BY7167" s="215">
        <f t="shared" si="239"/>
        <v>0</v>
      </c>
    </row>
    <row r="7168" spans="76:77" x14ac:dyDescent="0.2">
      <c r="BX7168" s="214" t="e">
        <f t="shared" si="238"/>
        <v>#DIV/0!</v>
      </c>
      <c r="BY7168" s="215">
        <f t="shared" si="239"/>
        <v>0</v>
      </c>
    </row>
    <row r="7169" spans="76:77" x14ac:dyDescent="0.2">
      <c r="BX7169" s="214" t="e">
        <f t="shared" si="238"/>
        <v>#DIV/0!</v>
      </c>
      <c r="BY7169" s="215">
        <f t="shared" si="239"/>
        <v>0</v>
      </c>
    </row>
    <row r="7170" spans="76:77" x14ac:dyDescent="0.2">
      <c r="BX7170" s="214" t="e">
        <f t="shared" si="238"/>
        <v>#DIV/0!</v>
      </c>
      <c r="BY7170" s="215">
        <f t="shared" si="239"/>
        <v>0</v>
      </c>
    </row>
    <row r="7171" spans="76:77" x14ac:dyDescent="0.2">
      <c r="BX7171" s="214" t="e">
        <f t="shared" si="238"/>
        <v>#DIV/0!</v>
      </c>
      <c r="BY7171" s="215">
        <f t="shared" si="239"/>
        <v>0</v>
      </c>
    </row>
    <row r="7172" spans="76:77" x14ac:dyDescent="0.2">
      <c r="BX7172" s="214" t="e">
        <f t="shared" si="238"/>
        <v>#DIV/0!</v>
      </c>
      <c r="BY7172" s="215">
        <f t="shared" si="239"/>
        <v>0</v>
      </c>
    </row>
    <row r="7173" spans="76:77" x14ac:dyDescent="0.2">
      <c r="BX7173" s="214" t="e">
        <f t="shared" si="238"/>
        <v>#DIV/0!</v>
      </c>
      <c r="BY7173" s="215">
        <f t="shared" si="239"/>
        <v>0</v>
      </c>
    </row>
    <row r="7174" spans="76:77" x14ac:dyDescent="0.2">
      <c r="BX7174" s="214" t="e">
        <f t="shared" si="238"/>
        <v>#DIV/0!</v>
      </c>
      <c r="BY7174" s="215">
        <f t="shared" si="239"/>
        <v>0</v>
      </c>
    </row>
    <row r="7175" spans="76:77" x14ac:dyDescent="0.2">
      <c r="BX7175" s="214" t="e">
        <f t="shared" si="238"/>
        <v>#DIV/0!</v>
      </c>
      <c r="BY7175" s="215">
        <f t="shared" si="239"/>
        <v>0</v>
      </c>
    </row>
    <row r="7176" spans="76:77" x14ac:dyDescent="0.2">
      <c r="BX7176" s="214" t="e">
        <f t="shared" si="238"/>
        <v>#DIV/0!</v>
      </c>
      <c r="BY7176" s="215">
        <f t="shared" si="239"/>
        <v>0</v>
      </c>
    </row>
    <row r="7177" spans="76:77" x14ac:dyDescent="0.2">
      <c r="BX7177" s="214" t="e">
        <f t="shared" si="238"/>
        <v>#DIV/0!</v>
      </c>
      <c r="BY7177" s="215">
        <f t="shared" si="239"/>
        <v>0</v>
      </c>
    </row>
    <row r="7178" spans="76:77" x14ac:dyDescent="0.2">
      <c r="BX7178" s="214" t="e">
        <f t="shared" si="238"/>
        <v>#DIV/0!</v>
      </c>
      <c r="BY7178" s="215">
        <f t="shared" si="239"/>
        <v>0</v>
      </c>
    </row>
    <row r="7179" spans="76:77" x14ac:dyDescent="0.2">
      <c r="BX7179" s="214" t="e">
        <f t="shared" si="238"/>
        <v>#DIV/0!</v>
      </c>
      <c r="BY7179" s="215">
        <f t="shared" si="239"/>
        <v>0</v>
      </c>
    </row>
    <row r="7180" spans="76:77" x14ac:dyDescent="0.2">
      <c r="BX7180" s="214" t="e">
        <f t="shared" si="238"/>
        <v>#DIV/0!</v>
      </c>
      <c r="BY7180" s="215">
        <f t="shared" si="239"/>
        <v>0</v>
      </c>
    </row>
    <row r="7181" spans="76:77" x14ac:dyDescent="0.2">
      <c r="BX7181" s="214" t="e">
        <f t="shared" ref="BX7181:BX7244" si="240">BY7181/BV7181</f>
        <v>#DIV/0!</v>
      </c>
      <c r="BY7181" s="215">
        <f t="shared" si="239"/>
        <v>0</v>
      </c>
    </row>
    <row r="7182" spans="76:77" x14ac:dyDescent="0.2">
      <c r="BX7182" s="214" t="e">
        <f t="shared" si="240"/>
        <v>#DIV/0!</v>
      </c>
      <c r="BY7182" s="215">
        <f t="shared" ref="BY7182:BY7245" si="241">BY7181+BW7182*(BV7182-BV7181)</f>
        <v>0</v>
      </c>
    </row>
    <row r="7183" spans="76:77" x14ac:dyDescent="0.2">
      <c r="BX7183" s="214" t="e">
        <f t="shared" si="240"/>
        <v>#DIV/0!</v>
      </c>
      <c r="BY7183" s="215">
        <f t="shared" si="241"/>
        <v>0</v>
      </c>
    </row>
    <row r="7184" spans="76:77" x14ac:dyDescent="0.2">
      <c r="BX7184" s="214" t="e">
        <f t="shared" si="240"/>
        <v>#DIV/0!</v>
      </c>
      <c r="BY7184" s="215">
        <f t="shared" si="241"/>
        <v>0</v>
      </c>
    </row>
    <row r="7185" spans="76:77" x14ac:dyDescent="0.2">
      <c r="BX7185" s="214" t="e">
        <f t="shared" si="240"/>
        <v>#DIV/0!</v>
      </c>
      <c r="BY7185" s="215">
        <f t="shared" si="241"/>
        <v>0</v>
      </c>
    </row>
    <row r="7186" spans="76:77" x14ac:dyDescent="0.2">
      <c r="BX7186" s="214" t="e">
        <f t="shared" si="240"/>
        <v>#DIV/0!</v>
      </c>
      <c r="BY7186" s="215">
        <f t="shared" si="241"/>
        <v>0</v>
      </c>
    </row>
    <row r="7187" spans="76:77" x14ac:dyDescent="0.2">
      <c r="BX7187" s="214" t="e">
        <f t="shared" si="240"/>
        <v>#DIV/0!</v>
      </c>
      <c r="BY7187" s="215">
        <f t="shared" si="241"/>
        <v>0</v>
      </c>
    </row>
    <row r="7188" spans="76:77" x14ac:dyDescent="0.2">
      <c r="BX7188" s="214" t="e">
        <f t="shared" si="240"/>
        <v>#DIV/0!</v>
      </c>
      <c r="BY7188" s="215">
        <f t="shared" si="241"/>
        <v>0</v>
      </c>
    </row>
    <row r="7189" spans="76:77" x14ac:dyDescent="0.2">
      <c r="BX7189" s="214" t="e">
        <f t="shared" si="240"/>
        <v>#DIV/0!</v>
      </c>
      <c r="BY7189" s="215">
        <f t="shared" si="241"/>
        <v>0</v>
      </c>
    </row>
    <row r="7190" spans="76:77" x14ac:dyDescent="0.2">
      <c r="BX7190" s="214" t="e">
        <f t="shared" si="240"/>
        <v>#DIV/0!</v>
      </c>
      <c r="BY7190" s="215">
        <f t="shared" si="241"/>
        <v>0</v>
      </c>
    </row>
    <row r="7191" spans="76:77" x14ac:dyDescent="0.2">
      <c r="BX7191" s="214" t="e">
        <f t="shared" si="240"/>
        <v>#DIV/0!</v>
      </c>
      <c r="BY7191" s="215">
        <f t="shared" si="241"/>
        <v>0</v>
      </c>
    </row>
    <row r="7192" spans="76:77" x14ac:dyDescent="0.2">
      <c r="BX7192" s="214" t="e">
        <f t="shared" si="240"/>
        <v>#DIV/0!</v>
      </c>
      <c r="BY7192" s="215">
        <f t="shared" si="241"/>
        <v>0</v>
      </c>
    </row>
    <row r="7193" spans="76:77" x14ac:dyDescent="0.2">
      <c r="BX7193" s="214" t="e">
        <f t="shared" si="240"/>
        <v>#DIV/0!</v>
      </c>
      <c r="BY7193" s="215">
        <f t="shared" si="241"/>
        <v>0</v>
      </c>
    </row>
    <row r="7194" spans="76:77" x14ac:dyDescent="0.2">
      <c r="BX7194" s="214" t="e">
        <f t="shared" si="240"/>
        <v>#DIV/0!</v>
      </c>
      <c r="BY7194" s="215">
        <f t="shared" si="241"/>
        <v>0</v>
      </c>
    </row>
    <row r="7195" spans="76:77" x14ac:dyDescent="0.2">
      <c r="BX7195" s="214" t="e">
        <f t="shared" si="240"/>
        <v>#DIV/0!</v>
      </c>
      <c r="BY7195" s="215">
        <f t="shared" si="241"/>
        <v>0</v>
      </c>
    </row>
    <row r="7196" spans="76:77" x14ac:dyDescent="0.2">
      <c r="BX7196" s="214" t="e">
        <f t="shared" si="240"/>
        <v>#DIV/0!</v>
      </c>
      <c r="BY7196" s="215">
        <f t="shared" si="241"/>
        <v>0</v>
      </c>
    </row>
    <row r="7197" spans="76:77" x14ac:dyDescent="0.2">
      <c r="BX7197" s="214" t="e">
        <f t="shared" si="240"/>
        <v>#DIV/0!</v>
      </c>
      <c r="BY7197" s="215">
        <f t="shared" si="241"/>
        <v>0</v>
      </c>
    </row>
    <row r="7198" spans="76:77" x14ac:dyDescent="0.2">
      <c r="BX7198" s="214" t="e">
        <f t="shared" si="240"/>
        <v>#DIV/0!</v>
      </c>
      <c r="BY7198" s="215">
        <f t="shared" si="241"/>
        <v>0</v>
      </c>
    </row>
    <row r="7199" spans="76:77" x14ac:dyDescent="0.2">
      <c r="BX7199" s="214" t="e">
        <f t="shared" si="240"/>
        <v>#DIV/0!</v>
      </c>
      <c r="BY7199" s="215">
        <f t="shared" si="241"/>
        <v>0</v>
      </c>
    </row>
    <row r="7200" spans="76:77" x14ac:dyDescent="0.2">
      <c r="BX7200" s="214" t="e">
        <f t="shared" si="240"/>
        <v>#DIV/0!</v>
      </c>
      <c r="BY7200" s="215">
        <f t="shared" si="241"/>
        <v>0</v>
      </c>
    </row>
    <row r="7201" spans="76:77" x14ac:dyDescent="0.2">
      <c r="BX7201" s="214" t="e">
        <f t="shared" si="240"/>
        <v>#DIV/0!</v>
      </c>
      <c r="BY7201" s="215">
        <f t="shared" si="241"/>
        <v>0</v>
      </c>
    </row>
    <row r="7202" spans="76:77" x14ac:dyDescent="0.2">
      <c r="BX7202" s="214" t="e">
        <f t="shared" si="240"/>
        <v>#DIV/0!</v>
      </c>
      <c r="BY7202" s="215">
        <f t="shared" si="241"/>
        <v>0</v>
      </c>
    </row>
    <row r="7203" spans="76:77" x14ac:dyDescent="0.2">
      <c r="BX7203" s="214" t="e">
        <f t="shared" si="240"/>
        <v>#DIV/0!</v>
      </c>
      <c r="BY7203" s="215">
        <f t="shared" si="241"/>
        <v>0</v>
      </c>
    </row>
    <row r="7204" spans="76:77" x14ac:dyDescent="0.2">
      <c r="BX7204" s="214" t="e">
        <f t="shared" si="240"/>
        <v>#DIV/0!</v>
      </c>
      <c r="BY7204" s="215">
        <f t="shared" si="241"/>
        <v>0</v>
      </c>
    </row>
    <row r="7205" spans="76:77" x14ac:dyDescent="0.2">
      <c r="BX7205" s="214" t="e">
        <f t="shared" si="240"/>
        <v>#DIV/0!</v>
      </c>
      <c r="BY7205" s="215">
        <f t="shared" si="241"/>
        <v>0</v>
      </c>
    </row>
    <row r="7206" spans="76:77" x14ac:dyDescent="0.2">
      <c r="BX7206" s="214" t="e">
        <f t="shared" si="240"/>
        <v>#DIV/0!</v>
      </c>
      <c r="BY7206" s="215">
        <f t="shared" si="241"/>
        <v>0</v>
      </c>
    </row>
    <row r="7207" spans="76:77" x14ac:dyDescent="0.2">
      <c r="BX7207" s="214" t="e">
        <f t="shared" si="240"/>
        <v>#DIV/0!</v>
      </c>
      <c r="BY7207" s="215">
        <f t="shared" si="241"/>
        <v>0</v>
      </c>
    </row>
    <row r="7208" spans="76:77" x14ac:dyDescent="0.2">
      <c r="BX7208" s="214" t="e">
        <f t="shared" si="240"/>
        <v>#DIV/0!</v>
      </c>
      <c r="BY7208" s="215">
        <f t="shared" si="241"/>
        <v>0</v>
      </c>
    </row>
    <row r="7209" spans="76:77" x14ac:dyDescent="0.2">
      <c r="BX7209" s="214" t="e">
        <f t="shared" si="240"/>
        <v>#DIV/0!</v>
      </c>
      <c r="BY7209" s="215">
        <f t="shared" si="241"/>
        <v>0</v>
      </c>
    </row>
    <row r="7210" spans="76:77" x14ac:dyDescent="0.2">
      <c r="BX7210" s="214" t="e">
        <f t="shared" si="240"/>
        <v>#DIV/0!</v>
      </c>
      <c r="BY7210" s="215">
        <f t="shared" si="241"/>
        <v>0</v>
      </c>
    </row>
    <row r="7211" spans="76:77" x14ac:dyDescent="0.2">
      <c r="BX7211" s="214" t="e">
        <f t="shared" si="240"/>
        <v>#DIV/0!</v>
      </c>
      <c r="BY7211" s="215">
        <f t="shared" si="241"/>
        <v>0</v>
      </c>
    </row>
    <row r="7212" spans="76:77" x14ac:dyDescent="0.2">
      <c r="BX7212" s="214" t="e">
        <f t="shared" si="240"/>
        <v>#DIV/0!</v>
      </c>
      <c r="BY7212" s="215">
        <f t="shared" si="241"/>
        <v>0</v>
      </c>
    </row>
    <row r="7213" spans="76:77" x14ac:dyDescent="0.2">
      <c r="BX7213" s="214" t="e">
        <f t="shared" si="240"/>
        <v>#DIV/0!</v>
      </c>
      <c r="BY7213" s="215">
        <f t="shared" si="241"/>
        <v>0</v>
      </c>
    </row>
    <row r="7214" spans="76:77" x14ac:dyDescent="0.2">
      <c r="BX7214" s="214" t="e">
        <f t="shared" si="240"/>
        <v>#DIV/0!</v>
      </c>
      <c r="BY7214" s="215">
        <f t="shared" si="241"/>
        <v>0</v>
      </c>
    </row>
    <row r="7215" spans="76:77" x14ac:dyDescent="0.2">
      <c r="BX7215" s="214" t="e">
        <f t="shared" si="240"/>
        <v>#DIV/0!</v>
      </c>
      <c r="BY7215" s="215">
        <f t="shared" si="241"/>
        <v>0</v>
      </c>
    </row>
    <row r="7216" spans="76:77" x14ac:dyDescent="0.2">
      <c r="BX7216" s="214" t="e">
        <f t="shared" si="240"/>
        <v>#DIV/0!</v>
      </c>
      <c r="BY7216" s="215">
        <f t="shared" si="241"/>
        <v>0</v>
      </c>
    </row>
    <row r="7217" spans="76:77" x14ac:dyDescent="0.2">
      <c r="BX7217" s="214" t="e">
        <f t="shared" si="240"/>
        <v>#DIV/0!</v>
      </c>
      <c r="BY7217" s="215">
        <f t="shared" si="241"/>
        <v>0</v>
      </c>
    </row>
    <row r="7218" spans="76:77" x14ac:dyDescent="0.2">
      <c r="BX7218" s="214" t="e">
        <f t="shared" si="240"/>
        <v>#DIV/0!</v>
      </c>
      <c r="BY7218" s="215">
        <f t="shared" si="241"/>
        <v>0</v>
      </c>
    </row>
    <row r="7219" spans="76:77" x14ac:dyDescent="0.2">
      <c r="BX7219" s="214" t="e">
        <f t="shared" si="240"/>
        <v>#DIV/0!</v>
      </c>
      <c r="BY7219" s="215">
        <f t="shared" si="241"/>
        <v>0</v>
      </c>
    </row>
    <row r="7220" spans="76:77" x14ac:dyDescent="0.2">
      <c r="BX7220" s="214" t="e">
        <f t="shared" si="240"/>
        <v>#DIV/0!</v>
      </c>
      <c r="BY7220" s="215">
        <f t="shared" si="241"/>
        <v>0</v>
      </c>
    </row>
    <row r="7221" spans="76:77" x14ac:dyDescent="0.2">
      <c r="BX7221" s="214" t="e">
        <f t="shared" si="240"/>
        <v>#DIV/0!</v>
      </c>
      <c r="BY7221" s="215">
        <f t="shared" si="241"/>
        <v>0</v>
      </c>
    </row>
    <row r="7222" spans="76:77" x14ac:dyDescent="0.2">
      <c r="BX7222" s="214" t="e">
        <f t="shared" si="240"/>
        <v>#DIV/0!</v>
      </c>
      <c r="BY7222" s="215">
        <f t="shared" si="241"/>
        <v>0</v>
      </c>
    </row>
    <row r="7223" spans="76:77" x14ac:dyDescent="0.2">
      <c r="BX7223" s="214" t="e">
        <f t="shared" si="240"/>
        <v>#DIV/0!</v>
      </c>
      <c r="BY7223" s="215">
        <f t="shared" si="241"/>
        <v>0</v>
      </c>
    </row>
    <row r="7224" spans="76:77" x14ac:dyDescent="0.2">
      <c r="BX7224" s="214" t="e">
        <f t="shared" si="240"/>
        <v>#DIV/0!</v>
      </c>
      <c r="BY7224" s="215">
        <f t="shared" si="241"/>
        <v>0</v>
      </c>
    </row>
    <row r="7225" spans="76:77" x14ac:dyDescent="0.2">
      <c r="BX7225" s="214" t="e">
        <f t="shared" si="240"/>
        <v>#DIV/0!</v>
      </c>
      <c r="BY7225" s="215">
        <f t="shared" si="241"/>
        <v>0</v>
      </c>
    </row>
    <row r="7226" spans="76:77" x14ac:dyDescent="0.2">
      <c r="BX7226" s="214" t="e">
        <f t="shared" si="240"/>
        <v>#DIV/0!</v>
      </c>
      <c r="BY7226" s="215">
        <f t="shared" si="241"/>
        <v>0</v>
      </c>
    </row>
    <row r="7227" spans="76:77" x14ac:dyDescent="0.2">
      <c r="BX7227" s="214" t="e">
        <f t="shared" si="240"/>
        <v>#DIV/0!</v>
      </c>
      <c r="BY7227" s="215">
        <f t="shared" si="241"/>
        <v>0</v>
      </c>
    </row>
    <row r="7228" spans="76:77" x14ac:dyDescent="0.2">
      <c r="BX7228" s="214" t="e">
        <f t="shared" si="240"/>
        <v>#DIV/0!</v>
      </c>
      <c r="BY7228" s="215">
        <f t="shared" si="241"/>
        <v>0</v>
      </c>
    </row>
    <row r="7229" spans="76:77" x14ac:dyDescent="0.2">
      <c r="BX7229" s="214" t="e">
        <f t="shared" si="240"/>
        <v>#DIV/0!</v>
      </c>
      <c r="BY7229" s="215">
        <f t="shared" si="241"/>
        <v>0</v>
      </c>
    </row>
    <row r="7230" spans="76:77" x14ac:dyDescent="0.2">
      <c r="BX7230" s="214" t="e">
        <f t="shared" si="240"/>
        <v>#DIV/0!</v>
      </c>
      <c r="BY7230" s="215">
        <f t="shared" si="241"/>
        <v>0</v>
      </c>
    </row>
    <row r="7231" spans="76:77" x14ac:dyDescent="0.2">
      <c r="BX7231" s="214" t="e">
        <f t="shared" si="240"/>
        <v>#DIV/0!</v>
      </c>
      <c r="BY7231" s="215">
        <f t="shared" si="241"/>
        <v>0</v>
      </c>
    </row>
    <row r="7232" spans="76:77" x14ac:dyDescent="0.2">
      <c r="BX7232" s="214" t="e">
        <f t="shared" si="240"/>
        <v>#DIV/0!</v>
      </c>
      <c r="BY7232" s="215">
        <f t="shared" si="241"/>
        <v>0</v>
      </c>
    </row>
    <row r="7233" spans="76:77" x14ac:dyDescent="0.2">
      <c r="BX7233" s="214" t="e">
        <f t="shared" si="240"/>
        <v>#DIV/0!</v>
      </c>
      <c r="BY7233" s="215">
        <f t="shared" si="241"/>
        <v>0</v>
      </c>
    </row>
    <row r="7234" spans="76:77" x14ac:dyDescent="0.2">
      <c r="BX7234" s="214" t="e">
        <f t="shared" si="240"/>
        <v>#DIV/0!</v>
      </c>
      <c r="BY7234" s="215">
        <f t="shared" si="241"/>
        <v>0</v>
      </c>
    </row>
    <row r="7235" spans="76:77" x14ac:dyDescent="0.2">
      <c r="BX7235" s="214" t="e">
        <f t="shared" si="240"/>
        <v>#DIV/0!</v>
      </c>
      <c r="BY7235" s="215">
        <f t="shared" si="241"/>
        <v>0</v>
      </c>
    </row>
    <row r="7236" spans="76:77" x14ac:dyDescent="0.2">
      <c r="BX7236" s="214" t="e">
        <f t="shared" si="240"/>
        <v>#DIV/0!</v>
      </c>
      <c r="BY7236" s="215">
        <f t="shared" si="241"/>
        <v>0</v>
      </c>
    </row>
    <row r="7237" spans="76:77" x14ac:dyDescent="0.2">
      <c r="BX7237" s="214" t="e">
        <f t="shared" si="240"/>
        <v>#DIV/0!</v>
      </c>
      <c r="BY7237" s="215">
        <f t="shared" si="241"/>
        <v>0</v>
      </c>
    </row>
    <row r="7238" spans="76:77" x14ac:dyDescent="0.2">
      <c r="BX7238" s="214" t="e">
        <f t="shared" si="240"/>
        <v>#DIV/0!</v>
      </c>
      <c r="BY7238" s="215">
        <f t="shared" si="241"/>
        <v>0</v>
      </c>
    </row>
    <row r="7239" spans="76:77" x14ac:dyDescent="0.2">
      <c r="BX7239" s="214" t="e">
        <f t="shared" si="240"/>
        <v>#DIV/0!</v>
      </c>
      <c r="BY7239" s="215">
        <f t="shared" si="241"/>
        <v>0</v>
      </c>
    </row>
    <row r="7240" spans="76:77" x14ac:dyDescent="0.2">
      <c r="BX7240" s="214" t="e">
        <f t="shared" si="240"/>
        <v>#DIV/0!</v>
      </c>
      <c r="BY7240" s="215">
        <f t="shared" si="241"/>
        <v>0</v>
      </c>
    </row>
    <row r="7241" spans="76:77" x14ac:dyDescent="0.2">
      <c r="BX7241" s="214" t="e">
        <f t="shared" si="240"/>
        <v>#DIV/0!</v>
      </c>
      <c r="BY7241" s="215">
        <f t="shared" si="241"/>
        <v>0</v>
      </c>
    </row>
    <row r="7242" spans="76:77" x14ac:dyDescent="0.2">
      <c r="BX7242" s="214" t="e">
        <f t="shared" si="240"/>
        <v>#DIV/0!</v>
      </c>
      <c r="BY7242" s="215">
        <f t="shared" si="241"/>
        <v>0</v>
      </c>
    </row>
    <row r="7243" spans="76:77" x14ac:dyDescent="0.2">
      <c r="BX7243" s="214" t="e">
        <f t="shared" si="240"/>
        <v>#DIV/0!</v>
      </c>
      <c r="BY7243" s="215">
        <f t="shared" si="241"/>
        <v>0</v>
      </c>
    </row>
    <row r="7244" spans="76:77" x14ac:dyDescent="0.2">
      <c r="BX7244" s="214" t="e">
        <f t="shared" si="240"/>
        <v>#DIV/0!</v>
      </c>
      <c r="BY7244" s="215">
        <f t="shared" si="241"/>
        <v>0</v>
      </c>
    </row>
    <row r="7245" spans="76:77" x14ac:dyDescent="0.2">
      <c r="BX7245" s="214" t="e">
        <f t="shared" ref="BX7245:BX7308" si="242">BY7245/BV7245</f>
        <v>#DIV/0!</v>
      </c>
      <c r="BY7245" s="215">
        <f t="shared" si="241"/>
        <v>0</v>
      </c>
    </row>
    <row r="7246" spans="76:77" x14ac:dyDescent="0.2">
      <c r="BX7246" s="214" t="e">
        <f t="shared" si="242"/>
        <v>#DIV/0!</v>
      </c>
      <c r="BY7246" s="215">
        <f t="shared" ref="BY7246:BY7309" si="243">BY7245+BW7246*(BV7246-BV7245)</f>
        <v>0</v>
      </c>
    </row>
    <row r="7247" spans="76:77" x14ac:dyDescent="0.2">
      <c r="BX7247" s="214" t="e">
        <f t="shared" si="242"/>
        <v>#DIV/0!</v>
      </c>
      <c r="BY7247" s="215">
        <f t="shared" si="243"/>
        <v>0</v>
      </c>
    </row>
    <row r="7248" spans="76:77" x14ac:dyDescent="0.2">
      <c r="BX7248" s="214" t="e">
        <f t="shared" si="242"/>
        <v>#DIV/0!</v>
      </c>
      <c r="BY7248" s="215">
        <f t="shared" si="243"/>
        <v>0</v>
      </c>
    </row>
    <row r="7249" spans="76:77" x14ac:dyDescent="0.2">
      <c r="BX7249" s="214" t="e">
        <f t="shared" si="242"/>
        <v>#DIV/0!</v>
      </c>
      <c r="BY7249" s="215">
        <f t="shared" si="243"/>
        <v>0</v>
      </c>
    </row>
    <row r="7250" spans="76:77" x14ac:dyDescent="0.2">
      <c r="BX7250" s="214" t="e">
        <f t="shared" si="242"/>
        <v>#DIV/0!</v>
      </c>
      <c r="BY7250" s="215">
        <f t="shared" si="243"/>
        <v>0</v>
      </c>
    </row>
    <row r="7251" spans="76:77" x14ac:dyDescent="0.2">
      <c r="BX7251" s="214" t="e">
        <f t="shared" si="242"/>
        <v>#DIV/0!</v>
      </c>
      <c r="BY7251" s="215">
        <f t="shared" si="243"/>
        <v>0</v>
      </c>
    </row>
    <row r="7252" spans="76:77" x14ac:dyDescent="0.2">
      <c r="BX7252" s="214" t="e">
        <f t="shared" si="242"/>
        <v>#DIV/0!</v>
      </c>
      <c r="BY7252" s="215">
        <f t="shared" si="243"/>
        <v>0</v>
      </c>
    </row>
    <row r="7253" spans="76:77" x14ac:dyDescent="0.2">
      <c r="BX7253" s="214" t="e">
        <f t="shared" si="242"/>
        <v>#DIV/0!</v>
      </c>
      <c r="BY7253" s="215">
        <f t="shared" si="243"/>
        <v>0</v>
      </c>
    </row>
    <row r="7254" spans="76:77" x14ac:dyDescent="0.2">
      <c r="BX7254" s="214" t="e">
        <f t="shared" si="242"/>
        <v>#DIV/0!</v>
      </c>
      <c r="BY7254" s="215">
        <f t="shared" si="243"/>
        <v>0</v>
      </c>
    </row>
    <row r="7255" spans="76:77" x14ac:dyDescent="0.2">
      <c r="BX7255" s="214" t="e">
        <f t="shared" si="242"/>
        <v>#DIV/0!</v>
      </c>
      <c r="BY7255" s="215">
        <f t="shared" si="243"/>
        <v>0</v>
      </c>
    </row>
    <row r="7256" spans="76:77" x14ac:dyDescent="0.2">
      <c r="BX7256" s="214" t="e">
        <f t="shared" si="242"/>
        <v>#DIV/0!</v>
      </c>
      <c r="BY7256" s="215">
        <f t="shared" si="243"/>
        <v>0</v>
      </c>
    </row>
    <row r="7257" spans="76:77" x14ac:dyDescent="0.2">
      <c r="BX7257" s="214" t="e">
        <f t="shared" si="242"/>
        <v>#DIV/0!</v>
      </c>
      <c r="BY7257" s="215">
        <f t="shared" si="243"/>
        <v>0</v>
      </c>
    </row>
    <row r="7258" spans="76:77" x14ac:dyDescent="0.2">
      <c r="BX7258" s="214" t="e">
        <f t="shared" si="242"/>
        <v>#DIV/0!</v>
      </c>
      <c r="BY7258" s="215">
        <f t="shared" si="243"/>
        <v>0</v>
      </c>
    </row>
    <row r="7259" spans="76:77" x14ac:dyDescent="0.2">
      <c r="BX7259" s="214" t="e">
        <f t="shared" si="242"/>
        <v>#DIV/0!</v>
      </c>
      <c r="BY7259" s="215">
        <f t="shared" si="243"/>
        <v>0</v>
      </c>
    </row>
    <row r="7260" spans="76:77" x14ac:dyDescent="0.2">
      <c r="BX7260" s="214" t="e">
        <f t="shared" si="242"/>
        <v>#DIV/0!</v>
      </c>
      <c r="BY7260" s="215">
        <f t="shared" si="243"/>
        <v>0</v>
      </c>
    </row>
    <row r="7261" spans="76:77" x14ac:dyDescent="0.2">
      <c r="BX7261" s="214" t="e">
        <f t="shared" si="242"/>
        <v>#DIV/0!</v>
      </c>
      <c r="BY7261" s="215">
        <f t="shared" si="243"/>
        <v>0</v>
      </c>
    </row>
    <row r="7262" spans="76:77" x14ac:dyDescent="0.2">
      <c r="BX7262" s="214" t="e">
        <f t="shared" si="242"/>
        <v>#DIV/0!</v>
      </c>
      <c r="BY7262" s="215">
        <f t="shared" si="243"/>
        <v>0</v>
      </c>
    </row>
    <row r="7263" spans="76:77" x14ac:dyDescent="0.2">
      <c r="BX7263" s="214" t="e">
        <f t="shared" si="242"/>
        <v>#DIV/0!</v>
      </c>
      <c r="BY7263" s="215">
        <f t="shared" si="243"/>
        <v>0</v>
      </c>
    </row>
    <row r="7264" spans="76:77" x14ac:dyDescent="0.2">
      <c r="BX7264" s="214" t="e">
        <f t="shared" si="242"/>
        <v>#DIV/0!</v>
      </c>
      <c r="BY7264" s="215">
        <f t="shared" si="243"/>
        <v>0</v>
      </c>
    </row>
    <row r="7265" spans="76:77" x14ac:dyDescent="0.2">
      <c r="BX7265" s="214" t="e">
        <f t="shared" si="242"/>
        <v>#DIV/0!</v>
      </c>
      <c r="BY7265" s="215">
        <f t="shared" si="243"/>
        <v>0</v>
      </c>
    </row>
    <row r="7266" spans="76:77" x14ac:dyDescent="0.2">
      <c r="BX7266" s="214" t="e">
        <f t="shared" si="242"/>
        <v>#DIV/0!</v>
      </c>
      <c r="BY7266" s="215">
        <f t="shared" si="243"/>
        <v>0</v>
      </c>
    </row>
    <row r="7267" spans="76:77" x14ac:dyDescent="0.2">
      <c r="BX7267" s="214" t="e">
        <f t="shared" si="242"/>
        <v>#DIV/0!</v>
      </c>
      <c r="BY7267" s="215">
        <f t="shared" si="243"/>
        <v>0</v>
      </c>
    </row>
    <row r="7268" spans="76:77" x14ac:dyDescent="0.2">
      <c r="BX7268" s="214" t="e">
        <f t="shared" si="242"/>
        <v>#DIV/0!</v>
      </c>
      <c r="BY7268" s="215">
        <f t="shared" si="243"/>
        <v>0</v>
      </c>
    </row>
    <row r="7269" spans="76:77" x14ac:dyDescent="0.2">
      <c r="BX7269" s="214" t="e">
        <f t="shared" si="242"/>
        <v>#DIV/0!</v>
      </c>
      <c r="BY7269" s="215">
        <f t="shared" si="243"/>
        <v>0</v>
      </c>
    </row>
    <row r="7270" spans="76:77" x14ac:dyDescent="0.2">
      <c r="BX7270" s="214" t="e">
        <f t="shared" si="242"/>
        <v>#DIV/0!</v>
      </c>
      <c r="BY7270" s="215">
        <f t="shared" si="243"/>
        <v>0</v>
      </c>
    </row>
    <row r="7271" spans="76:77" x14ac:dyDescent="0.2">
      <c r="BX7271" s="214" t="e">
        <f t="shared" si="242"/>
        <v>#DIV/0!</v>
      </c>
      <c r="BY7271" s="215">
        <f t="shared" si="243"/>
        <v>0</v>
      </c>
    </row>
    <row r="7272" spans="76:77" x14ac:dyDescent="0.2">
      <c r="BX7272" s="214" t="e">
        <f t="shared" si="242"/>
        <v>#DIV/0!</v>
      </c>
      <c r="BY7272" s="215">
        <f t="shared" si="243"/>
        <v>0</v>
      </c>
    </row>
    <row r="7273" spans="76:77" x14ac:dyDescent="0.2">
      <c r="BX7273" s="214" t="e">
        <f t="shared" si="242"/>
        <v>#DIV/0!</v>
      </c>
      <c r="BY7273" s="215">
        <f t="shared" si="243"/>
        <v>0</v>
      </c>
    </row>
    <row r="7274" spans="76:77" x14ac:dyDescent="0.2">
      <c r="BX7274" s="214" t="e">
        <f t="shared" si="242"/>
        <v>#DIV/0!</v>
      </c>
      <c r="BY7274" s="215">
        <f t="shared" si="243"/>
        <v>0</v>
      </c>
    </row>
    <row r="7275" spans="76:77" x14ac:dyDescent="0.2">
      <c r="BX7275" s="214" t="e">
        <f t="shared" si="242"/>
        <v>#DIV/0!</v>
      </c>
      <c r="BY7275" s="215">
        <f t="shared" si="243"/>
        <v>0</v>
      </c>
    </row>
    <row r="7276" spans="76:77" x14ac:dyDescent="0.2">
      <c r="BX7276" s="214" t="e">
        <f t="shared" si="242"/>
        <v>#DIV/0!</v>
      </c>
      <c r="BY7276" s="215">
        <f t="shared" si="243"/>
        <v>0</v>
      </c>
    </row>
    <row r="7277" spans="76:77" x14ac:dyDescent="0.2">
      <c r="BX7277" s="214" t="e">
        <f t="shared" si="242"/>
        <v>#DIV/0!</v>
      </c>
      <c r="BY7277" s="215">
        <f t="shared" si="243"/>
        <v>0</v>
      </c>
    </row>
    <row r="7278" spans="76:77" x14ac:dyDescent="0.2">
      <c r="BX7278" s="214" t="e">
        <f t="shared" si="242"/>
        <v>#DIV/0!</v>
      </c>
      <c r="BY7278" s="215">
        <f t="shared" si="243"/>
        <v>0</v>
      </c>
    </row>
    <row r="7279" spans="76:77" x14ac:dyDescent="0.2">
      <c r="BX7279" s="214" t="e">
        <f t="shared" si="242"/>
        <v>#DIV/0!</v>
      </c>
      <c r="BY7279" s="215">
        <f t="shared" si="243"/>
        <v>0</v>
      </c>
    </row>
    <row r="7280" spans="76:77" x14ac:dyDescent="0.2">
      <c r="BX7280" s="214" t="e">
        <f t="shared" si="242"/>
        <v>#DIV/0!</v>
      </c>
      <c r="BY7280" s="215">
        <f t="shared" si="243"/>
        <v>0</v>
      </c>
    </row>
    <row r="7281" spans="76:77" x14ac:dyDescent="0.2">
      <c r="BX7281" s="214" t="e">
        <f t="shared" si="242"/>
        <v>#DIV/0!</v>
      </c>
      <c r="BY7281" s="215">
        <f t="shared" si="243"/>
        <v>0</v>
      </c>
    </row>
    <row r="7282" spans="76:77" x14ac:dyDescent="0.2">
      <c r="BX7282" s="214" t="e">
        <f t="shared" si="242"/>
        <v>#DIV/0!</v>
      </c>
      <c r="BY7282" s="215">
        <f t="shared" si="243"/>
        <v>0</v>
      </c>
    </row>
    <row r="7283" spans="76:77" x14ac:dyDescent="0.2">
      <c r="BX7283" s="214" t="e">
        <f t="shared" si="242"/>
        <v>#DIV/0!</v>
      </c>
      <c r="BY7283" s="215">
        <f t="shared" si="243"/>
        <v>0</v>
      </c>
    </row>
    <row r="7284" spans="76:77" x14ac:dyDescent="0.2">
      <c r="BX7284" s="214" t="e">
        <f t="shared" si="242"/>
        <v>#DIV/0!</v>
      </c>
      <c r="BY7284" s="215">
        <f t="shared" si="243"/>
        <v>0</v>
      </c>
    </row>
    <row r="7285" spans="76:77" x14ac:dyDescent="0.2">
      <c r="BX7285" s="214" t="e">
        <f t="shared" si="242"/>
        <v>#DIV/0!</v>
      </c>
      <c r="BY7285" s="215">
        <f t="shared" si="243"/>
        <v>0</v>
      </c>
    </row>
    <row r="7286" spans="76:77" x14ac:dyDescent="0.2">
      <c r="BX7286" s="214" t="e">
        <f t="shared" si="242"/>
        <v>#DIV/0!</v>
      </c>
      <c r="BY7286" s="215">
        <f t="shared" si="243"/>
        <v>0</v>
      </c>
    </row>
    <row r="7287" spans="76:77" x14ac:dyDescent="0.2">
      <c r="BX7287" s="214" t="e">
        <f t="shared" si="242"/>
        <v>#DIV/0!</v>
      </c>
      <c r="BY7287" s="215">
        <f t="shared" si="243"/>
        <v>0</v>
      </c>
    </row>
    <row r="7288" spans="76:77" x14ac:dyDescent="0.2">
      <c r="BX7288" s="214" t="e">
        <f t="shared" si="242"/>
        <v>#DIV/0!</v>
      </c>
      <c r="BY7288" s="215">
        <f t="shared" si="243"/>
        <v>0</v>
      </c>
    </row>
    <row r="7289" spans="76:77" x14ac:dyDescent="0.2">
      <c r="BX7289" s="214" t="e">
        <f t="shared" si="242"/>
        <v>#DIV/0!</v>
      </c>
      <c r="BY7289" s="215">
        <f t="shared" si="243"/>
        <v>0</v>
      </c>
    </row>
    <row r="7290" spans="76:77" x14ac:dyDescent="0.2">
      <c r="BX7290" s="214" t="e">
        <f t="shared" si="242"/>
        <v>#DIV/0!</v>
      </c>
      <c r="BY7290" s="215">
        <f t="shared" si="243"/>
        <v>0</v>
      </c>
    </row>
    <row r="7291" spans="76:77" x14ac:dyDescent="0.2">
      <c r="BX7291" s="214" t="e">
        <f t="shared" si="242"/>
        <v>#DIV/0!</v>
      </c>
      <c r="BY7291" s="215">
        <f t="shared" si="243"/>
        <v>0</v>
      </c>
    </row>
    <row r="7292" spans="76:77" x14ac:dyDescent="0.2">
      <c r="BX7292" s="214" t="e">
        <f t="shared" si="242"/>
        <v>#DIV/0!</v>
      </c>
      <c r="BY7292" s="215">
        <f t="shared" si="243"/>
        <v>0</v>
      </c>
    </row>
    <row r="7293" spans="76:77" x14ac:dyDescent="0.2">
      <c r="BX7293" s="214" t="e">
        <f t="shared" si="242"/>
        <v>#DIV/0!</v>
      </c>
      <c r="BY7293" s="215">
        <f t="shared" si="243"/>
        <v>0</v>
      </c>
    </row>
    <row r="7294" spans="76:77" x14ac:dyDescent="0.2">
      <c r="BX7294" s="214" t="e">
        <f t="shared" si="242"/>
        <v>#DIV/0!</v>
      </c>
      <c r="BY7294" s="215">
        <f t="shared" si="243"/>
        <v>0</v>
      </c>
    </row>
    <row r="7295" spans="76:77" x14ac:dyDescent="0.2">
      <c r="BX7295" s="214" t="e">
        <f t="shared" si="242"/>
        <v>#DIV/0!</v>
      </c>
      <c r="BY7295" s="215">
        <f t="shared" si="243"/>
        <v>0</v>
      </c>
    </row>
    <row r="7296" spans="76:77" x14ac:dyDescent="0.2">
      <c r="BX7296" s="214" t="e">
        <f t="shared" si="242"/>
        <v>#DIV/0!</v>
      </c>
      <c r="BY7296" s="215">
        <f t="shared" si="243"/>
        <v>0</v>
      </c>
    </row>
    <row r="7297" spans="76:77" x14ac:dyDescent="0.2">
      <c r="BX7297" s="214" t="e">
        <f t="shared" si="242"/>
        <v>#DIV/0!</v>
      </c>
      <c r="BY7297" s="215">
        <f t="shared" si="243"/>
        <v>0</v>
      </c>
    </row>
    <row r="7298" spans="76:77" x14ac:dyDescent="0.2">
      <c r="BX7298" s="214" t="e">
        <f t="shared" si="242"/>
        <v>#DIV/0!</v>
      </c>
      <c r="BY7298" s="215">
        <f t="shared" si="243"/>
        <v>0</v>
      </c>
    </row>
    <row r="7299" spans="76:77" x14ac:dyDescent="0.2">
      <c r="BX7299" s="214" t="e">
        <f t="shared" si="242"/>
        <v>#DIV/0!</v>
      </c>
      <c r="BY7299" s="215">
        <f t="shared" si="243"/>
        <v>0</v>
      </c>
    </row>
    <row r="7300" spans="76:77" x14ac:dyDescent="0.2">
      <c r="BX7300" s="214" t="e">
        <f t="shared" si="242"/>
        <v>#DIV/0!</v>
      </c>
      <c r="BY7300" s="215">
        <f t="shared" si="243"/>
        <v>0</v>
      </c>
    </row>
    <row r="7301" spans="76:77" x14ac:dyDescent="0.2">
      <c r="BX7301" s="214" t="e">
        <f t="shared" si="242"/>
        <v>#DIV/0!</v>
      </c>
      <c r="BY7301" s="215">
        <f t="shared" si="243"/>
        <v>0</v>
      </c>
    </row>
    <row r="7302" spans="76:77" x14ac:dyDescent="0.2">
      <c r="BX7302" s="214" t="e">
        <f t="shared" si="242"/>
        <v>#DIV/0!</v>
      </c>
      <c r="BY7302" s="215">
        <f t="shared" si="243"/>
        <v>0</v>
      </c>
    </row>
    <row r="7303" spans="76:77" x14ac:dyDescent="0.2">
      <c r="BX7303" s="214" t="e">
        <f t="shared" si="242"/>
        <v>#DIV/0!</v>
      </c>
      <c r="BY7303" s="215">
        <f t="shared" si="243"/>
        <v>0</v>
      </c>
    </row>
    <row r="7304" spans="76:77" x14ac:dyDescent="0.2">
      <c r="BX7304" s="214" t="e">
        <f t="shared" si="242"/>
        <v>#DIV/0!</v>
      </c>
      <c r="BY7304" s="215">
        <f t="shared" si="243"/>
        <v>0</v>
      </c>
    </row>
    <row r="7305" spans="76:77" x14ac:dyDescent="0.2">
      <c r="BX7305" s="214" t="e">
        <f t="shared" si="242"/>
        <v>#DIV/0!</v>
      </c>
      <c r="BY7305" s="215">
        <f t="shared" si="243"/>
        <v>0</v>
      </c>
    </row>
    <row r="7306" spans="76:77" x14ac:dyDescent="0.2">
      <c r="BX7306" s="214" t="e">
        <f t="shared" si="242"/>
        <v>#DIV/0!</v>
      </c>
      <c r="BY7306" s="215">
        <f t="shared" si="243"/>
        <v>0</v>
      </c>
    </row>
    <row r="7307" spans="76:77" x14ac:dyDescent="0.2">
      <c r="BX7307" s="214" t="e">
        <f t="shared" si="242"/>
        <v>#DIV/0!</v>
      </c>
      <c r="BY7307" s="215">
        <f t="shared" si="243"/>
        <v>0</v>
      </c>
    </row>
    <row r="7308" spans="76:77" x14ac:dyDescent="0.2">
      <c r="BX7308" s="214" t="e">
        <f t="shared" si="242"/>
        <v>#DIV/0!</v>
      </c>
      <c r="BY7308" s="215">
        <f t="shared" si="243"/>
        <v>0</v>
      </c>
    </row>
    <row r="7309" spans="76:77" x14ac:dyDescent="0.2">
      <c r="BX7309" s="214" t="e">
        <f t="shared" ref="BX7309:BX7372" si="244">BY7309/BV7309</f>
        <v>#DIV/0!</v>
      </c>
      <c r="BY7309" s="215">
        <f t="shared" si="243"/>
        <v>0</v>
      </c>
    </row>
    <row r="7310" spans="76:77" x14ac:dyDescent="0.2">
      <c r="BX7310" s="214" t="e">
        <f t="shared" si="244"/>
        <v>#DIV/0!</v>
      </c>
      <c r="BY7310" s="215">
        <f t="shared" ref="BY7310:BY7373" si="245">BY7309+BW7310*(BV7310-BV7309)</f>
        <v>0</v>
      </c>
    </row>
    <row r="7311" spans="76:77" x14ac:dyDescent="0.2">
      <c r="BX7311" s="214" t="e">
        <f t="shared" si="244"/>
        <v>#DIV/0!</v>
      </c>
      <c r="BY7311" s="215">
        <f t="shared" si="245"/>
        <v>0</v>
      </c>
    </row>
    <row r="7312" spans="76:77" x14ac:dyDescent="0.2">
      <c r="BX7312" s="214" t="e">
        <f t="shared" si="244"/>
        <v>#DIV/0!</v>
      </c>
      <c r="BY7312" s="215">
        <f t="shared" si="245"/>
        <v>0</v>
      </c>
    </row>
    <row r="7313" spans="76:77" x14ac:dyDescent="0.2">
      <c r="BX7313" s="214" t="e">
        <f t="shared" si="244"/>
        <v>#DIV/0!</v>
      </c>
      <c r="BY7313" s="215">
        <f t="shared" si="245"/>
        <v>0</v>
      </c>
    </row>
    <row r="7314" spans="76:77" x14ac:dyDescent="0.2">
      <c r="BX7314" s="214" t="e">
        <f t="shared" si="244"/>
        <v>#DIV/0!</v>
      </c>
      <c r="BY7314" s="215">
        <f t="shared" si="245"/>
        <v>0</v>
      </c>
    </row>
    <row r="7315" spans="76:77" x14ac:dyDescent="0.2">
      <c r="BX7315" s="214" t="e">
        <f t="shared" si="244"/>
        <v>#DIV/0!</v>
      </c>
      <c r="BY7315" s="215">
        <f t="shared" si="245"/>
        <v>0</v>
      </c>
    </row>
    <row r="7316" spans="76:77" x14ac:dyDescent="0.2">
      <c r="BX7316" s="214" t="e">
        <f t="shared" si="244"/>
        <v>#DIV/0!</v>
      </c>
      <c r="BY7316" s="215">
        <f t="shared" si="245"/>
        <v>0</v>
      </c>
    </row>
    <row r="7317" spans="76:77" x14ac:dyDescent="0.2">
      <c r="BX7317" s="214" t="e">
        <f t="shared" si="244"/>
        <v>#DIV/0!</v>
      </c>
      <c r="BY7317" s="215">
        <f t="shared" si="245"/>
        <v>0</v>
      </c>
    </row>
    <row r="7318" spans="76:77" x14ac:dyDescent="0.2">
      <c r="BX7318" s="214" t="e">
        <f t="shared" si="244"/>
        <v>#DIV/0!</v>
      </c>
      <c r="BY7318" s="215">
        <f t="shared" si="245"/>
        <v>0</v>
      </c>
    </row>
    <row r="7319" spans="76:77" x14ac:dyDescent="0.2">
      <c r="BX7319" s="214" t="e">
        <f t="shared" si="244"/>
        <v>#DIV/0!</v>
      </c>
      <c r="BY7319" s="215">
        <f t="shared" si="245"/>
        <v>0</v>
      </c>
    </row>
    <row r="7320" spans="76:77" x14ac:dyDescent="0.2">
      <c r="BX7320" s="214" t="e">
        <f t="shared" si="244"/>
        <v>#DIV/0!</v>
      </c>
      <c r="BY7320" s="215">
        <f t="shared" si="245"/>
        <v>0</v>
      </c>
    </row>
    <row r="7321" spans="76:77" x14ac:dyDescent="0.2">
      <c r="BX7321" s="214" t="e">
        <f t="shared" si="244"/>
        <v>#DIV/0!</v>
      </c>
      <c r="BY7321" s="215">
        <f t="shared" si="245"/>
        <v>0</v>
      </c>
    </row>
    <row r="7322" spans="76:77" x14ac:dyDescent="0.2">
      <c r="BX7322" s="214" t="e">
        <f t="shared" si="244"/>
        <v>#DIV/0!</v>
      </c>
      <c r="BY7322" s="215">
        <f t="shared" si="245"/>
        <v>0</v>
      </c>
    </row>
    <row r="7323" spans="76:77" x14ac:dyDescent="0.2">
      <c r="BX7323" s="214" t="e">
        <f t="shared" si="244"/>
        <v>#DIV/0!</v>
      </c>
      <c r="BY7323" s="215">
        <f t="shared" si="245"/>
        <v>0</v>
      </c>
    </row>
    <row r="7324" spans="76:77" x14ac:dyDescent="0.2">
      <c r="BX7324" s="214" t="e">
        <f t="shared" si="244"/>
        <v>#DIV/0!</v>
      </c>
      <c r="BY7324" s="215">
        <f t="shared" si="245"/>
        <v>0</v>
      </c>
    </row>
    <row r="7325" spans="76:77" x14ac:dyDescent="0.2">
      <c r="BX7325" s="214" t="e">
        <f t="shared" si="244"/>
        <v>#DIV/0!</v>
      </c>
      <c r="BY7325" s="215">
        <f t="shared" si="245"/>
        <v>0</v>
      </c>
    </row>
    <row r="7326" spans="76:77" x14ac:dyDescent="0.2">
      <c r="BX7326" s="214" t="e">
        <f t="shared" si="244"/>
        <v>#DIV/0!</v>
      </c>
      <c r="BY7326" s="215">
        <f t="shared" si="245"/>
        <v>0</v>
      </c>
    </row>
    <row r="7327" spans="76:77" x14ac:dyDescent="0.2">
      <c r="BX7327" s="214" t="e">
        <f t="shared" si="244"/>
        <v>#DIV/0!</v>
      </c>
      <c r="BY7327" s="215">
        <f t="shared" si="245"/>
        <v>0</v>
      </c>
    </row>
    <row r="7328" spans="76:77" x14ac:dyDescent="0.2">
      <c r="BX7328" s="214" t="e">
        <f t="shared" si="244"/>
        <v>#DIV/0!</v>
      </c>
      <c r="BY7328" s="215">
        <f t="shared" si="245"/>
        <v>0</v>
      </c>
    </row>
    <row r="7329" spans="76:77" x14ac:dyDescent="0.2">
      <c r="BX7329" s="214" t="e">
        <f t="shared" si="244"/>
        <v>#DIV/0!</v>
      </c>
      <c r="BY7329" s="215">
        <f t="shared" si="245"/>
        <v>0</v>
      </c>
    </row>
    <row r="7330" spans="76:77" x14ac:dyDescent="0.2">
      <c r="BX7330" s="214" t="e">
        <f t="shared" si="244"/>
        <v>#DIV/0!</v>
      </c>
      <c r="BY7330" s="215">
        <f t="shared" si="245"/>
        <v>0</v>
      </c>
    </row>
    <row r="7331" spans="76:77" x14ac:dyDescent="0.2">
      <c r="BX7331" s="214" t="e">
        <f t="shared" si="244"/>
        <v>#DIV/0!</v>
      </c>
      <c r="BY7331" s="215">
        <f t="shared" si="245"/>
        <v>0</v>
      </c>
    </row>
    <row r="7332" spans="76:77" x14ac:dyDescent="0.2">
      <c r="BX7332" s="214" t="e">
        <f t="shared" si="244"/>
        <v>#DIV/0!</v>
      </c>
      <c r="BY7332" s="215">
        <f t="shared" si="245"/>
        <v>0</v>
      </c>
    </row>
    <row r="7333" spans="76:77" x14ac:dyDescent="0.2">
      <c r="BX7333" s="214" t="e">
        <f t="shared" si="244"/>
        <v>#DIV/0!</v>
      </c>
      <c r="BY7333" s="215">
        <f t="shared" si="245"/>
        <v>0</v>
      </c>
    </row>
    <row r="7334" spans="76:77" x14ac:dyDescent="0.2">
      <c r="BX7334" s="214" t="e">
        <f t="shared" si="244"/>
        <v>#DIV/0!</v>
      </c>
      <c r="BY7334" s="215">
        <f t="shared" si="245"/>
        <v>0</v>
      </c>
    </row>
    <row r="7335" spans="76:77" x14ac:dyDescent="0.2">
      <c r="BX7335" s="214" t="e">
        <f t="shared" si="244"/>
        <v>#DIV/0!</v>
      </c>
      <c r="BY7335" s="215">
        <f t="shared" si="245"/>
        <v>0</v>
      </c>
    </row>
    <row r="7336" spans="76:77" x14ac:dyDescent="0.2">
      <c r="BX7336" s="214" t="e">
        <f t="shared" si="244"/>
        <v>#DIV/0!</v>
      </c>
      <c r="BY7336" s="215">
        <f t="shared" si="245"/>
        <v>0</v>
      </c>
    </row>
    <row r="7337" spans="76:77" x14ac:dyDescent="0.2">
      <c r="BX7337" s="214" t="e">
        <f t="shared" si="244"/>
        <v>#DIV/0!</v>
      </c>
      <c r="BY7337" s="215">
        <f t="shared" si="245"/>
        <v>0</v>
      </c>
    </row>
    <row r="7338" spans="76:77" x14ac:dyDescent="0.2">
      <c r="BX7338" s="214" t="e">
        <f t="shared" si="244"/>
        <v>#DIV/0!</v>
      </c>
      <c r="BY7338" s="215">
        <f t="shared" si="245"/>
        <v>0</v>
      </c>
    </row>
    <row r="7339" spans="76:77" x14ac:dyDescent="0.2">
      <c r="BX7339" s="214" t="e">
        <f t="shared" si="244"/>
        <v>#DIV/0!</v>
      </c>
      <c r="BY7339" s="215">
        <f t="shared" si="245"/>
        <v>0</v>
      </c>
    </row>
    <row r="7340" spans="76:77" x14ac:dyDescent="0.2">
      <c r="BX7340" s="214" t="e">
        <f t="shared" si="244"/>
        <v>#DIV/0!</v>
      </c>
      <c r="BY7340" s="215">
        <f t="shared" si="245"/>
        <v>0</v>
      </c>
    </row>
    <row r="7341" spans="76:77" x14ac:dyDescent="0.2">
      <c r="BX7341" s="214" t="e">
        <f t="shared" si="244"/>
        <v>#DIV/0!</v>
      </c>
      <c r="BY7341" s="215">
        <f t="shared" si="245"/>
        <v>0</v>
      </c>
    </row>
    <row r="7342" spans="76:77" x14ac:dyDescent="0.2">
      <c r="BX7342" s="214" t="e">
        <f t="shared" si="244"/>
        <v>#DIV/0!</v>
      </c>
      <c r="BY7342" s="215">
        <f t="shared" si="245"/>
        <v>0</v>
      </c>
    </row>
    <row r="7343" spans="76:77" x14ac:dyDescent="0.2">
      <c r="BX7343" s="214" t="e">
        <f t="shared" si="244"/>
        <v>#DIV/0!</v>
      </c>
      <c r="BY7343" s="215">
        <f t="shared" si="245"/>
        <v>0</v>
      </c>
    </row>
    <row r="7344" spans="76:77" x14ac:dyDescent="0.2">
      <c r="BX7344" s="214" t="e">
        <f t="shared" si="244"/>
        <v>#DIV/0!</v>
      </c>
      <c r="BY7344" s="215">
        <f t="shared" si="245"/>
        <v>0</v>
      </c>
    </row>
    <row r="7345" spans="76:77" x14ac:dyDescent="0.2">
      <c r="BX7345" s="214" t="e">
        <f t="shared" si="244"/>
        <v>#DIV/0!</v>
      </c>
      <c r="BY7345" s="215">
        <f t="shared" si="245"/>
        <v>0</v>
      </c>
    </row>
    <row r="7346" spans="76:77" x14ac:dyDescent="0.2">
      <c r="BX7346" s="214" t="e">
        <f t="shared" si="244"/>
        <v>#DIV/0!</v>
      </c>
      <c r="BY7346" s="215">
        <f t="shared" si="245"/>
        <v>0</v>
      </c>
    </row>
    <row r="7347" spans="76:77" x14ac:dyDescent="0.2">
      <c r="BX7347" s="214" t="e">
        <f t="shared" si="244"/>
        <v>#DIV/0!</v>
      </c>
      <c r="BY7347" s="215">
        <f t="shared" si="245"/>
        <v>0</v>
      </c>
    </row>
    <row r="7348" spans="76:77" x14ac:dyDescent="0.2">
      <c r="BX7348" s="214" t="e">
        <f t="shared" si="244"/>
        <v>#DIV/0!</v>
      </c>
      <c r="BY7348" s="215">
        <f t="shared" si="245"/>
        <v>0</v>
      </c>
    </row>
    <row r="7349" spans="76:77" x14ac:dyDescent="0.2">
      <c r="BX7349" s="214" t="e">
        <f t="shared" si="244"/>
        <v>#DIV/0!</v>
      </c>
      <c r="BY7349" s="215">
        <f t="shared" si="245"/>
        <v>0</v>
      </c>
    </row>
    <row r="7350" spans="76:77" x14ac:dyDescent="0.2">
      <c r="BX7350" s="214" t="e">
        <f t="shared" si="244"/>
        <v>#DIV/0!</v>
      </c>
      <c r="BY7350" s="215">
        <f t="shared" si="245"/>
        <v>0</v>
      </c>
    </row>
    <row r="7351" spans="76:77" x14ac:dyDescent="0.2">
      <c r="BX7351" s="214" t="e">
        <f t="shared" si="244"/>
        <v>#DIV/0!</v>
      </c>
      <c r="BY7351" s="215">
        <f t="shared" si="245"/>
        <v>0</v>
      </c>
    </row>
    <row r="7352" spans="76:77" x14ac:dyDescent="0.2">
      <c r="BX7352" s="214" t="e">
        <f t="shared" si="244"/>
        <v>#DIV/0!</v>
      </c>
      <c r="BY7352" s="215">
        <f t="shared" si="245"/>
        <v>0</v>
      </c>
    </row>
    <row r="7353" spans="76:77" x14ac:dyDescent="0.2">
      <c r="BX7353" s="214" t="e">
        <f t="shared" si="244"/>
        <v>#DIV/0!</v>
      </c>
      <c r="BY7353" s="215">
        <f t="shared" si="245"/>
        <v>0</v>
      </c>
    </row>
    <row r="7354" spans="76:77" x14ac:dyDescent="0.2">
      <c r="BX7354" s="214" t="e">
        <f t="shared" si="244"/>
        <v>#DIV/0!</v>
      </c>
      <c r="BY7354" s="215">
        <f t="shared" si="245"/>
        <v>0</v>
      </c>
    </row>
    <row r="7355" spans="76:77" x14ac:dyDescent="0.2">
      <c r="BX7355" s="214" t="e">
        <f t="shared" si="244"/>
        <v>#DIV/0!</v>
      </c>
      <c r="BY7355" s="215">
        <f t="shared" si="245"/>
        <v>0</v>
      </c>
    </row>
    <row r="7356" spans="76:77" x14ac:dyDescent="0.2">
      <c r="BX7356" s="214" t="e">
        <f t="shared" si="244"/>
        <v>#DIV/0!</v>
      </c>
      <c r="BY7356" s="215">
        <f t="shared" si="245"/>
        <v>0</v>
      </c>
    </row>
    <row r="7357" spans="76:77" x14ac:dyDescent="0.2">
      <c r="BX7357" s="214" t="e">
        <f t="shared" si="244"/>
        <v>#DIV/0!</v>
      </c>
      <c r="BY7357" s="215">
        <f t="shared" si="245"/>
        <v>0</v>
      </c>
    </row>
    <row r="7358" spans="76:77" x14ac:dyDescent="0.2">
      <c r="BX7358" s="214" t="e">
        <f t="shared" si="244"/>
        <v>#DIV/0!</v>
      </c>
      <c r="BY7358" s="215">
        <f t="shared" si="245"/>
        <v>0</v>
      </c>
    </row>
    <row r="7359" spans="76:77" x14ac:dyDescent="0.2">
      <c r="BX7359" s="214" t="e">
        <f t="shared" si="244"/>
        <v>#DIV/0!</v>
      </c>
      <c r="BY7359" s="215">
        <f t="shared" si="245"/>
        <v>0</v>
      </c>
    </row>
    <row r="7360" spans="76:77" x14ac:dyDescent="0.2">
      <c r="BX7360" s="214" t="e">
        <f t="shared" si="244"/>
        <v>#DIV/0!</v>
      </c>
      <c r="BY7360" s="215">
        <f t="shared" si="245"/>
        <v>0</v>
      </c>
    </row>
    <row r="7361" spans="76:77" x14ac:dyDescent="0.2">
      <c r="BX7361" s="214" t="e">
        <f t="shared" si="244"/>
        <v>#DIV/0!</v>
      </c>
      <c r="BY7361" s="215">
        <f t="shared" si="245"/>
        <v>0</v>
      </c>
    </row>
    <row r="7362" spans="76:77" x14ac:dyDescent="0.2">
      <c r="BX7362" s="214" t="e">
        <f t="shared" si="244"/>
        <v>#DIV/0!</v>
      </c>
      <c r="BY7362" s="215">
        <f t="shared" si="245"/>
        <v>0</v>
      </c>
    </row>
    <row r="7363" spans="76:77" x14ac:dyDescent="0.2">
      <c r="BX7363" s="214" t="e">
        <f t="shared" si="244"/>
        <v>#DIV/0!</v>
      </c>
      <c r="BY7363" s="215">
        <f t="shared" si="245"/>
        <v>0</v>
      </c>
    </row>
    <row r="7364" spans="76:77" x14ac:dyDescent="0.2">
      <c r="BX7364" s="214" t="e">
        <f t="shared" si="244"/>
        <v>#DIV/0!</v>
      </c>
      <c r="BY7364" s="215">
        <f t="shared" si="245"/>
        <v>0</v>
      </c>
    </row>
    <row r="7365" spans="76:77" x14ac:dyDescent="0.2">
      <c r="BX7365" s="214" t="e">
        <f t="shared" si="244"/>
        <v>#DIV/0!</v>
      </c>
      <c r="BY7365" s="215">
        <f t="shared" si="245"/>
        <v>0</v>
      </c>
    </row>
    <row r="7366" spans="76:77" x14ac:dyDescent="0.2">
      <c r="BX7366" s="214" t="e">
        <f t="shared" si="244"/>
        <v>#DIV/0!</v>
      </c>
      <c r="BY7366" s="215">
        <f t="shared" si="245"/>
        <v>0</v>
      </c>
    </row>
    <row r="7367" spans="76:77" x14ac:dyDescent="0.2">
      <c r="BX7367" s="214" t="e">
        <f t="shared" si="244"/>
        <v>#DIV/0!</v>
      </c>
      <c r="BY7367" s="215">
        <f t="shared" si="245"/>
        <v>0</v>
      </c>
    </row>
    <row r="7368" spans="76:77" x14ac:dyDescent="0.2">
      <c r="BX7368" s="214" t="e">
        <f t="shared" si="244"/>
        <v>#DIV/0!</v>
      </c>
      <c r="BY7368" s="215">
        <f t="shared" si="245"/>
        <v>0</v>
      </c>
    </row>
    <row r="7369" spans="76:77" x14ac:dyDescent="0.2">
      <c r="BX7369" s="214" t="e">
        <f t="shared" si="244"/>
        <v>#DIV/0!</v>
      </c>
      <c r="BY7369" s="215">
        <f t="shared" si="245"/>
        <v>0</v>
      </c>
    </row>
    <row r="7370" spans="76:77" x14ac:dyDescent="0.2">
      <c r="BX7370" s="214" t="e">
        <f t="shared" si="244"/>
        <v>#DIV/0!</v>
      </c>
      <c r="BY7370" s="215">
        <f t="shared" si="245"/>
        <v>0</v>
      </c>
    </row>
    <row r="7371" spans="76:77" x14ac:dyDescent="0.2">
      <c r="BX7371" s="214" t="e">
        <f t="shared" si="244"/>
        <v>#DIV/0!</v>
      </c>
      <c r="BY7371" s="215">
        <f t="shared" si="245"/>
        <v>0</v>
      </c>
    </row>
    <row r="7372" spans="76:77" x14ac:dyDescent="0.2">
      <c r="BX7372" s="214" t="e">
        <f t="shared" si="244"/>
        <v>#DIV/0!</v>
      </c>
      <c r="BY7372" s="215">
        <f t="shared" si="245"/>
        <v>0</v>
      </c>
    </row>
    <row r="7373" spans="76:77" x14ac:dyDescent="0.2">
      <c r="BX7373" s="214" t="e">
        <f t="shared" ref="BX7373:BX7436" si="246">BY7373/BV7373</f>
        <v>#DIV/0!</v>
      </c>
      <c r="BY7373" s="215">
        <f t="shared" si="245"/>
        <v>0</v>
      </c>
    </row>
    <row r="7374" spans="76:77" x14ac:dyDescent="0.2">
      <c r="BX7374" s="214" t="e">
        <f t="shared" si="246"/>
        <v>#DIV/0!</v>
      </c>
      <c r="BY7374" s="215">
        <f t="shared" ref="BY7374:BY7437" si="247">BY7373+BW7374*(BV7374-BV7373)</f>
        <v>0</v>
      </c>
    </row>
    <row r="7375" spans="76:77" x14ac:dyDescent="0.2">
      <c r="BX7375" s="214" t="e">
        <f t="shared" si="246"/>
        <v>#DIV/0!</v>
      </c>
      <c r="BY7375" s="215">
        <f t="shared" si="247"/>
        <v>0</v>
      </c>
    </row>
    <row r="7376" spans="76:77" x14ac:dyDescent="0.2">
      <c r="BX7376" s="214" t="e">
        <f t="shared" si="246"/>
        <v>#DIV/0!</v>
      </c>
      <c r="BY7376" s="215">
        <f t="shared" si="247"/>
        <v>0</v>
      </c>
    </row>
    <row r="7377" spans="76:77" x14ac:dyDescent="0.2">
      <c r="BX7377" s="214" t="e">
        <f t="shared" si="246"/>
        <v>#DIV/0!</v>
      </c>
      <c r="BY7377" s="215">
        <f t="shared" si="247"/>
        <v>0</v>
      </c>
    </row>
    <row r="7378" spans="76:77" x14ac:dyDescent="0.2">
      <c r="BX7378" s="214" t="e">
        <f t="shared" si="246"/>
        <v>#DIV/0!</v>
      </c>
      <c r="BY7378" s="215">
        <f t="shared" si="247"/>
        <v>0</v>
      </c>
    </row>
    <row r="7379" spans="76:77" x14ac:dyDescent="0.2">
      <c r="BX7379" s="214" t="e">
        <f t="shared" si="246"/>
        <v>#DIV/0!</v>
      </c>
      <c r="BY7379" s="215">
        <f t="shared" si="247"/>
        <v>0</v>
      </c>
    </row>
    <row r="7380" spans="76:77" x14ac:dyDescent="0.2">
      <c r="BX7380" s="214" t="e">
        <f t="shared" si="246"/>
        <v>#DIV/0!</v>
      </c>
      <c r="BY7380" s="215">
        <f t="shared" si="247"/>
        <v>0</v>
      </c>
    </row>
    <row r="7381" spans="76:77" x14ac:dyDescent="0.2">
      <c r="BX7381" s="214" t="e">
        <f t="shared" si="246"/>
        <v>#DIV/0!</v>
      </c>
      <c r="BY7381" s="215">
        <f t="shared" si="247"/>
        <v>0</v>
      </c>
    </row>
    <row r="7382" spans="76:77" x14ac:dyDescent="0.2">
      <c r="BX7382" s="214" t="e">
        <f t="shared" si="246"/>
        <v>#DIV/0!</v>
      </c>
      <c r="BY7382" s="215">
        <f t="shared" si="247"/>
        <v>0</v>
      </c>
    </row>
    <row r="7383" spans="76:77" x14ac:dyDescent="0.2">
      <c r="BX7383" s="214" t="e">
        <f t="shared" si="246"/>
        <v>#DIV/0!</v>
      </c>
      <c r="BY7383" s="215">
        <f t="shared" si="247"/>
        <v>0</v>
      </c>
    </row>
    <row r="7384" spans="76:77" x14ac:dyDescent="0.2">
      <c r="BX7384" s="214" t="e">
        <f t="shared" si="246"/>
        <v>#DIV/0!</v>
      </c>
      <c r="BY7384" s="215">
        <f t="shared" si="247"/>
        <v>0</v>
      </c>
    </row>
    <row r="7385" spans="76:77" x14ac:dyDescent="0.2">
      <c r="BX7385" s="214" t="e">
        <f t="shared" si="246"/>
        <v>#DIV/0!</v>
      </c>
      <c r="BY7385" s="215">
        <f t="shared" si="247"/>
        <v>0</v>
      </c>
    </row>
    <row r="7386" spans="76:77" x14ac:dyDescent="0.2">
      <c r="BX7386" s="214" t="e">
        <f t="shared" si="246"/>
        <v>#DIV/0!</v>
      </c>
      <c r="BY7386" s="215">
        <f t="shared" si="247"/>
        <v>0</v>
      </c>
    </row>
    <row r="7387" spans="76:77" x14ac:dyDescent="0.2">
      <c r="BX7387" s="214" t="e">
        <f t="shared" si="246"/>
        <v>#DIV/0!</v>
      </c>
      <c r="BY7387" s="215">
        <f t="shared" si="247"/>
        <v>0</v>
      </c>
    </row>
    <row r="7388" spans="76:77" x14ac:dyDescent="0.2">
      <c r="BX7388" s="214" t="e">
        <f t="shared" si="246"/>
        <v>#DIV/0!</v>
      </c>
      <c r="BY7388" s="215">
        <f t="shared" si="247"/>
        <v>0</v>
      </c>
    </row>
    <row r="7389" spans="76:77" x14ac:dyDescent="0.2">
      <c r="BX7389" s="214" t="e">
        <f t="shared" si="246"/>
        <v>#DIV/0!</v>
      </c>
      <c r="BY7389" s="215">
        <f t="shared" si="247"/>
        <v>0</v>
      </c>
    </row>
    <row r="7390" spans="76:77" x14ac:dyDescent="0.2">
      <c r="BX7390" s="214" t="e">
        <f t="shared" si="246"/>
        <v>#DIV/0!</v>
      </c>
      <c r="BY7390" s="215">
        <f t="shared" si="247"/>
        <v>0</v>
      </c>
    </row>
    <row r="7391" spans="76:77" x14ac:dyDescent="0.2">
      <c r="BX7391" s="214" t="e">
        <f t="shared" si="246"/>
        <v>#DIV/0!</v>
      </c>
      <c r="BY7391" s="215">
        <f t="shared" si="247"/>
        <v>0</v>
      </c>
    </row>
    <row r="7392" spans="76:77" x14ac:dyDescent="0.2">
      <c r="BX7392" s="214" t="e">
        <f t="shared" si="246"/>
        <v>#DIV/0!</v>
      </c>
      <c r="BY7392" s="215">
        <f t="shared" si="247"/>
        <v>0</v>
      </c>
    </row>
    <row r="7393" spans="76:77" x14ac:dyDescent="0.2">
      <c r="BX7393" s="214" t="e">
        <f t="shared" si="246"/>
        <v>#DIV/0!</v>
      </c>
      <c r="BY7393" s="215">
        <f t="shared" si="247"/>
        <v>0</v>
      </c>
    </row>
    <row r="7394" spans="76:77" x14ac:dyDescent="0.2">
      <c r="BX7394" s="214" t="e">
        <f t="shared" si="246"/>
        <v>#DIV/0!</v>
      </c>
      <c r="BY7394" s="215">
        <f t="shared" si="247"/>
        <v>0</v>
      </c>
    </row>
    <row r="7395" spans="76:77" x14ac:dyDescent="0.2">
      <c r="BX7395" s="214" t="e">
        <f t="shared" si="246"/>
        <v>#DIV/0!</v>
      </c>
      <c r="BY7395" s="215">
        <f t="shared" si="247"/>
        <v>0</v>
      </c>
    </row>
    <row r="7396" spans="76:77" x14ac:dyDescent="0.2">
      <c r="BX7396" s="214" t="e">
        <f t="shared" si="246"/>
        <v>#DIV/0!</v>
      </c>
      <c r="BY7396" s="215">
        <f t="shared" si="247"/>
        <v>0</v>
      </c>
    </row>
    <row r="7397" spans="76:77" x14ac:dyDescent="0.2">
      <c r="BX7397" s="214" t="e">
        <f t="shared" si="246"/>
        <v>#DIV/0!</v>
      </c>
      <c r="BY7397" s="215">
        <f t="shared" si="247"/>
        <v>0</v>
      </c>
    </row>
    <row r="7398" spans="76:77" x14ac:dyDescent="0.2">
      <c r="BX7398" s="214" t="e">
        <f t="shared" si="246"/>
        <v>#DIV/0!</v>
      </c>
      <c r="BY7398" s="215">
        <f t="shared" si="247"/>
        <v>0</v>
      </c>
    </row>
    <row r="7399" spans="76:77" x14ac:dyDescent="0.2">
      <c r="BX7399" s="214" t="e">
        <f t="shared" si="246"/>
        <v>#DIV/0!</v>
      </c>
      <c r="BY7399" s="215">
        <f t="shared" si="247"/>
        <v>0</v>
      </c>
    </row>
    <row r="7400" spans="76:77" x14ac:dyDescent="0.2">
      <c r="BX7400" s="214" t="e">
        <f t="shared" si="246"/>
        <v>#DIV/0!</v>
      </c>
      <c r="BY7400" s="215">
        <f t="shared" si="247"/>
        <v>0</v>
      </c>
    </row>
    <row r="7401" spans="76:77" x14ac:dyDescent="0.2">
      <c r="BX7401" s="214" t="e">
        <f t="shared" si="246"/>
        <v>#DIV/0!</v>
      </c>
      <c r="BY7401" s="215">
        <f t="shared" si="247"/>
        <v>0</v>
      </c>
    </row>
    <row r="7402" spans="76:77" x14ac:dyDescent="0.2">
      <c r="BX7402" s="214" t="e">
        <f t="shared" si="246"/>
        <v>#DIV/0!</v>
      </c>
      <c r="BY7402" s="215">
        <f t="shared" si="247"/>
        <v>0</v>
      </c>
    </row>
    <row r="7403" spans="76:77" x14ac:dyDescent="0.2">
      <c r="BX7403" s="214" t="e">
        <f t="shared" si="246"/>
        <v>#DIV/0!</v>
      </c>
      <c r="BY7403" s="215">
        <f t="shared" si="247"/>
        <v>0</v>
      </c>
    </row>
    <row r="7404" spans="76:77" x14ac:dyDescent="0.2">
      <c r="BX7404" s="214" t="e">
        <f t="shared" si="246"/>
        <v>#DIV/0!</v>
      </c>
      <c r="BY7404" s="215">
        <f t="shared" si="247"/>
        <v>0</v>
      </c>
    </row>
    <row r="7405" spans="76:77" x14ac:dyDescent="0.2">
      <c r="BX7405" s="214" t="e">
        <f t="shared" si="246"/>
        <v>#DIV/0!</v>
      </c>
      <c r="BY7405" s="215">
        <f t="shared" si="247"/>
        <v>0</v>
      </c>
    </row>
    <row r="7406" spans="76:77" x14ac:dyDescent="0.2">
      <c r="BX7406" s="214" t="e">
        <f t="shared" si="246"/>
        <v>#DIV/0!</v>
      </c>
      <c r="BY7406" s="215">
        <f t="shared" si="247"/>
        <v>0</v>
      </c>
    </row>
    <row r="7407" spans="76:77" x14ac:dyDescent="0.2">
      <c r="BX7407" s="214" t="e">
        <f t="shared" si="246"/>
        <v>#DIV/0!</v>
      </c>
      <c r="BY7407" s="215">
        <f t="shared" si="247"/>
        <v>0</v>
      </c>
    </row>
    <row r="7408" spans="76:77" x14ac:dyDescent="0.2">
      <c r="BX7408" s="214" t="e">
        <f t="shared" si="246"/>
        <v>#DIV/0!</v>
      </c>
      <c r="BY7408" s="215">
        <f t="shared" si="247"/>
        <v>0</v>
      </c>
    </row>
    <row r="7409" spans="76:77" x14ac:dyDescent="0.2">
      <c r="BX7409" s="214" t="e">
        <f t="shared" si="246"/>
        <v>#DIV/0!</v>
      </c>
      <c r="BY7409" s="215">
        <f t="shared" si="247"/>
        <v>0</v>
      </c>
    </row>
    <row r="7410" spans="76:77" x14ac:dyDescent="0.2">
      <c r="BX7410" s="214" t="e">
        <f t="shared" si="246"/>
        <v>#DIV/0!</v>
      </c>
      <c r="BY7410" s="215">
        <f t="shared" si="247"/>
        <v>0</v>
      </c>
    </row>
    <row r="7411" spans="76:77" x14ac:dyDescent="0.2">
      <c r="BX7411" s="214" t="e">
        <f t="shared" si="246"/>
        <v>#DIV/0!</v>
      </c>
      <c r="BY7411" s="215">
        <f t="shared" si="247"/>
        <v>0</v>
      </c>
    </row>
    <row r="7412" spans="76:77" x14ac:dyDescent="0.2">
      <c r="BX7412" s="214" t="e">
        <f t="shared" si="246"/>
        <v>#DIV/0!</v>
      </c>
      <c r="BY7412" s="215">
        <f t="shared" si="247"/>
        <v>0</v>
      </c>
    </row>
    <row r="7413" spans="76:77" x14ac:dyDescent="0.2">
      <c r="BX7413" s="214" t="e">
        <f t="shared" si="246"/>
        <v>#DIV/0!</v>
      </c>
      <c r="BY7413" s="215">
        <f t="shared" si="247"/>
        <v>0</v>
      </c>
    </row>
    <row r="7414" spans="76:77" x14ac:dyDescent="0.2">
      <c r="BX7414" s="214" t="e">
        <f t="shared" si="246"/>
        <v>#DIV/0!</v>
      </c>
      <c r="BY7414" s="215">
        <f t="shared" si="247"/>
        <v>0</v>
      </c>
    </row>
    <row r="7415" spans="76:77" x14ac:dyDescent="0.2">
      <c r="BX7415" s="214" t="e">
        <f t="shared" si="246"/>
        <v>#DIV/0!</v>
      </c>
      <c r="BY7415" s="215">
        <f t="shared" si="247"/>
        <v>0</v>
      </c>
    </row>
    <row r="7416" spans="76:77" x14ac:dyDescent="0.2">
      <c r="BX7416" s="214" t="e">
        <f t="shared" si="246"/>
        <v>#DIV/0!</v>
      </c>
      <c r="BY7416" s="215">
        <f t="shared" si="247"/>
        <v>0</v>
      </c>
    </row>
    <row r="7417" spans="76:77" x14ac:dyDescent="0.2">
      <c r="BX7417" s="214" t="e">
        <f t="shared" si="246"/>
        <v>#DIV/0!</v>
      </c>
      <c r="BY7417" s="215">
        <f t="shared" si="247"/>
        <v>0</v>
      </c>
    </row>
    <row r="7418" spans="76:77" x14ac:dyDescent="0.2">
      <c r="BX7418" s="214" t="e">
        <f t="shared" si="246"/>
        <v>#DIV/0!</v>
      </c>
      <c r="BY7418" s="215">
        <f t="shared" si="247"/>
        <v>0</v>
      </c>
    </row>
    <row r="7419" spans="76:77" x14ac:dyDescent="0.2">
      <c r="BX7419" s="214" t="e">
        <f t="shared" si="246"/>
        <v>#DIV/0!</v>
      </c>
      <c r="BY7419" s="215">
        <f t="shared" si="247"/>
        <v>0</v>
      </c>
    </row>
    <row r="7420" spans="76:77" x14ac:dyDescent="0.2">
      <c r="BX7420" s="214" t="e">
        <f t="shared" si="246"/>
        <v>#DIV/0!</v>
      </c>
      <c r="BY7420" s="215">
        <f t="shared" si="247"/>
        <v>0</v>
      </c>
    </row>
    <row r="7421" spans="76:77" x14ac:dyDescent="0.2">
      <c r="BX7421" s="214" t="e">
        <f t="shared" si="246"/>
        <v>#DIV/0!</v>
      </c>
      <c r="BY7421" s="215">
        <f t="shared" si="247"/>
        <v>0</v>
      </c>
    </row>
    <row r="7422" spans="76:77" x14ac:dyDescent="0.2">
      <c r="BX7422" s="214" t="e">
        <f t="shared" si="246"/>
        <v>#DIV/0!</v>
      </c>
      <c r="BY7422" s="215">
        <f t="shared" si="247"/>
        <v>0</v>
      </c>
    </row>
    <row r="7423" spans="76:77" x14ac:dyDescent="0.2">
      <c r="BX7423" s="214" t="e">
        <f t="shared" si="246"/>
        <v>#DIV/0!</v>
      </c>
      <c r="BY7423" s="215">
        <f t="shared" si="247"/>
        <v>0</v>
      </c>
    </row>
    <row r="7424" spans="76:77" x14ac:dyDescent="0.2">
      <c r="BX7424" s="214" t="e">
        <f t="shared" si="246"/>
        <v>#DIV/0!</v>
      </c>
      <c r="BY7424" s="215">
        <f t="shared" si="247"/>
        <v>0</v>
      </c>
    </row>
    <row r="7425" spans="76:77" x14ac:dyDescent="0.2">
      <c r="BX7425" s="214" t="e">
        <f t="shared" si="246"/>
        <v>#DIV/0!</v>
      </c>
      <c r="BY7425" s="215">
        <f t="shared" si="247"/>
        <v>0</v>
      </c>
    </row>
    <row r="7426" spans="76:77" x14ac:dyDescent="0.2">
      <c r="BX7426" s="214" t="e">
        <f t="shared" si="246"/>
        <v>#DIV/0!</v>
      </c>
      <c r="BY7426" s="215">
        <f t="shared" si="247"/>
        <v>0</v>
      </c>
    </row>
    <row r="7427" spans="76:77" x14ac:dyDescent="0.2">
      <c r="BX7427" s="214" t="e">
        <f t="shared" si="246"/>
        <v>#DIV/0!</v>
      </c>
      <c r="BY7427" s="215">
        <f t="shared" si="247"/>
        <v>0</v>
      </c>
    </row>
    <row r="7428" spans="76:77" x14ac:dyDescent="0.2">
      <c r="BX7428" s="214" t="e">
        <f t="shared" si="246"/>
        <v>#DIV/0!</v>
      </c>
      <c r="BY7428" s="215">
        <f t="shared" si="247"/>
        <v>0</v>
      </c>
    </row>
    <row r="7429" spans="76:77" x14ac:dyDescent="0.2">
      <c r="BX7429" s="214" t="e">
        <f t="shared" si="246"/>
        <v>#DIV/0!</v>
      </c>
      <c r="BY7429" s="215">
        <f t="shared" si="247"/>
        <v>0</v>
      </c>
    </row>
    <row r="7430" spans="76:77" x14ac:dyDescent="0.2">
      <c r="BX7430" s="214" t="e">
        <f t="shared" si="246"/>
        <v>#DIV/0!</v>
      </c>
      <c r="BY7430" s="215">
        <f t="shared" si="247"/>
        <v>0</v>
      </c>
    </row>
    <row r="7431" spans="76:77" x14ac:dyDescent="0.2">
      <c r="BX7431" s="214" t="e">
        <f t="shared" si="246"/>
        <v>#DIV/0!</v>
      </c>
      <c r="BY7431" s="215">
        <f t="shared" si="247"/>
        <v>0</v>
      </c>
    </row>
    <row r="7432" spans="76:77" x14ac:dyDescent="0.2">
      <c r="BX7432" s="214" t="e">
        <f t="shared" si="246"/>
        <v>#DIV/0!</v>
      </c>
      <c r="BY7432" s="215">
        <f t="shared" si="247"/>
        <v>0</v>
      </c>
    </row>
    <row r="7433" spans="76:77" x14ac:dyDescent="0.2">
      <c r="BX7433" s="214" t="e">
        <f t="shared" si="246"/>
        <v>#DIV/0!</v>
      </c>
      <c r="BY7433" s="215">
        <f t="shared" si="247"/>
        <v>0</v>
      </c>
    </row>
    <row r="7434" spans="76:77" x14ac:dyDescent="0.2">
      <c r="BX7434" s="214" t="e">
        <f t="shared" si="246"/>
        <v>#DIV/0!</v>
      </c>
      <c r="BY7434" s="215">
        <f t="shared" si="247"/>
        <v>0</v>
      </c>
    </row>
    <row r="7435" spans="76:77" x14ac:dyDescent="0.2">
      <c r="BX7435" s="214" t="e">
        <f t="shared" si="246"/>
        <v>#DIV/0!</v>
      </c>
      <c r="BY7435" s="215">
        <f t="shared" si="247"/>
        <v>0</v>
      </c>
    </row>
    <row r="7436" spans="76:77" x14ac:dyDescent="0.2">
      <c r="BX7436" s="214" t="e">
        <f t="shared" si="246"/>
        <v>#DIV/0!</v>
      </c>
      <c r="BY7436" s="215">
        <f t="shared" si="247"/>
        <v>0</v>
      </c>
    </row>
    <row r="7437" spans="76:77" x14ac:dyDescent="0.2">
      <c r="BX7437" s="214" t="e">
        <f t="shared" ref="BX7437:BX7500" si="248">BY7437/BV7437</f>
        <v>#DIV/0!</v>
      </c>
      <c r="BY7437" s="215">
        <f t="shared" si="247"/>
        <v>0</v>
      </c>
    </row>
    <row r="7438" spans="76:77" x14ac:dyDescent="0.2">
      <c r="BX7438" s="214" t="e">
        <f t="shared" si="248"/>
        <v>#DIV/0!</v>
      </c>
      <c r="BY7438" s="215">
        <f t="shared" ref="BY7438:BY7501" si="249">BY7437+BW7438*(BV7438-BV7437)</f>
        <v>0</v>
      </c>
    </row>
    <row r="7439" spans="76:77" x14ac:dyDescent="0.2">
      <c r="BX7439" s="214" t="e">
        <f t="shared" si="248"/>
        <v>#DIV/0!</v>
      </c>
      <c r="BY7439" s="215">
        <f t="shared" si="249"/>
        <v>0</v>
      </c>
    </row>
    <row r="7440" spans="76:77" x14ac:dyDescent="0.2">
      <c r="BX7440" s="214" t="e">
        <f t="shared" si="248"/>
        <v>#DIV/0!</v>
      </c>
      <c r="BY7440" s="215">
        <f t="shared" si="249"/>
        <v>0</v>
      </c>
    </row>
    <row r="7441" spans="76:77" x14ac:dyDescent="0.2">
      <c r="BX7441" s="214" t="e">
        <f t="shared" si="248"/>
        <v>#DIV/0!</v>
      </c>
      <c r="BY7441" s="215">
        <f t="shared" si="249"/>
        <v>0</v>
      </c>
    </row>
    <row r="7442" spans="76:77" x14ac:dyDescent="0.2">
      <c r="BX7442" s="214" t="e">
        <f t="shared" si="248"/>
        <v>#DIV/0!</v>
      </c>
      <c r="BY7442" s="215">
        <f t="shared" si="249"/>
        <v>0</v>
      </c>
    </row>
    <row r="7443" spans="76:77" x14ac:dyDescent="0.2">
      <c r="BX7443" s="214" t="e">
        <f t="shared" si="248"/>
        <v>#DIV/0!</v>
      </c>
      <c r="BY7443" s="215">
        <f t="shared" si="249"/>
        <v>0</v>
      </c>
    </row>
    <row r="7444" spans="76:77" x14ac:dyDescent="0.2">
      <c r="BX7444" s="214" t="e">
        <f t="shared" si="248"/>
        <v>#DIV/0!</v>
      </c>
      <c r="BY7444" s="215">
        <f t="shared" si="249"/>
        <v>0</v>
      </c>
    </row>
    <row r="7445" spans="76:77" x14ac:dyDescent="0.2">
      <c r="BX7445" s="214" t="e">
        <f t="shared" si="248"/>
        <v>#DIV/0!</v>
      </c>
      <c r="BY7445" s="215">
        <f t="shared" si="249"/>
        <v>0</v>
      </c>
    </row>
    <row r="7446" spans="76:77" x14ac:dyDescent="0.2">
      <c r="BX7446" s="214" t="e">
        <f t="shared" si="248"/>
        <v>#DIV/0!</v>
      </c>
      <c r="BY7446" s="215">
        <f t="shared" si="249"/>
        <v>0</v>
      </c>
    </row>
    <row r="7447" spans="76:77" x14ac:dyDescent="0.2">
      <c r="BX7447" s="214" t="e">
        <f t="shared" si="248"/>
        <v>#DIV/0!</v>
      </c>
      <c r="BY7447" s="215">
        <f t="shared" si="249"/>
        <v>0</v>
      </c>
    </row>
    <row r="7448" spans="76:77" x14ac:dyDescent="0.2">
      <c r="BX7448" s="214" t="e">
        <f t="shared" si="248"/>
        <v>#DIV/0!</v>
      </c>
      <c r="BY7448" s="215">
        <f t="shared" si="249"/>
        <v>0</v>
      </c>
    </row>
    <row r="7449" spans="76:77" x14ac:dyDescent="0.2">
      <c r="BX7449" s="214" t="e">
        <f t="shared" si="248"/>
        <v>#DIV/0!</v>
      </c>
      <c r="BY7449" s="215">
        <f t="shared" si="249"/>
        <v>0</v>
      </c>
    </row>
    <row r="7450" spans="76:77" x14ac:dyDescent="0.2">
      <c r="BX7450" s="214" t="e">
        <f t="shared" si="248"/>
        <v>#DIV/0!</v>
      </c>
      <c r="BY7450" s="215">
        <f t="shared" si="249"/>
        <v>0</v>
      </c>
    </row>
    <row r="7451" spans="76:77" x14ac:dyDescent="0.2">
      <c r="BX7451" s="214" t="e">
        <f t="shared" si="248"/>
        <v>#DIV/0!</v>
      </c>
      <c r="BY7451" s="215">
        <f t="shared" si="249"/>
        <v>0</v>
      </c>
    </row>
    <row r="7452" spans="76:77" x14ac:dyDescent="0.2">
      <c r="BX7452" s="214" t="e">
        <f t="shared" si="248"/>
        <v>#DIV/0!</v>
      </c>
      <c r="BY7452" s="215">
        <f t="shared" si="249"/>
        <v>0</v>
      </c>
    </row>
    <row r="7453" spans="76:77" x14ac:dyDescent="0.2">
      <c r="BX7453" s="214" t="e">
        <f t="shared" si="248"/>
        <v>#DIV/0!</v>
      </c>
      <c r="BY7453" s="215">
        <f t="shared" si="249"/>
        <v>0</v>
      </c>
    </row>
    <row r="7454" spans="76:77" x14ac:dyDescent="0.2">
      <c r="BX7454" s="214" t="e">
        <f t="shared" si="248"/>
        <v>#DIV/0!</v>
      </c>
      <c r="BY7454" s="215">
        <f t="shared" si="249"/>
        <v>0</v>
      </c>
    </row>
    <row r="7455" spans="76:77" x14ac:dyDescent="0.2">
      <c r="BX7455" s="214" t="e">
        <f t="shared" si="248"/>
        <v>#DIV/0!</v>
      </c>
      <c r="BY7455" s="215">
        <f t="shared" si="249"/>
        <v>0</v>
      </c>
    </row>
    <row r="7456" spans="76:77" x14ac:dyDescent="0.2">
      <c r="BX7456" s="214" t="e">
        <f t="shared" si="248"/>
        <v>#DIV/0!</v>
      </c>
      <c r="BY7456" s="215">
        <f t="shared" si="249"/>
        <v>0</v>
      </c>
    </row>
    <row r="7457" spans="76:77" x14ac:dyDescent="0.2">
      <c r="BX7457" s="214" t="e">
        <f t="shared" si="248"/>
        <v>#DIV/0!</v>
      </c>
      <c r="BY7457" s="215">
        <f t="shared" si="249"/>
        <v>0</v>
      </c>
    </row>
    <row r="7458" spans="76:77" x14ac:dyDescent="0.2">
      <c r="BX7458" s="214" t="e">
        <f t="shared" si="248"/>
        <v>#DIV/0!</v>
      </c>
      <c r="BY7458" s="215">
        <f t="shared" si="249"/>
        <v>0</v>
      </c>
    </row>
    <row r="7459" spans="76:77" x14ac:dyDescent="0.2">
      <c r="BX7459" s="214" t="e">
        <f t="shared" si="248"/>
        <v>#DIV/0!</v>
      </c>
      <c r="BY7459" s="215">
        <f t="shared" si="249"/>
        <v>0</v>
      </c>
    </row>
    <row r="7460" spans="76:77" x14ac:dyDescent="0.2">
      <c r="BX7460" s="214" t="e">
        <f t="shared" si="248"/>
        <v>#DIV/0!</v>
      </c>
      <c r="BY7460" s="215">
        <f t="shared" si="249"/>
        <v>0</v>
      </c>
    </row>
    <row r="7461" spans="76:77" x14ac:dyDescent="0.2">
      <c r="BX7461" s="214" t="e">
        <f t="shared" si="248"/>
        <v>#DIV/0!</v>
      </c>
      <c r="BY7461" s="215">
        <f t="shared" si="249"/>
        <v>0</v>
      </c>
    </row>
    <row r="7462" spans="76:77" x14ac:dyDescent="0.2">
      <c r="BX7462" s="214" t="e">
        <f t="shared" si="248"/>
        <v>#DIV/0!</v>
      </c>
      <c r="BY7462" s="215">
        <f t="shared" si="249"/>
        <v>0</v>
      </c>
    </row>
    <row r="7463" spans="76:77" x14ac:dyDescent="0.2">
      <c r="BX7463" s="214" t="e">
        <f t="shared" si="248"/>
        <v>#DIV/0!</v>
      </c>
      <c r="BY7463" s="215">
        <f t="shared" si="249"/>
        <v>0</v>
      </c>
    </row>
    <row r="7464" spans="76:77" x14ac:dyDescent="0.2">
      <c r="BX7464" s="214" t="e">
        <f t="shared" si="248"/>
        <v>#DIV/0!</v>
      </c>
      <c r="BY7464" s="215">
        <f t="shared" si="249"/>
        <v>0</v>
      </c>
    </row>
    <row r="7465" spans="76:77" x14ac:dyDescent="0.2">
      <c r="BX7465" s="214" t="e">
        <f t="shared" si="248"/>
        <v>#DIV/0!</v>
      </c>
      <c r="BY7465" s="215">
        <f t="shared" si="249"/>
        <v>0</v>
      </c>
    </row>
    <row r="7466" spans="76:77" x14ac:dyDescent="0.2">
      <c r="BX7466" s="214" t="e">
        <f t="shared" si="248"/>
        <v>#DIV/0!</v>
      </c>
      <c r="BY7466" s="215">
        <f t="shared" si="249"/>
        <v>0</v>
      </c>
    </row>
    <row r="7467" spans="76:77" x14ac:dyDescent="0.2">
      <c r="BX7467" s="214" t="e">
        <f t="shared" si="248"/>
        <v>#DIV/0!</v>
      </c>
      <c r="BY7467" s="215">
        <f t="shared" si="249"/>
        <v>0</v>
      </c>
    </row>
    <row r="7468" spans="76:77" x14ac:dyDescent="0.2">
      <c r="BX7468" s="214" t="e">
        <f t="shared" si="248"/>
        <v>#DIV/0!</v>
      </c>
      <c r="BY7468" s="215">
        <f t="shared" si="249"/>
        <v>0</v>
      </c>
    </row>
    <row r="7469" spans="76:77" x14ac:dyDescent="0.2">
      <c r="BX7469" s="214" t="e">
        <f t="shared" si="248"/>
        <v>#DIV/0!</v>
      </c>
      <c r="BY7469" s="215">
        <f t="shared" si="249"/>
        <v>0</v>
      </c>
    </row>
    <row r="7470" spans="76:77" x14ac:dyDescent="0.2">
      <c r="BX7470" s="214" t="e">
        <f t="shared" si="248"/>
        <v>#DIV/0!</v>
      </c>
      <c r="BY7470" s="215">
        <f t="shared" si="249"/>
        <v>0</v>
      </c>
    </row>
    <row r="7471" spans="76:77" x14ac:dyDescent="0.2">
      <c r="BX7471" s="214" t="e">
        <f t="shared" si="248"/>
        <v>#DIV/0!</v>
      </c>
      <c r="BY7471" s="215">
        <f t="shared" si="249"/>
        <v>0</v>
      </c>
    </row>
    <row r="7472" spans="76:77" x14ac:dyDescent="0.2">
      <c r="BX7472" s="214" t="e">
        <f t="shared" si="248"/>
        <v>#DIV/0!</v>
      </c>
      <c r="BY7472" s="215">
        <f t="shared" si="249"/>
        <v>0</v>
      </c>
    </row>
    <row r="7473" spans="76:77" x14ac:dyDescent="0.2">
      <c r="BX7473" s="214" t="e">
        <f t="shared" si="248"/>
        <v>#DIV/0!</v>
      </c>
      <c r="BY7473" s="215">
        <f t="shared" si="249"/>
        <v>0</v>
      </c>
    </row>
    <row r="7474" spans="76:77" x14ac:dyDescent="0.2">
      <c r="BX7474" s="214" t="e">
        <f t="shared" si="248"/>
        <v>#DIV/0!</v>
      </c>
      <c r="BY7474" s="215">
        <f t="shared" si="249"/>
        <v>0</v>
      </c>
    </row>
    <row r="7475" spans="76:77" x14ac:dyDescent="0.2">
      <c r="BX7475" s="214" t="e">
        <f t="shared" si="248"/>
        <v>#DIV/0!</v>
      </c>
      <c r="BY7475" s="215">
        <f t="shared" si="249"/>
        <v>0</v>
      </c>
    </row>
    <row r="7476" spans="76:77" x14ac:dyDescent="0.2">
      <c r="BX7476" s="214" t="e">
        <f t="shared" si="248"/>
        <v>#DIV/0!</v>
      </c>
      <c r="BY7476" s="215">
        <f t="shared" si="249"/>
        <v>0</v>
      </c>
    </row>
    <row r="7477" spans="76:77" x14ac:dyDescent="0.2">
      <c r="BX7477" s="214" t="e">
        <f t="shared" si="248"/>
        <v>#DIV/0!</v>
      </c>
      <c r="BY7477" s="215">
        <f t="shared" si="249"/>
        <v>0</v>
      </c>
    </row>
    <row r="7478" spans="76:77" x14ac:dyDescent="0.2">
      <c r="BX7478" s="214" t="e">
        <f t="shared" si="248"/>
        <v>#DIV/0!</v>
      </c>
      <c r="BY7478" s="215">
        <f t="shared" si="249"/>
        <v>0</v>
      </c>
    </row>
    <row r="7479" spans="76:77" x14ac:dyDescent="0.2">
      <c r="BX7479" s="214" t="e">
        <f t="shared" si="248"/>
        <v>#DIV/0!</v>
      </c>
      <c r="BY7479" s="215">
        <f t="shared" si="249"/>
        <v>0</v>
      </c>
    </row>
    <row r="7480" spans="76:77" x14ac:dyDescent="0.2">
      <c r="BX7480" s="214" t="e">
        <f t="shared" si="248"/>
        <v>#DIV/0!</v>
      </c>
      <c r="BY7480" s="215">
        <f t="shared" si="249"/>
        <v>0</v>
      </c>
    </row>
    <row r="7481" spans="76:77" x14ac:dyDescent="0.2">
      <c r="BX7481" s="214" t="e">
        <f t="shared" si="248"/>
        <v>#DIV/0!</v>
      </c>
      <c r="BY7481" s="215">
        <f t="shared" si="249"/>
        <v>0</v>
      </c>
    </row>
    <row r="7482" spans="76:77" x14ac:dyDescent="0.2">
      <c r="BX7482" s="214" t="e">
        <f t="shared" si="248"/>
        <v>#DIV/0!</v>
      </c>
      <c r="BY7482" s="215">
        <f t="shared" si="249"/>
        <v>0</v>
      </c>
    </row>
    <row r="7483" spans="76:77" x14ac:dyDescent="0.2">
      <c r="BX7483" s="214" t="e">
        <f t="shared" si="248"/>
        <v>#DIV/0!</v>
      </c>
      <c r="BY7483" s="215">
        <f t="shared" si="249"/>
        <v>0</v>
      </c>
    </row>
    <row r="7484" spans="76:77" x14ac:dyDescent="0.2">
      <c r="BX7484" s="214" t="e">
        <f t="shared" si="248"/>
        <v>#DIV/0!</v>
      </c>
      <c r="BY7484" s="215">
        <f t="shared" si="249"/>
        <v>0</v>
      </c>
    </row>
    <row r="7485" spans="76:77" x14ac:dyDescent="0.2">
      <c r="BX7485" s="214" t="e">
        <f t="shared" si="248"/>
        <v>#DIV/0!</v>
      </c>
      <c r="BY7485" s="215">
        <f t="shared" si="249"/>
        <v>0</v>
      </c>
    </row>
    <row r="7486" spans="76:77" x14ac:dyDescent="0.2">
      <c r="BX7486" s="214" t="e">
        <f t="shared" si="248"/>
        <v>#DIV/0!</v>
      </c>
      <c r="BY7486" s="215">
        <f t="shared" si="249"/>
        <v>0</v>
      </c>
    </row>
    <row r="7487" spans="76:77" x14ac:dyDescent="0.2">
      <c r="BX7487" s="214" t="e">
        <f t="shared" si="248"/>
        <v>#DIV/0!</v>
      </c>
      <c r="BY7487" s="215">
        <f t="shared" si="249"/>
        <v>0</v>
      </c>
    </row>
    <row r="7488" spans="76:77" x14ac:dyDescent="0.2">
      <c r="BX7488" s="214" t="e">
        <f t="shared" si="248"/>
        <v>#DIV/0!</v>
      </c>
      <c r="BY7488" s="215">
        <f t="shared" si="249"/>
        <v>0</v>
      </c>
    </row>
    <row r="7489" spans="76:77" x14ac:dyDescent="0.2">
      <c r="BX7489" s="214" t="e">
        <f t="shared" si="248"/>
        <v>#DIV/0!</v>
      </c>
      <c r="BY7489" s="215">
        <f t="shared" si="249"/>
        <v>0</v>
      </c>
    </row>
    <row r="7490" spans="76:77" x14ac:dyDescent="0.2">
      <c r="BX7490" s="214" t="e">
        <f t="shared" si="248"/>
        <v>#DIV/0!</v>
      </c>
      <c r="BY7490" s="215">
        <f t="shared" si="249"/>
        <v>0</v>
      </c>
    </row>
    <row r="7491" spans="76:77" x14ac:dyDescent="0.2">
      <c r="BX7491" s="214" t="e">
        <f t="shared" si="248"/>
        <v>#DIV/0!</v>
      </c>
      <c r="BY7491" s="215">
        <f t="shared" si="249"/>
        <v>0</v>
      </c>
    </row>
    <row r="7492" spans="76:77" x14ac:dyDescent="0.2">
      <c r="BX7492" s="214" t="e">
        <f t="shared" si="248"/>
        <v>#DIV/0!</v>
      </c>
      <c r="BY7492" s="215">
        <f t="shared" si="249"/>
        <v>0</v>
      </c>
    </row>
    <row r="7493" spans="76:77" x14ac:dyDescent="0.2">
      <c r="BX7493" s="214" t="e">
        <f t="shared" si="248"/>
        <v>#DIV/0!</v>
      </c>
      <c r="BY7493" s="215">
        <f t="shared" si="249"/>
        <v>0</v>
      </c>
    </row>
    <row r="7494" spans="76:77" x14ac:dyDescent="0.2">
      <c r="BX7494" s="214" t="e">
        <f t="shared" si="248"/>
        <v>#DIV/0!</v>
      </c>
      <c r="BY7494" s="215">
        <f t="shared" si="249"/>
        <v>0</v>
      </c>
    </row>
    <row r="7495" spans="76:77" x14ac:dyDescent="0.2">
      <c r="BX7495" s="214" t="e">
        <f t="shared" si="248"/>
        <v>#DIV/0!</v>
      </c>
      <c r="BY7495" s="215">
        <f t="shared" si="249"/>
        <v>0</v>
      </c>
    </row>
    <row r="7496" spans="76:77" x14ac:dyDescent="0.2">
      <c r="BX7496" s="214" t="e">
        <f t="shared" si="248"/>
        <v>#DIV/0!</v>
      </c>
      <c r="BY7496" s="215">
        <f t="shared" si="249"/>
        <v>0</v>
      </c>
    </row>
    <row r="7497" spans="76:77" x14ac:dyDescent="0.2">
      <c r="BX7497" s="214" t="e">
        <f t="shared" si="248"/>
        <v>#DIV/0!</v>
      </c>
      <c r="BY7497" s="215">
        <f t="shared" si="249"/>
        <v>0</v>
      </c>
    </row>
    <row r="7498" spans="76:77" x14ac:dyDescent="0.2">
      <c r="BX7498" s="214" t="e">
        <f t="shared" si="248"/>
        <v>#DIV/0!</v>
      </c>
      <c r="BY7498" s="215">
        <f t="shared" si="249"/>
        <v>0</v>
      </c>
    </row>
    <row r="7499" spans="76:77" x14ac:dyDescent="0.2">
      <c r="BX7499" s="214" t="e">
        <f t="shared" si="248"/>
        <v>#DIV/0!</v>
      </c>
      <c r="BY7499" s="215">
        <f t="shared" si="249"/>
        <v>0</v>
      </c>
    </row>
    <row r="7500" spans="76:77" x14ac:dyDescent="0.2">
      <c r="BX7500" s="214" t="e">
        <f t="shared" si="248"/>
        <v>#DIV/0!</v>
      </c>
      <c r="BY7500" s="215">
        <f t="shared" si="249"/>
        <v>0</v>
      </c>
    </row>
    <row r="7501" spans="76:77" x14ac:dyDescent="0.2">
      <c r="BX7501" s="214" t="e">
        <f t="shared" ref="BX7501:BX7564" si="250">BY7501/BV7501</f>
        <v>#DIV/0!</v>
      </c>
      <c r="BY7501" s="215">
        <f t="shared" si="249"/>
        <v>0</v>
      </c>
    </row>
    <row r="7502" spans="76:77" x14ac:dyDescent="0.2">
      <c r="BX7502" s="214" t="e">
        <f t="shared" si="250"/>
        <v>#DIV/0!</v>
      </c>
      <c r="BY7502" s="215">
        <f t="shared" ref="BY7502:BY7565" si="251">BY7501+BW7502*(BV7502-BV7501)</f>
        <v>0</v>
      </c>
    </row>
    <row r="7503" spans="76:77" x14ac:dyDescent="0.2">
      <c r="BX7503" s="214" t="e">
        <f t="shared" si="250"/>
        <v>#DIV/0!</v>
      </c>
      <c r="BY7503" s="215">
        <f t="shared" si="251"/>
        <v>0</v>
      </c>
    </row>
    <row r="7504" spans="76:77" x14ac:dyDescent="0.2">
      <c r="BX7504" s="214" t="e">
        <f t="shared" si="250"/>
        <v>#DIV/0!</v>
      </c>
      <c r="BY7504" s="215">
        <f t="shared" si="251"/>
        <v>0</v>
      </c>
    </row>
    <row r="7505" spans="76:77" x14ac:dyDescent="0.2">
      <c r="BX7505" s="214" t="e">
        <f t="shared" si="250"/>
        <v>#DIV/0!</v>
      </c>
      <c r="BY7505" s="215">
        <f t="shared" si="251"/>
        <v>0</v>
      </c>
    </row>
    <row r="7506" spans="76:77" x14ac:dyDescent="0.2">
      <c r="BX7506" s="214" t="e">
        <f t="shared" si="250"/>
        <v>#DIV/0!</v>
      </c>
      <c r="BY7506" s="215">
        <f t="shared" si="251"/>
        <v>0</v>
      </c>
    </row>
    <row r="7507" spans="76:77" x14ac:dyDescent="0.2">
      <c r="BX7507" s="214" t="e">
        <f t="shared" si="250"/>
        <v>#DIV/0!</v>
      </c>
      <c r="BY7507" s="215">
        <f t="shared" si="251"/>
        <v>0</v>
      </c>
    </row>
    <row r="7508" spans="76:77" x14ac:dyDescent="0.2">
      <c r="BX7508" s="214" t="e">
        <f t="shared" si="250"/>
        <v>#DIV/0!</v>
      </c>
      <c r="BY7508" s="215">
        <f t="shared" si="251"/>
        <v>0</v>
      </c>
    </row>
    <row r="7509" spans="76:77" x14ac:dyDescent="0.2">
      <c r="BX7509" s="214" t="e">
        <f t="shared" si="250"/>
        <v>#DIV/0!</v>
      </c>
      <c r="BY7509" s="215">
        <f t="shared" si="251"/>
        <v>0</v>
      </c>
    </row>
    <row r="7510" spans="76:77" x14ac:dyDescent="0.2">
      <c r="BX7510" s="214" t="e">
        <f t="shared" si="250"/>
        <v>#DIV/0!</v>
      </c>
      <c r="BY7510" s="215">
        <f t="shared" si="251"/>
        <v>0</v>
      </c>
    </row>
    <row r="7511" spans="76:77" x14ac:dyDescent="0.2">
      <c r="BX7511" s="214" t="e">
        <f t="shared" si="250"/>
        <v>#DIV/0!</v>
      </c>
      <c r="BY7511" s="215">
        <f t="shared" si="251"/>
        <v>0</v>
      </c>
    </row>
    <row r="7512" spans="76:77" x14ac:dyDescent="0.2">
      <c r="BX7512" s="214" t="e">
        <f t="shared" si="250"/>
        <v>#DIV/0!</v>
      </c>
      <c r="BY7512" s="215">
        <f t="shared" si="251"/>
        <v>0</v>
      </c>
    </row>
    <row r="7513" spans="76:77" x14ac:dyDescent="0.2">
      <c r="BX7513" s="214" t="e">
        <f t="shared" si="250"/>
        <v>#DIV/0!</v>
      </c>
      <c r="BY7513" s="215">
        <f t="shared" si="251"/>
        <v>0</v>
      </c>
    </row>
    <row r="7514" spans="76:77" x14ac:dyDescent="0.2">
      <c r="BX7514" s="214" t="e">
        <f t="shared" si="250"/>
        <v>#DIV/0!</v>
      </c>
      <c r="BY7514" s="215">
        <f t="shared" si="251"/>
        <v>0</v>
      </c>
    </row>
    <row r="7515" spans="76:77" x14ac:dyDescent="0.2">
      <c r="BX7515" s="214" t="e">
        <f t="shared" si="250"/>
        <v>#DIV/0!</v>
      </c>
      <c r="BY7515" s="215">
        <f t="shared" si="251"/>
        <v>0</v>
      </c>
    </row>
    <row r="7516" spans="76:77" x14ac:dyDescent="0.2">
      <c r="BX7516" s="214" t="e">
        <f t="shared" si="250"/>
        <v>#DIV/0!</v>
      </c>
      <c r="BY7516" s="215">
        <f t="shared" si="251"/>
        <v>0</v>
      </c>
    </row>
    <row r="7517" spans="76:77" x14ac:dyDescent="0.2">
      <c r="BX7517" s="214" t="e">
        <f t="shared" si="250"/>
        <v>#DIV/0!</v>
      </c>
      <c r="BY7517" s="215">
        <f t="shared" si="251"/>
        <v>0</v>
      </c>
    </row>
    <row r="7518" spans="76:77" x14ac:dyDescent="0.2">
      <c r="BX7518" s="214" t="e">
        <f t="shared" si="250"/>
        <v>#DIV/0!</v>
      </c>
      <c r="BY7518" s="215">
        <f t="shared" si="251"/>
        <v>0</v>
      </c>
    </row>
    <row r="7519" spans="76:77" x14ac:dyDescent="0.2">
      <c r="BX7519" s="214" t="e">
        <f t="shared" si="250"/>
        <v>#DIV/0!</v>
      </c>
      <c r="BY7519" s="215">
        <f t="shared" si="251"/>
        <v>0</v>
      </c>
    </row>
    <row r="7520" spans="76:77" x14ac:dyDescent="0.2">
      <c r="BX7520" s="214" t="e">
        <f t="shared" si="250"/>
        <v>#DIV/0!</v>
      </c>
      <c r="BY7520" s="215">
        <f t="shared" si="251"/>
        <v>0</v>
      </c>
    </row>
    <row r="7521" spans="76:77" x14ac:dyDescent="0.2">
      <c r="BX7521" s="214" t="e">
        <f t="shared" si="250"/>
        <v>#DIV/0!</v>
      </c>
      <c r="BY7521" s="215">
        <f t="shared" si="251"/>
        <v>0</v>
      </c>
    </row>
    <row r="7522" spans="76:77" x14ac:dyDescent="0.2">
      <c r="BX7522" s="214" t="e">
        <f t="shared" si="250"/>
        <v>#DIV/0!</v>
      </c>
      <c r="BY7522" s="215">
        <f t="shared" si="251"/>
        <v>0</v>
      </c>
    </row>
    <row r="7523" spans="76:77" x14ac:dyDescent="0.2">
      <c r="BX7523" s="214" t="e">
        <f t="shared" si="250"/>
        <v>#DIV/0!</v>
      </c>
      <c r="BY7523" s="215">
        <f t="shared" si="251"/>
        <v>0</v>
      </c>
    </row>
    <row r="7524" spans="76:77" x14ac:dyDescent="0.2">
      <c r="BX7524" s="214" t="e">
        <f t="shared" si="250"/>
        <v>#DIV/0!</v>
      </c>
      <c r="BY7524" s="215">
        <f t="shared" si="251"/>
        <v>0</v>
      </c>
    </row>
    <row r="7525" spans="76:77" x14ac:dyDescent="0.2">
      <c r="BX7525" s="214" t="e">
        <f t="shared" si="250"/>
        <v>#DIV/0!</v>
      </c>
      <c r="BY7525" s="215">
        <f t="shared" si="251"/>
        <v>0</v>
      </c>
    </row>
    <row r="7526" spans="76:77" x14ac:dyDescent="0.2">
      <c r="BX7526" s="214" t="e">
        <f t="shared" si="250"/>
        <v>#DIV/0!</v>
      </c>
      <c r="BY7526" s="215">
        <f t="shared" si="251"/>
        <v>0</v>
      </c>
    </row>
    <row r="7527" spans="76:77" x14ac:dyDescent="0.2">
      <c r="BX7527" s="214" t="e">
        <f t="shared" si="250"/>
        <v>#DIV/0!</v>
      </c>
      <c r="BY7527" s="215">
        <f t="shared" si="251"/>
        <v>0</v>
      </c>
    </row>
    <row r="7528" spans="76:77" x14ac:dyDescent="0.2">
      <c r="BX7528" s="214" t="e">
        <f t="shared" si="250"/>
        <v>#DIV/0!</v>
      </c>
      <c r="BY7528" s="215">
        <f t="shared" si="251"/>
        <v>0</v>
      </c>
    </row>
    <row r="7529" spans="76:77" x14ac:dyDescent="0.2">
      <c r="BX7529" s="214" t="e">
        <f t="shared" si="250"/>
        <v>#DIV/0!</v>
      </c>
      <c r="BY7529" s="215">
        <f t="shared" si="251"/>
        <v>0</v>
      </c>
    </row>
    <row r="7530" spans="76:77" x14ac:dyDescent="0.2">
      <c r="BX7530" s="214" t="e">
        <f t="shared" si="250"/>
        <v>#DIV/0!</v>
      </c>
      <c r="BY7530" s="215">
        <f t="shared" si="251"/>
        <v>0</v>
      </c>
    </row>
    <row r="7531" spans="76:77" x14ac:dyDescent="0.2">
      <c r="BX7531" s="214" t="e">
        <f t="shared" si="250"/>
        <v>#DIV/0!</v>
      </c>
      <c r="BY7531" s="215">
        <f t="shared" si="251"/>
        <v>0</v>
      </c>
    </row>
    <row r="7532" spans="76:77" x14ac:dyDescent="0.2">
      <c r="BX7532" s="214" t="e">
        <f t="shared" si="250"/>
        <v>#DIV/0!</v>
      </c>
      <c r="BY7532" s="215">
        <f t="shared" si="251"/>
        <v>0</v>
      </c>
    </row>
    <row r="7533" spans="76:77" x14ac:dyDescent="0.2">
      <c r="BX7533" s="214" t="e">
        <f t="shared" si="250"/>
        <v>#DIV/0!</v>
      </c>
      <c r="BY7533" s="215">
        <f t="shared" si="251"/>
        <v>0</v>
      </c>
    </row>
    <row r="7534" spans="76:77" x14ac:dyDescent="0.2">
      <c r="BX7534" s="214" t="e">
        <f t="shared" si="250"/>
        <v>#DIV/0!</v>
      </c>
      <c r="BY7534" s="215">
        <f t="shared" si="251"/>
        <v>0</v>
      </c>
    </row>
    <row r="7535" spans="76:77" x14ac:dyDescent="0.2">
      <c r="BX7535" s="214" t="e">
        <f t="shared" si="250"/>
        <v>#DIV/0!</v>
      </c>
      <c r="BY7535" s="215">
        <f t="shared" si="251"/>
        <v>0</v>
      </c>
    </row>
    <row r="7536" spans="76:77" x14ac:dyDescent="0.2">
      <c r="BX7536" s="214" t="e">
        <f t="shared" si="250"/>
        <v>#DIV/0!</v>
      </c>
      <c r="BY7536" s="215">
        <f t="shared" si="251"/>
        <v>0</v>
      </c>
    </row>
    <row r="7537" spans="76:77" x14ac:dyDescent="0.2">
      <c r="BX7537" s="214" t="e">
        <f t="shared" si="250"/>
        <v>#DIV/0!</v>
      </c>
      <c r="BY7537" s="215">
        <f t="shared" si="251"/>
        <v>0</v>
      </c>
    </row>
    <row r="7538" spans="76:77" x14ac:dyDescent="0.2">
      <c r="BX7538" s="214" t="e">
        <f t="shared" si="250"/>
        <v>#DIV/0!</v>
      </c>
      <c r="BY7538" s="215">
        <f t="shared" si="251"/>
        <v>0</v>
      </c>
    </row>
    <row r="7539" spans="76:77" x14ac:dyDescent="0.2">
      <c r="BX7539" s="214" t="e">
        <f t="shared" si="250"/>
        <v>#DIV/0!</v>
      </c>
      <c r="BY7539" s="215">
        <f t="shared" si="251"/>
        <v>0</v>
      </c>
    </row>
    <row r="7540" spans="76:77" x14ac:dyDescent="0.2">
      <c r="BX7540" s="214" t="e">
        <f t="shared" si="250"/>
        <v>#DIV/0!</v>
      </c>
      <c r="BY7540" s="215">
        <f t="shared" si="251"/>
        <v>0</v>
      </c>
    </row>
    <row r="7541" spans="76:77" x14ac:dyDescent="0.2">
      <c r="BX7541" s="214" t="e">
        <f t="shared" si="250"/>
        <v>#DIV/0!</v>
      </c>
      <c r="BY7541" s="215">
        <f t="shared" si="251"/>
        <v>0</v>
      </c>
    </row>
    <row r="7542" spans="76:77" x14ac:dyDescent="0.2">
      <c r="BX7542" s="214" t="e">
        <f t="shared" si="250"/>
        <v>#DIV/0!</v>
      </c>
      <c r="BY7542" s="215">
        <f t="shared" si="251"/>
        <v>0</v>
      </c>
    </row>
    <row r="7543" spans="76:77" x14ac:dyDescent="0.2">
      <c r="BX7543" s="214" t="e">
        <f t="shared" si="250"/>
        <v>#DIV/0!</v>
      </c>
      <c r="BY7543" s="215">
        <f t="shared" si="251"/>
        <v>0</v>
      </c>
    </row>
    <row r="7544" spans="76:77" x14ac:dyDescent="0.2">
      <c r="BX7544" s="214" t="e">
        <f t="shared" si="250"/>
        <v>#DIV/0!</v>
      </c>
      <c r="BY7544" s="215">
        <f t="shared" si="251"/>
        <v>0</v>
      </c>
    </row>
    <row r="7545" spans="76:77" x14ac:dyDescent="0.2">
      <c r="BX7545" s="214" t="e">
        <f t="shared" si="250"/>
        <v>#DIV/0!</v>
      </c>
      <c r="BY7545" s="215">
        <f t="shared" si="251"/>
        <v>0</v>
      </c>
    </row>
    <row r="7546" spans="76:77" x14ac:dyDescent="0.2">
      <c r="BX7546" s="214" t="e">
        <f t="shared" si="250"/>
        <v>#DIV/0!</v>
      </c>
      <c r="BY7546" s="215">
        <f t="shared" si="251"/>
        <v>0</v>
      </c>
    </row>
    <row r="7547" spans="76:77" x14ac:dyDescent="0.2">
      <c r="BX7547" s="214" t="e">
        <f t="shared" si="250"/>
        <v>#DIV/0!</v>
      </c>
      <c r="BY7547" s="215">
        <f t="shared" si="251"/>
        <v>0</v>
      </c>
    </row>
    <row r="7548" spans="76:77" x14ac:dyDescent="0.2">
      <c r="BX7548" s="214" t="e">
        <f t="shared" si="250"/>
        <v>#DIV/0!</v>
      </c>
      <c r="BY7548" s="215">
        <f t="shared" si="251"/>
        <v>0</v>
      </c>
    </row>
    <row r="7549" spans="76:77" x14ac:dyDescent="0.2">
      <c r="BX7549" s="214" t="e">
        <f t="shared" si="250"/>
        <v>#DIV/0!</v>
      </c>
      <c r="BY7549" s="215">
        <f t="shared" si="251"/>
        <v>0</v>
      </c>
    </row>
    <row r="7550" spans="76:77" x14ac:dyDescent="0.2">
      <c r="BX7550" s="214" t="e">
        <f t="shared" si="250"/>
        <v>#DIV/0!</v>
      </c>
      <c r="BY7550" s="215">
        <f t="shared" si="251"/>
        <v>0</v>
      </c>
    </row>
    <row r="7551" spans="76:77" x14ac:dyDescent="0.2">
      <c r="BX7551" s="214" t="e">
        <f t="shared" si="250"/>
        <v>#DIV/0!</v>
      </c>
      <c r="BY7551" s="215">
        <f t="shared" si="251"/>
        <v>0</v>
      </c>
    </row>
    <row r="7552" spans="76:77" x14ac:dyDescent="0.2">
      <c r="BX7552" s="214" t="e">
        <f t="shared" si="250"/>
        <v>#DIV/0!</v>
      </c>
      <c r="BY7552" s="215">
        <f t="shared" si="251"/>
        <v>0</v>
      </c>
    </row>
    <row r="7553" spans="76:77" x14ac:dyDescent="0.2">
      <c r="BX7553" s="214" t="e">
        <f t="shared" si="250"/>
        <v>#DIV/0!</v>
      </c>
      <c r="BY7553" s="215">
        <f t="shared" si="251"/>
        <v>0</v>
      </c>
    </row>
    <row r="7554" spans="76:77" x14ac:dyDescent="0.2">
      <c r="BX7554" s="214" t="e">
        <f t="shared" si="250"/>
        <v>#DIV/0!</v>
      </c>
      <c r="BY7554" s="215">
        <f t="shared" si="251"/>
        <v>0</v>
      </c>
    </row>
    <row r="7555" spans="76:77" x14ac:dyDescent="0.2">
      <c r="BX7555" s="214" t="e">
        <f t="shared" si="250"/>
        <v>#DIV/0!</v>
      </c>
      <c r="BY7555" s="215">
        <f t="shared" si="251"/>
        <v>0</v>
      </c>
    </row>
    <row r="7556" spans="76:77" x14ac:dyDescent="0.2">
      <c r="BX7556" s="214" t="e">
        <f t="shared" si="250"/>
        <v>#DIV/0!</v>
      </c>
      <c r="BY7556" s="215">
        <f t="shared" si="251"/>
        <v>0</v>
      </c>
    </row>
    <row r="7557" spans="76:77" x14ac:dyDescent="0.2">
      <c r="BX7557" s="214" t="e">
        <f t="shared" si="250"/>
        <v>#DIV/0!</v>
      </c>
      <c r="BY7557" s="215">
        <f t="shared" si="251"/>
        <v>0</v>
      </c>
    </row>
    <row r="7558" spans="76:77" x14ac:dyDescent="0.2">
      <c r="BX7558" s="214" t="e">
        <f t="shared" si="250"/>
        <v>#DIV/0!</v>
      </c>
      <c r="BY7558" s="215">
        <f t="shared" si="251"/>
        <v>0</v>
      </c>
    </row>
    <row r="7559" spans="76:77" x14ac:dyDescent="0.2">
      <c r="BX7559" s="214" t="e">
        <f t="shared" si="250"/>
        <v>#DIV/0!</v>
      </c>
      <c r="BY7559" s="215">
        <f t="shared" si="251"/>
        <v>0</v>
      </c>
    </row>
    <row r="7560" spans="76:77" x14ac:dyDescent="0.2">
      <c r="BX7560" s="214" t="e">
        <f t="shared" si="250"/>
        <v>#DIV/0!</v>
      </c>
      <c r="BY7560" s="215">
        <f t="shared" si="251"/>
        <v>0</v>
      </c>
    </row>
    <row r="7561" spans="76:77" x14ac:dyDescent="0.2">
      <c r="BX7561" s="214" t="e">
        <f t="shared" si="250"/>
        <v>#DIV/0!</v>
      </c>
      <c r="BY7561" s="215">
        <f t="shared" si="251"/>
        <v>0</v>
      </c>
    </row>
    <row r="7562" spans="76:77" x14ac:dyDescent="0.2">
      <c r="BX7562" s="214" t="e">
        <f t="shared" si="250"/>
        <v>#DIV/0!</v>
      </c>
      <c r="BY7562" s="215">
        <f t="shared" si="251"/>
        <v>0</v>
      </c>
    </row>
    <row r="7563" spans="76:77" x14ac:dyDescent="0.2">
      <c r="BX7563" s="214" t="e">
        <f t="shared" si="250"/>
        <v>#DIV/0!</v>
      </c>
      <c r="BY7563" s="215">
        <f t="shared" si="251"/>
        <v>0</v>
      </c>
    </row>
    <row r="7564" spans="76:77" x14ac:dyDescent="0.2">
      <c r="BX7564" s="214" t="e">
        <f t="shared" si="250"/>
        <v>#DIV/0!</v>
      </c>
      <c r="BY7564" s="215">
        <f t="shared" si="251"/>
        <v>0</v>
      </c>
    </row>
    <row r="7565" spans="76:77" x14ac:dyDescent="0.2">
      <c r="BX7565" s="214" t="e">
        <f t="shared" ref="BX7565:BX7628" si="252">BY7565/BV7565</f>
        <v>#DIV/0!</v>
      </c>
      <c r="BY7565" s="215">
        <f t="shared" si="251"/>
        <v>0</v>
      </c>
    </row>
    <row r="7566" spans="76:77" x14ac:dyDescent="0.2">
      <c r="BX7566" s="214" t="e">
        <f t="shared" si="252"/>
        <v>#DIV/0!</v>
      </c>
      <c r="BY7566" s="215">
        <f t="shared" ref="BY7566:BY7629" si="253">BY7565+BW7566*(BV7566-BV7565)</f>
        <v>0</v>
      </c>
    </row>
    <row r="7567" spans="76:77" x14ac:dyDescent="0.2">
      <c r="BX7567" s="214" t="e">
        <f t="shared" si="252"/>
        <v>#DIV/0!</v>
      </c>
      <c r="BY7567" s="215">
        <f t="shared" si="253"/>
        <v>0</v>
      </c>
    </row>
    <row r="7568" spans="76:77" x14ac:dyDescent="0.2">
      <c r="BX7568" s="214" t="e">
        <f t="shared" si="252"/>
        <v>#DIV/0!</v>
      </c>
      <c r="BY7568" s="215">
        <f t="shared" si="253"/>
        <v>0</v>
      </c>
    </row>
    <row r="7569" spans="76:77" x14ac:dyDescent="0.2">
      <c r="BX7569" s="214" t="e">
        <f t="shared" si="252"/>
        <v>#DIV/0!</v>
      </c>
      <c r="BY7569" s="215">
        <f t="shared" si="253"/>
        <v>0</v>
      </c>
    </row>
    <row r="7570" spans="76:77" x14ac:dyDescent="0.2">
      <c r="BX7570" s="214" t="e">
        <f t="shared" si="252"/>
        <v>#DIV/0!</v>
      </c>
      <c r="BY7570" s="215">
        <f t="shared" si="253"/>
        <v>0</v>
      </c>
    </row>
    <row r="7571" spans="76:77" x14ac:dyDescent="0.2">
      <c r="BX7571" s="214" t="e">
        <f t="shared" si="252"/>
        <v>#DIV/0!</v>
      </c>
      <c r="BY7571" s="215">
        <f t="shared" si="253"/>
        <v>0</v>
      </c>
    </row>
    <row r="7572" spans="76:77" x14ac:dyDescent="0.2">
      <c r="BX7572" s="214" t="e">
        <f t="shared" si="252"/>
        <v>#DIV/0!</v>
      </c>
      <c r="BY7572" s="215">
        <f t="shared" si="253"/>
        <v>0</v>
      </c>
    </row>
    <row r="7573" spans="76:77" x14ac:dyDescent="0.2">
      <c r="BX7573" s="214" t="e">
        <f t="shared" si="252"/>
        <v>#DIV/0!</v>
      </c>
      <c r="BY7573" s="215">
        <f t="shared" si="253"/>
        <v>0</v>
      </c>
    </row>
    <row r="7574" spans="76:77" x14ac:dyDescent="0.2">
      <c r="BX7574" s="214" t="e">
        <f t="shared" si="252"/>
        <v>#DIV/0!</v>
      </c>
      <c r="BY7574" s="215">
        <f t="shared" si="253"/>
        <v>0</v>
      </c>
    </row>
    <row r="7575" spans="76:77" x14ac:dyDescent="0.2">
      <c r="BX7575" s="214" t="e">
        <f t="shared" si="252"/>
        <v>#DIV/0!</v>
      </c>
      <c r="BY7575" s="215">
        <f t="shared" si="253"/>
        <v>0</v>
      </c>
    </row>
    <row r="7576" spans="76:77" x14ac:dyDescent="0.2">
      <c r="BX7576" s="214" t="e">
        <f t="shared" si="252"/>
        <v>#DIV/0!</v>
      </c>
      <c r="BY7576" s="215">
        <f t="shared" si="253"/>
        <v>0</v>
      </c>
    </row>
    <row r="7577" spans="76:77" x14ac:dyDescent="0.2">
      <c r="BX7577" s="214" t="e">
        <f t="shared" si="252"/>
        <v>#DIV/0!</v>
      </c>
      <c r="BY7577" s="215">
        <f t="shared" si="253"/>
        <v>0</v>
      </c>
    </row>
    <row r="7578" spans="76:77" x14ac:dyDescent="0.2">
      <c r="BX7578" s="214" t="e">
        <f t="shared" si="252"/>
        <v>#DIV/0!</v>
      </c>
      <c r="BY7578" s="215">
        <f t="shared" si="253"/>
        <v>0</v>
      </c>
    </row>
    <row r="7579" spans="76:77" x14ac:dyDescent="0.2">
      <c r="BX7579" s="214" t="e">
        <f t="shared" si="252"/>
        <v>#DIV/0!</v>
      </c>
      <c r="BY7579" s="215">
        <f t="shared" si="253"/>
        <v>0</v>
      </c>
    </row>
    <row r="7580" spans="76:77" x14ac:dyDescent="0.2">
      <c r="BX7580" s="214" t="e">
        <f t="shared" si="252"/>
        <v>#DIV/0!</v>
      </c>
      <c r="BY7580" s="215">
        <f t="shared" si="253"/>
        <v>0</v>
      </c>
    </row>
    <row r="7581" spans="76:77" x14ac:dyDescent="0.2">
      <c r="BX7581" s="214" t="e">
        <f t="shared" si="252"/>
        <v>#DIV/0!</v>
      </c>
      <c r="BY7581" s="215">
        <f t="shared" si="253"/>
        <v>0</v>
      </c>
    </row>
    <row r="7582" spans="76:77" x14ac:dyDescent="0.2">
      <c r="BX7582" s="214" t="e">
        <f t="shared" si="252"/>
        <v>#DIV/0!</v>
      </c>
      <c r="BY7582" s="215">
        <f t="shared" si="253"/>
        <v>0</v>
      </c>
    </row>
    <row r="7583" spans="76:77" x14ac:dyDescent="0.2">
      <c r="BX7583" s="214" t="e">
        <f t="shared" si="252"/>
        <v>#DIV/0!</v>
      </c>
      <c r="BY7583" s="215">
        <f t="shared" si="253"/>
        <v>0</v>
      </c>
    </row>
    <row r="7584" spans="76:77" x14ac:dyDescent="0.2">
      <c r="BX7584" s="214" t="e">
        <f t="shared" si="252"/>
        <v>#DIV/0!</v>
      </c>
      <c r="BY7584" s="215">
        <f t="shared" si="253"/>
        <v>0</v>
      </c>
    </row>
    <row r="7585" spans="76:77" x14ac:dyDescent="0.2">
      <c r="BX7585" s="214" t="e">
        <f t="shared" si="252"/>
        <v>#DIV/0!</v>
      </c>
      <c r="BY7585" s="215">
        <f t="shared" si="253"/>
        <v>0</v>
      </c>
    </row>
    <row r="7586" spans="76:77" x14ac:dyDescent="0.2">
      <c r="BX7586" s="214" t="e">
        <f t="shared" si="252"/>
        <v>#DIV/0!</v>
      </c>
      <c r="BY7586" s="215">
        <f t="shared" si="253"/>
        <v>0</v>
      </c>
    </row>
    <row r="7587" spans="76:77" x14ac:dyDescent="0.2">
      <c r="BX7587" s="214" t="e">
        <f t="shared" si="252"/>
        <v>#DIV/0!</v>
      </c>
      <c r="BY7587" s="215">
        <f t="shared" si="253"/>
        <v>0</v>
      </c>
    </row>
    <row r="7588" spans="76:77" x14ac:dyDescent="0.2">
      <c r="BX7588" s="214" t="e">
        <f t="shared" si="252"/>
        <v>#DIV/0!</v>
      </c>
      <c r="BY7588" s="215">
        <f t="shared" si="253"/>
        <v>0</v>
      </c>
    </row>
    <row r="7589" spans="76:77" x14ac:dyDescent="0.2">
      <c r="BX7589" s="214" t="e">
        <f t="shared" si="252"/>
        <v>#DIV/0!</v>
      </c>
      <c r="BY7589" s="215">
        <f t="shared" si="253"/>
        <v>0</v>
      </c>
    </row>
    <row r="7590" spans="76:77" x14ac:dyDescent="0.2">
      <c r="BX7590" s="214" t="e">
        <f t="shared" si="252"/>
        <v>#DIV/0!</v>
      </c>
      <c r="BY7590" s="215">
        <f t="shared" si="253"/>
        <v>0</v>
      </c>
    </row>
    <row r="7591" spans="76:77" x14ac:dyDescent="0.2">
      <c r="BX7591" s="214" t="e">
        <f t="shared" si="252"/>
        <v>#DIV/0!</v>
      </c>
      <c r="BY7591" s="215">
        <f t="shared" si="253"/>
        <v>0</v>
      </c>
    </row>
    <row r="7592" spans="76:77" x14ac:dyDescent="0.2">
      <c r="BX7592" s="214" t="e">
        <f t="shared" si="252"/>
        <v>#DIV/0!</v>
      </c>
      <c r="BY7592" s="215">
        <f t="shared" si="253"/>
        <v>0</v>
      </c>
    </row>
    <row r="7593" spans="76:77" x14ac:dyDescent="0.2">
      <c r="BX7593" s="214" t="e">
        <f t="shared" si="252"/>
        <v>#DIV/0!</v>
      </c>
      <c r="BY7593" s="215">
        <f t="shared" si="253"/>
        <v>0</v>
      </c>
    </row>
    <row r="7594" spans="76:77" x14ac:dyDescent="0.2">
      <c r="BX7594" s="214" t="e">
        <f t="shared" si="252"/>
        <v>#DIV/0!</v>
      </c>
      <c r="BY7594" s="215">
        <f t="shared" si="253"/>
        <v>0</v>
      </c>
    </row>
    <row r="7595" spans="76:77" x14ac:dyDescent="0.2">
      <c r="BX7595" s="214" t="e">
        <f t="shared" si="252"/>
        <v>#DIV/0!</v>
      </c>
      <c r="BY7595" s="215">
        <f t="shared" si="253"/>
        <v>0</v>
      </c>
    </row>
    <row r="7596" spans="76:77" x14ac:dyDescent="0.2">
      <c r="BX7596" s="214" t="e">
        <f t="shared" si="252"/>
        <v>#DIV/0!</v>
      </c>
      <c r="BY7596" s="215">
        <f t="shared" si="253"/>
        <v>0</v>
      </c>
    </row>
    <row r="7597" spans="76:77" x14ac:dyDescent="0.2">
      <c r="BX7597" s="214" t="e">
        <f t="shared" si="252"/>
        <v>#DIV/0!</v>
      </c>
      <c r="BY7597" s="215">
        <f t="shared" si="253"/>
        <v>0</v>
      </c>
    </row>
    <row r="7598" spans="76:77" x14ac:dyDescent="0.2">
      <c r="BX7598" s="214" t="e">
        <f t="shared" si="252"/>
        <v>#DIV/0!</v>
      </c>
      <c r="BY7598" s="215">
        <f t="shared" si="253"/>
        <v>0</v>
      </c>
    </row>
    <row r="7599" spans="76:77" x14ac:dyDescent="0.2">
      <c r="BX7599" s="214" t="e">
        <f t="shared" si="252"/>
        <v>#DIV/0!</v>
      </c>
      <c r="BY7599" s="215">
        <f t="shared" si="253"/>
        <v>0</v>
      </c>
    </row>
    <row r="7600" spans="76:77" x14ac:dyDescent="0.2">
      <c r="BX7600" s="214" t="e">
        <f t="shared" si="252"/>
        <v>#DIV/0!</v>
      </c>
      <c r="BY7600" s="215">
        <f t="shared" si="253"/>
        <v>0</v>
      </c>
    </row>
    <row r="7601" spans="76:77" x14ac:dyDescent="0.2">
      <c r="BX7601" s="214" t="e">
        <f t="shared" si="252"/>
        <v>#DIV/0!</v>
      </c>
      <c r="BY7601" s="215">
        <f t="shared" si="253"/>
        <v>0</v>
      </c>
    </row>
    <row r="7602" spans="76:77" x14ac:dyDescent="0.2">
      <c r="BX7602" s="214" t="e">
        <f t="shared" si="252"/>
        <v>#DIV/0!</v>
      </c>
      <c r="BY7602" s="215">
        <f t="shared" si="253"/>
        <v>0</v>
      </c>
    </row>
    <row r="7603" spans="76:77" x14ac:dyDescent="0.2">
      <c r="BX7603" s="214" t="e">
        <f t="shared" si="252"/>
        <v>#DIV/0!</v>
      </c>
      <c r="BY7603" s="215">
        <f t="shared" si="253"/>
        <v>0</v>
      </c>
    </row>
    <row r="7604" spans="76:77" x14ac:dyDescent="0.2">
      <c r="BX7604" s="214" t="e">
        <f t="shared" si="252"/>
        <v>#DIV/0!</v>
      </c>
      <c r="BY7604" s="215">
        <f t="shared" si="253"/>
        <v>0</v>
      </c>
    </row>
    <row r="7605" spans="76:77" x14ac:dyDescent="0.2">
      <c r="BX7605" s="214" t="e">
        <f t="shared" si="252"/>
        <v>#DIV/0!</v>
      </c>
      <c r="BY7605" s="215">
        <f t="shared" si="253"/>
        <v>0</v>
      </c>
    </row>
    <row r="7606" spans="76:77" x14ac:dyDescent="0.2">
      <c r="BX7606" s="214" t="e">
        <f t="shared" si="252"/>
        <v>#DIV/0!</v>
      </c>
      <c r="BY7606" s="215">
        <f t="shared" si="253"/>
        <v>0</v>
      </c>
    </row>
    <row r="7607" spans="76:77" x14ac:dyDescent="0.2">
      <c r="BX7607" s="214" t="e">
        <f t="shared" si="252"/>
        <v>#DIV/0!</v>
      </c>
      <c r="BY7607" s="215">
        <f t="shared" si="253"/>
        <v>0</v>
      </c>
    </row>
    <row r="7608" spans="76:77" x14ac:dyDescent="0.2">
      <c r="BX7608" s="214" t="e">
        <f t="shared" si="252"/>
        <v>#DIV/0!</v>
      </c>
      <c r="BY7608" s="215">
        <f t="shared" si="253"/>
        <v>0</v>
      </c>
    </row>
    <row r="7609" spans="76:77" x14ac:dyDescent="0.2">
      <c r="BX7609" s="214" t="e">
        <f t="shared" si="252"/>
        <v>#DIV/0!</v>
      </c>
      <c r="BY7609" s="215">
        <f t="shared" si="253"/>
        <v>0</v>
      </c>
    </row>
    <row r="7610" spans="76:77" x14ac:dyDescent="0.2">
      <c r="BX7610" s="214" t="e">
        <f t="shared" si="252"/>
        <v>#DIV/0!</v>
      </c>
      <c r="BY7610" s="215">
        <f t="shared" si="253"/>
        <v>0</v>
      </c>
    </row>
    <row r="7611" spans="76:77" x14ac:dyDescent="0.2">
      <c r="BX7611" s="214" t="e">
        <f t="shared" si="252"/>
        <v>#DIV/0!</v>
      </c>
      <c r="BY7611" s="215">
        <f t="shared" si="253"/>
        <v>0</v>
      </c>
    </row>
    <row r="7612" spans="76:77" x14ac:dyDescent="0.2">
      <c r="BX7612" s="214" t="e">
        <f t="shared" si="252"/>
        <v>#DIV/0!</v>
      </c>
      <c r="BY7612" s="215">
        <f t="shared" si="253"/>
        <v>0</v>
      </c>
    </row>
    <row r="7613" spans="76:77" x14ac:dyDescent="0.2">
      <c r="BX7613" s="214" t="e">
        <f t="shared" si="252"/>
        <v>#DIV/0!</v>
      </c>
      <c r="BY7613" s="215">
        <f t="shared" si="253"/>
        <v>0</v>
      </c>
    </row>
    <row r="7614" spans="76:77" x14ac:dyDescent="0.2">
      <c r="BX7614" s="214" t="e">
        <f t="shared" si="252"/>
        <v>#DIV/0!</v>
      </c>
      <c r="BY7614" s="215">
        <f t="shared" si="253"/>
        <v>0</v>
      </c>
    </row>
    <row r="7615" spans="76:77" x14ac:dyDescent="0.2">
      <c r="BX7615" s="214" t="e">
        <f t="shared" si="252"/>
        <v>#DIV/0!</v>
      </c>
      <c r="BY7615" s="215">
        <f t="shared" si="253"/>
        <v>0</v>
      </c>
    </row>
    <row r="7616" spans="76:77" x14ac:dyDescent="0.2">
      <c r="BX7616" s="214" t="e">
        <f t="shared" si="252"/>
        <v>#DIV/0!</v>
      </c>
      <c r="BY7616" s="215">
        <f t="shared" si="253"/>
        <v>0</v>
      </c>
    </row>
    <row r="7617" spans="76:77" x14ac:dyDescent="0.2">
      <c r="BX7617" s="214" t="e">
        <f t="shared" si="252"/>
        <v>#DIV/0!</v>
      </c>
      <c r="BY7617" s="215">
        <f t="shared" si="253"/>
        <v>0</v>
      </c>
    </row>
    <row r="7618" spans="76:77" x14ac:dyDescent="0.2">
      <c r="BX7618" s="214" t="e">
        <f t="shared" si="252"/>
        <v>#DIV/0!</v>
      </c>
      <c r="BY7618" s="215">
        <f t="shared" si="253"/>
        <v>0</v>
      </c>
    </row>
    <row r="7619" spans="76:77" x14ac:dyDescent="0.2">
      <c r="BX7619" s="214" t="e">
        <f t="shared" si="252"/>
        <v>#DIV/0!</v>
      </c>
      <c r="BY7619" s="215">
        <f t="shared" si="253"/>
        <v>0</v>
      </c>
    </row>
    <row r="7620" spans="76:77" x14ac:dyDescent="0.2">
      <c r="BX7620" s="214" t="e">
        <f t="shared" si="252"/>
        <v>#DIV/0!</v>
      </c>
      <c r="BY7620" s="215">
        <f t="shared" si="253"/>
        <v>0</v>
      </c>
    </row>
    <row r="7621" spans="76:77" x14ac:dyDescent="0.2">
      <c r="BX7621" s="214" t="e">
        <f t="shared" si="252"/>
        <v>#DIV/0!</v>
      </c>
      <c r="BY7621" s="215">
        <f t="shared" si="253"/>
        <v>0</v>
      </c>
    </row>
    <row r="7622" spans="76:77" x14ac:dyDescent="0.2">
      <c r="BX7622" s="214" t="e">
        <f t="shared" si="252"/>
        <v>#DIV/0!</v>
      </c>
      <c r="BY7622" s="215">
        <f t="shared" si="253"/>
        <v>0</v>
      </c>
    </row>
    <row r="7623" spans="76:77" x14ac:dyDescent="0.2">
      <c r="BX7623" s="214" t="e">
        <f t="shared" si="252"/>
        <v>#DIV/0!</v>
      </c>
      <c r="BY7623" s="215">
        <f t="shared" si="253"/>
        <v>0</v>
      </c>
    </row>
    <row r="7624" spans="76:77" x14ac:dyDescent="0.2">
      <c r="BX7624" s="214" t="e">
        <f t="shared" si="252"/>
        <v>#DIV/0!</v>
      </c>
      <c r="BY7624" s="215">
        <f t="shared" si="253"/>
        <v>0</v>
      </c>
    </row>
    <row r="7625" spans="76:77" x14ac:dyDescent="0.2">
      <c r="BX7625" s="214" t="e">
        <f t="shared" si="252"/>
        <v>#DIV/0!</v>
      </c>
      <c r="BY7625" s="215">
        <f t="shared" si="253"/>
        <v>0</v>
      </c>
    </row>
    <row r="7626" spans="76:77" x14ac:dyDescent="0.2">
      <c r="BX7626" s="214" t="e">
        <f t="shared" si="252"/>
        <v>#DIV/0!</v>
      </c>
      <c r="BY7626" s="215">
        <f t="shared" si="253"/>
        <v>0</v>
      </c>
    </row>
    <row r="7627" spans="76:77" x14ac:dyDescent="0.2">
      <c r="BX7627" s="214" t="e">
        <f t="shared" si="252"/>
        <v>#DIV/0!</v>
      </c>
      <c r="BY7627" s="215">
        <f t="shared" si="253"/>
        <v>0</v>
      </c>
    </row>
    <row r="7628" spans="76:77" x14ac:dyDescent="0.2">
      <c r="BX7628" s="214" t="e">
        <f t="shared" si="252"/>
        <v>#DIV/0!</v>
      </c>
      <c r="BY7628" s="215">
        <f t="shared" si="253"/>
        <v>0</v>
      </c>
    </row>
    <row r="7629" spans="76:77" x14ac:dyDescent="0.2">
      <c r="BX7629" s="214" t="e">
        <f t="shared" ref="BX7629:BX7692" si="254">BY7629/BV7629</f>
        <v>#DIV/0!</v>
      </c>
      <c r="BY7629" s="215">
        <f t="shared" si="253"/>
        <v>0</v>
      </c>
    </row>
    <row r="7630" spans="76:77" x14ac:dyDescent="0.2">
      <c r="BX7630" s="214" t="e">
        <f t="shared" si="254"/>
        <v>#DIV/0!</v>
      </c>
      <c r="BY7630" s="215">
        <f t="shared" ref="BY7630:BY7693" si="255">BY7629+BW7630*(BV7630-BV7629)</f>
        <v>0</v>
      </c>
    </row>
    <row r="7631" spans="76:77" x14ac:dyDescent="0.2">
      <c r="BX7631" s="214" t="e">
        <f t="shared" si="254"/>
        <v>#DIV/0!</v>
      </c>
      <c r="BY7631" s="215">
        <f t="shared" si="255"/>
        <v>0</v>
      </c>
    </row>
    <row r="7632" spans="76:77" x14ac:dyDescent="0.2">
      <c r="BX7632" s="214" t="e">
        <f t="shared" si="254"/>
        <v>#DIV/0!</v>
      </c>
      <c r="BY7632" s="215">
        <f t="shared" si="255"/>
        <v>0</v>
      </c>
    </row>
    <row r="7633" spans="76:77" x14ac:dyDescent="0.2">
      <c r="BX7633" s="214" t="e">
        <f t="shared" si="254"/>
        <v>#DIV/0!</v>
      </c>
      <c r="BY7633" s="215">
        <f t="shared" si="255"/>
        <v>0</v>
      </c>
    </row>
    <row r="7634" spans="76:77" x14ac:dyDescent="0.2">
      <c r="BX7634" s="214" t="e">
        <f t="shared" si="254"/>
        <v>#DIV/0!</v>
      </c>
      <c r="BY7634" s="215">
        <f t="shared" si="255"/>
        <v>0</v>
      </c>
    </row>
    <row r="7635" spans="76:77" x14ac:dyDescent="0.2">
      <c r="BX7635" s="214" t="e">
        <f t="shared" si="254"/>
        <v>#DIV/0!</v>
      </c>
      <c r="BY7635" s="215">
        <f t="shared" si="255"/>
        <v>0</v>
      </c>
    </row>
    <row r="7636" spans="76:77" x14ac:dyDescent="0.2">
      <c r="BX7636" s="214" t="e">
        <f t="shared" si="254"/>
        <v>#DIV/0!</v>
      </c>
      <c r="BY7636" s="215">
        <f t="shared" si="255"/>
        <v>0</v>
      </c>
    </row>
    <row r="7637" spans="76:77" x14ac:dyDescent="0.2">
      <c r="BX7637" s="214" t="e">
        <f t="shared" si="254"/>
        <v>#DIV/0!</v>
      </c>
      <c r="BY7637" s="215">
        <f t="shared" si="255"/>
        <v>0</v>
      </c>
    </row>
    <row r="7638" spans="76:77" x14ac:dyDescent="0.2">
      <c r="BX7638" s="214" t="e">
        <f t="shared" si="254"/>
        <v>#DIV/0!</v>
      </c>
      <c r="BY7638" s="215">
        <f t="shared" si="255"/>
        <v>0</v>
      </c>
    </row>
    <row r="7639" spans="76:77" x14ac:dyDescent="0.2">
      <c r="BX7639" s="214" t="e">
        <f t="shared" si="254"/>
        <v>#DIV/0!</v>
      </c>
      <c r="BY7639" s="215">
        <f t="shared" si="255"/>
        <v>0</v>
      </c>
    </row>
    <row r="7640" spans="76:77" x14ac:dyDescent="0.2">
      <c r="BX7640" s="214" t="e">
        <f t="shared" si="254"/>
        <v>#DIV/0!</v>
      </c>
      <c r="BY7640" s="215">
        <f t="shared" si="255"/>
        <v>0</v>
      </c>
    </row>
    <row r="7641" spans="76:77" x14ac:dyDescent="0.2">
      <c r="BX7641" s="214" t="e">
        <f t="shared" si="254"/>
        <v>#DIV/0!</v>
      </c>
      <c r="BY7641" s="215">
        <f t="shared" si="255"/>
        <v>0</v>
      </c>
    </row>
    <row r="7642" spans="76:77" x14ac:dyDescent="0.2">
      <c r="BX7642" s="214" t="e">
        <f t="shared" si="254"/>
        <v>#DIV/0!</v>
      </c>
      <c r="BY7642" s="215">
        <f t="shared" si="255"/>
        <v>0</v>
      </c>
    </row>
    <row r="7643" spans="76:77" x14ac:dyDescent="0.2">
      <c r="BX7643" s="214" t="e">
        <f t="shared" si="254"/>
        <v>#DIV/0!</v>
      </c>
      <c r="BY7643" s="215">
        <f t="shared" si="255"/>
        <v>0</v>
      </c>
    </row>
    <row r="7644" spans="76:77" x14ac:dyDescent="0.2">
      <c r="BX7644" s="214" t="e">
        <f t="shared" si="254"/>
        <v>#DIV/0!</v>
      </c>
      <c r="BY7644" s="215">
        <f t="shared" si="255"/>
        <v>0</v>
      </c>
    </row>
    <row r="7645" spans="76:77" x14ac:dyDescent="0.2">
      <c r="BX7645" s="214" t="e">
        <f t="shared" si="254"/>
        <v>#DIV/0!</v>
      </c>
      <c r="BY7645" s="215">
        <f t="shared" si="255"/>
        <v>0</v>
      </c>
    </row>
    <row r="7646" spans="76:77" x14ac:dyDescent="0.2">
      <c r="BX7646" s="214" t="e">
        <f t="shared" si="254"/>
        <v>#DIV/0!</v>
      </c>
      <c r="BY7646" s="215">
        <f t="shared" si="255"/>
        <v>0</v>
      </c>
    </row>
    <row r="7647" spans="76:77" x14ac:dyDescent="0.2">
      <c r="BX7647" s="214" t="e">
        <f t="shared" si="254"/>
        <v>#DIV/0!</v>
      </c>
      <c r="BY7647" s="215">
        <f t="shared" si="255"/>
        <v>0</v>
      </c>
    </row>
    <row r="7648" spans="76:77" x14ac:dyDescent="0.2">
      <c r="BX7648" s="214" t="e">
        <f t="shared" si="254"/>
        <v>#DIV/0!</v>
      </c>
      <c r="BY7648" s="215">
        <f t="shared" si="255"/>
        <v>0</v>
      </c>
    </row>
    <row r="7649" spans="76:77" x14ac:dyDescent="0.2">
      <c r="BX7649" s="214" t="e">
        <f t="shared" si="254"/>
        <v>#DIV/0!</v>
      </c>
      <c r="BY7649" s="215">
        <f t="shared" si="255"/>
        <v>0</v>
      </c>
    </row>
    <row r="7650" spans="76:77" x14ac:dyDescent="0.2">
      <c r="BX7650" s="214" t="e">
        <f t="shared" si="254"/>
        <v>#DIV/0!</v>
      </c>
      <c r="BY7650" s="215">
        <f t="shared" si="255"/>
        <v>0</v>
      </c>
    </row>
    <row r="7651" spans="76:77" x14ac:dyDescent="0.2">
      <c r="BX7651" s="214" t="e">
        <f t="shared" si="254"/>
        <v>#DIV/0!</v>
      </c>
      <c r="BY7651" s="215">
        <f t="shared" si="255"/>
        <v>0</v>
      </c>
    </row>
    <row r="7652" spans="76:77" x14ac:dyDescent="0.2">
      <c r="BX7652" s="214" t="e">
        <f t="shared" si="254"/>
        <v>#DIV/0!</v>
      </c>
      <c r="BY7652" s="215">
        <f t="shared" si="255"/>
        <v>0</v>
      </c>
    </row>
    <row r="7653" spans="76:77" x14ac:dyDescent="0.2">
      <c r="BX7653" s="214" t="e">
        <f t="shared" si="254"/>
        <v>#DIV/0!</v>
      </c>
      <c r="BY7653" s="215">
        <f t="shared" si="255"/>
        <v>0</v>
      </c>
    </row>
    <row r="7654" spans="76:77" x14ac:dyDescent="0.2">
      <c r="BX7654" s="214" t="e">
        <f t="shared" si="254"/>
        <v>#DIV/0!</v>
      </c>
      <c r="BY7654" s="215">
        <f t="shared" si="255"/>
        <v>0</v>
      </c>
    </row>
    <row r="7655" spans="76:77" x14ac:dyDescent="0.2">
      <c r="BX7655" s="214" t="e">
        <f t="shared" si="254"/>
        <v>#DIV/0!</v>
      </c>
      <c r="BY7655" s="215">
        <f t="shared" si="255"/>
        <v>0</v>
      </c>
    </row>
    <row r="7656" spans="76:77" x14ac:dyDescent="0.2">
      <c r="BX7656" s="214" t="e">
        <f t="shared" si="254"/>
        <v>#DIV/0!</v>
      </c>
      <c r="BY7656" s="215">
        <f t="shared" si="255"/>
        <v>0</v>
      </c>
    </row>
    <row r="7657" spans="76:77" x14ac:dyDescent="0.2">
      <c r="BX7657" s="214" t="e">
        <f t="shared" si="254"/>
        <v>#DIV/0!</v>
      </c>
      <c r="BY7657" s="215">
        <f t="shared" si="255"/>
        <v>0</v>
      </c>
    </row>
    <row r="7658" spans="76:77" x14ac:dyDescent="0.2">
      <c r="BX7658" s="214" t="e">
        <f t="shared" si="254"/>
        <v>#DIV/0!</v>
      </c>
      <c r="BY7658" s="215">
        <f t="shared" si="255"/>
        <v>0</v>
      </c>
    </row>
    <row r="7659" spans="76:77" x14ac:dyDescent="0.2">
      <c r="BX7659" s="214" t="e">
        <f t="shared" si="254"/>
        <v>#DIV/0!</v>
      </c>
      <c r="BY7659" s="215">
        <f t="shared" si="255"/>
        <v>0</v>
      </c>
    </row>
    <row r="7660" spans="76:77" x14ac:dyDescent="0.2">
      <c r="BX7660" s="214" t="e">
        <f t="shared" si="254"/>
        <v>#DIV/0!</v>
      </c>
      <c r="BY7660" s="215">
        <f t="shared" si="255"/>
        <v>0</v>
      </c>
    </row>
    <row r="7661" spans="76:77" x14ac:dyDescent="0.2">
      <c r="BX7661" s="214" t="e">
        <f t="shared" si="254"/>
        <v>#DIV/0!</v>
      </c>
      <c r="BY7661" s="215">
        <f t="shared" si="255"/>
        <v>0</v>
      </c>
    </row>
    <row r="7662" spans="76:77" x14ac:dyDescent="0.2">
      <c r="BX7662" s="214" t="e">
        <f t="shared" si="254"/>
        <v>#DIV/0!</v>
      </c>
      <c r="BY7662" s="215">
        <f t="shared" si="255"/>
        <v>0</v>
      </c>
    </row>
    <row r="7663" spans="76:77" x14ac:dyDescent="0.2">
      <c r="BX7663" s="214" t="e">
        <f t="shared" si="254"/>
        <v>#DIV/0!</v>
      </c>
      <c r="BY7663" s="215">
        <f t="shared" si="255"/>
        <v>0</v>
      </c>
    </row>
    <row r="7664" spans="76:77" x14ac:dyDescent="0.2">
      <c r="BX7664" s="214" t="e">
        <f t="shared" si="254"/>
        <v>#DIV/0!</v>
      </c>
      <c r="BY7664" s="215">
        <f t="shared" si="255"/>
        <v>0</v>
      </c>
    </row>
    <row r="7665" spans="76:77" x14ac:dyDescent="0.2">
      <c r="BX7665" s="214" t="e">
        <f t="shared" si="254"/>
        <v>#DIV/0!</v>
      </c>
      <c r="BY7665" s="215">
        <f t="shared" si="255"/>
        <v>0</v>
      </c>
    </row>
    <row r="7666" spans="76:77" x14ac:dyDescent="0.2">
      <c r="BX7666" s="214" t="e">
        <f t="shared" si="254"/>
        <v>#DIV/0!</v>
      </c>
      <c r="BY7666" s="215">
        <f t="shared" si="255"/>
        <v>0</v>
      </c>
    </row>
    <row r="7667" spans="76:77" x14ac:dyDescent="0.2">
      <c r="BX7667" s="214" t="e">
        <f t="shared" si="254"/>
        <v>#DIV/0!</v>
      </c>
      <c r="BY7667" s="215">
        <f t="shared" si="255"/>
        <v>0</v>
      </c>
    </row>
    <row r="7668" spans="76:77" x14ac:dyDescent="0.2">
      <c r="BX7668" s="214" t="e">
        <f t="shared" si="254"/>
        <v>#DIV/0!</v>
      </c>
      <c r="BY7668" s="215">
        <f t="shared" si="255"/>
        <v>0</v>
      </c>
    </row>
    <row r="7669" spans="76:77" x14ac:dyDescent="0.2">
      <c r="BX7669" s="214" t="e">
        <f t="shared" si="254"/>
        <v>#DIV/0!</v>
      </c>
      <c r="BY7669" s="215">
        <f t="shared" si="255"/>
        <v>0</v>
      </c>
    </row>
    <row r="7670" spans="76:77" x14ac:dyDescent="0.2">
      <c r="BX7670" s="214" t="e">
        <f t="shared" si="254"/>
        <v>#DIV/0!</v>
      </c>
      <c r="BY7670" s="215">
        <f t="shared" si="255"/>
        <v>0</v>
      </c>
    </row>
    <row r="7671" spans="76:77" x14ac:dyDescent="0.2">
      <c r="BX7671" s="214" t="e">
        <f t="shared" si="254"/>
        <v>#DIV/0!</v>
      </c>
      <c r="BY7671" s="215">
        <f t="shared" si="255"/>
        <v>0</v>
      </c>
    </row>
    <row r="7672" spans="76:77" x14ac:dyDescent="0.2">
      <c r="BX7672" s="214" t="e">
        <f t="shared" si="254"/>
        <v>#DIV/0!</v>
      </c>
      <c r="BY7672" s="215">
        <f t="shared" si="255"/>
        <v>0</v>
      </c>
    </row>
    <row r="7673" spans="76:77" x14ac:dyDescent="0.2">
      <c r="BX7673" s="214" t="e">
        <f t="shared" si="254"/>
        <v>#DIV/0!</v>
      </c>
      <c r="BY7673" s="215">
        <f t="shared" si="255"/>
        <v>0</v>
      </c>
    </row>
    <row r="7674" spans="76:77" x14ac:dyDescent="0.2">
      <c r="BX7674" s="214" t="e">
        <f t="shared" si="254"/>
        <v>#DIV/0!</v>
      </c>
      <c r="BY7674" s="215">
        <f t="shared" si="255"/>
        <v>0</v>
      </c>
    </row>
    <row r="7675" spans="76:77" x14ac:dyDescent="0.2">
      <c r="BX7675" s="214" t="e">
        <f t="shared" si="254"/>
        <v>#DIV/0!</v>
      </c>
      <c r="BY7675" s="215">
        <f t="shared" si="255"/>
        <v>0</v>
      </c>
    </row>
    <row r="7676" spans="76:77" x14ac:dyDescent="0.2">
      <c r="BX7676" s="214" t="e">
        <f t="shared" si="254"/>
        <v>#DIV/0!</v>
      </c>
      <c r="BY7676" s="215">
        <f t="shared" si="255"/>
        <v>0</v>
      </c>
    </row>
    <row r="7677" spans="76:77" x14ac:dyDescent="0.2">
      <c r="BX7677" s="214" t="e">
        <f t="shared" si="254"/>
        <v>#DIV/0!</v>
      </c>
      <c r="BY7677" s="215">
        <f t="shared" si="255"/>
        <v>0</v>
      </c>
    </row>
    <row r="7678" spans="76:77" x14ac:dyDescent="0.2">
      <c r="BX7678" s="214" t="e">
        <f t="shared" si="254"/>
        <v>#DIV/0!</v>
      </c>
      <c r="BY7678" s="215">
        <f t="shared" si="255"/>
        <v>0</v>
      </c>
    </row>
    <row r="7679" spans="76:77" x14ac:dyDescent="0.2">
      <c r="BX7679" s="214" t="e">
        <f t="shared" si="254"/>
        <v>#DIV/0!</v>
      </c>
      <c r="BY7679" s="215">
        <f t="shared" si="255"/>
        <v>0</v>
      </c>
    </row>
    <row r="7680" spans="76:77" x14ac:dyDescent="0.2">
      <c r="BX7680" s="214" t="e">
        <f t="shared" si="254"/>
        <v>#DIV/0!</v>
      </c>
      <c r="BY7680" s="215">
        <f t="shared" si="255"/>
        <v>0</v>
      </c>
    </row>
    <row r="7681" spans="76:77" x14ac:dyDescent="0.2">
      <c r="BX7681" s="214" t="e">
        <f t="shared" si="254"/>
        <v>#DIV/0!</v>
      </c>
      <c r="BY7681" s="215">
        <f t="shared" si="255"/>
        <v>0</v>
      </c>
    </row>
    <row r="7682" spans="76:77" x14ac:dyDescent="0.2">
      <c r="BX7682" s="214" t="e">
        <f t="shared" si="254"/>
        <v>#DIV/0!</v>
      </c>
      <c r="BY7682" s="215">
        <f t="shared" si="255"/>
        <v>0</v>
      </c>
    </row>
    <row r="7683" spans="76:77" x14ac:dyDescent="0.2">
      <c r="BX7683" s="214" t="e">
        <f t="shared" si="254"/>
        <v>#DIV/0!</v>
      </c>
      <c r="BY7683" s="215">
        <f t="shared" si="255"/>
        <v>0</v>
      </c>
    </row>
    <row r="7684" spans="76:77" x14ac:dyDescent="0.2">
      <c r="BX7684" s="214" t="e">
        <f t="shared" si="254"/>
        <v>#DIV/0!</v>
      </c>
      <c r="BY7684" s="215">
        <f t="shared" si="255"/>
        <v>0</v>
      </c>
    </row>
    <row r="7685" spans="76:77" x14ac:dyDescent="0.2">
      <c r="BX7685" s="214" t="e">
        <f t="shared" si="254"/>
        <v>#DIV/0!</v>
      </c>
      <c r="BY7685" s="215">
        <f t="shared" si="255"/>
        <v>0</v>
      </c>
    </row>
    <row r="7686" spans="76:77" x14ac:dyDescent="0.2">
      <c r="BX7686" s="214" t="e">
        <f t="shared" si="254"/>
        <v>#DIV/0!</v>
      </c>
      <c r="BY7686" s="215">
        <f t="shared" si="255"/>
        <v>0</v>
      </c>
    </row>
    <row r="7687" spans="76:77" x14ac:dyDescent="0.2">
      <c r="BX7687" s="214" t="e">
        <f t="shared" si="254"/>
        <v>#DIV/0!</v>
      </c>
      <c r="BY7687" s="215">
        <f t="shared" si="255"/>
        <v>0</v>
      </c>
    </row>
    <row r="7688" spans="76:77" x14ac:dyDescent="0.2">
      <c r="BX7688" s="214" t="e">
        <f t="shared" si="254"/>
        <v>#DIV/0!</v>
      </c>
      <c r="BY7688" s="215">
        <f t="shared" si="255"/>
        <v>0</v>
      </c>
    </row>
    <row r="7689" spans="76:77" x14ac:dyDescent="0.2">
      <c r="BX7689" s="214" t="e">
        <f t="shared" si="254"/>
        <v>#DIV/0!</v>
      </c>
      <c r="BY7689" s="215">
        <f t="shared" si="255"/>
        <v>0</v>
      </c>
    </row>
    <row r="7690" spans="76:77" x14ac:dyDescent="0.2">
      <c r="BX7690" s="214" t="e">
        <f t="shared" si="254"/>
        <v>#DIV/0!</v>
      </c>
      <c r="BY7690" s="215">
        <f t="shared" si="255"/>
        <v>0</v>
      </c>
    </row>
    <row r="7691" spans="76:77" x14ac:dyDescent="0.2">
      <c r="BX7691" s="214" t="e">
        <f t="shared" si="254"/>
        <v>#DIV/0!</v>
      </c>
      <c r="BY7691" s="215">
        <f t="shared" si="255"/>
        <v>0</v>
      </c>
    </row>
    <row r="7692" spans="76:77" x14ac:dyDescent="0.2">
      <c r="BX7692" s="214" t="e">
        <f t="shared" si="254"/>
        <v>#DIV/0!</v>
      </c>
      <c r="BY7692" s="215">
        <f t="shared" si="255"/>
        <v>0</v>
      </c>
    </row>
    <row r="7693" spans="76:77" x14ac:dyDescent="0.2">
      <c r="BX7693" s="214" t="e">
        <f t="shared" ref="BX7693:BX7756" si="256">BY7693/BV7693</f>
        <v>#DIV/0!</v>
      </c>
      <c r="BY7693" s="215">
        <f t="shared" si="255"/>
        <v>0</v>
      </c>
    </row>
    <row r="7694" spans="76:77" x14ac:dyDescent="0.2">
      <c r="BX7694" s="214" t="e">
        <f t="shared" si="256"/>
        <v>#DIV/0!</v>
      </c>
      <c r="BY7694" s="215">
        <f t="shared" ref="BY7694:BY7757" si="257">BY7693+BW7694*(BV7694-BV7693)</f>
        <v>0</v>
      </c>
    </row>
    <row r="7695" spans="76:77" x14ac:dyDescent="0.2">
      <c r="BX7695" s="214" t="e">
        <f t="shared" si="256"/>
        <v>#DIV/0!</v>
      </c>
      <c r="BY7695" s="215">
        <f t="shared" si="257"/>
        <v>0</v>
      </c>
    </row>
    <row r="7696" spans="76:77" x14ac:dyDescent="0.2">
      <c r="BX7696" s="214" t="e">
        <f t="shared" si="256"/>
        <v>#DIV/0!</v>
      </c>
      <c r="BY7696" s="215">
        <f t="shared" si="257"/>
        <v>0</v>
      </c>
    </row>
    <row r="7697" spans="76:77" x14ac:dyDescent="0.2">
      <c r="BX7697" s="214" t="e">
        <f t="shared" si="256"/>
        <v>#DIV/0!</v>
      </c>
      <c r="BY7697" s="215">
        <f t="shared" si="257"/>
        <v>0</v>
      </c>
    </row>
    <row r="7698" spans="76:77" x14ac:dyDescent="0.2">
      <c r="BX7698" s="214" t="e">
        <f t="shared" si="256"/>
        <v>#DIV/0!</v>
      </c>
      <c r="BY7698" s="215">
        <f t="shared" si="257"/>
        <v>0</v>
      </c>
    </row>
    <row r="7699" spans="76:77" x14ac:dyDescent="0.2">
      <c r="BX7699" s="214" t="e">
        <f t="shared" si="256"/>
        <v>#DIV/0!</v>
      </c>
      <c r="BY7699" s="215">
        <f t="shared" si="257"/>
        <v>0</v>
      </c>
    </row>
    <row r="7700" spans="76:77" x14ac:dyDescent="0.2">
      <c r="BX7700" s="214" t="e">
        <f t="shared" si="256"/>
        <v>#DIV/0!</v>
      </c>
      <c r="BY7700" s="215">
        <f t="shared" si="257"/>
        <v>0</v>
      </c>
    </row>
    <row r="7701" spans="76:77" x14ac:dyDescent="0.2">
      <c r="BX7701" s="214" t="e">
        <f t="shared" si="256"/>
        <v>#DIV/0!</v>
      </c>
      <c r="BY7701" s="215">
        <f t="shared" si="257"/>
        <v>0</v>
      </c>
    </row>
    <row r="7702" spans="76:77" x14ac:dyDescent="0.2">
      <c r="BX7702" s="214" t="e">
        <f t="shared" si="256"/>
        <v>#DIV/0!</v>
      </c>
      <c r="BY7702" s="215">
        <f t="shared" si="257"/>
        <v>0</v>
      </c>
    </row>
    <row r="7703" spans="76:77" x14ac:dyDescent="0.2">
      <c r="BX7703" s="214" t="e">
        <f t="shared" si="256"/>
        <v>#DIV/0!</v>
      </c>
      <c r="BY7703" s="215">
        <f t="shared" si="257"/>
        <v>0</v>
      </c>
    </row>
    <row r="7704" spans="76:77" x14ac:dyDescent="0.2">
      <c r="BX7704" s="214" t="e">
        <f t="shared" si="256"/>
        <v>#DIV/0!</v>
      </c>
      <c r="BY7704" s="215">
        <f t="shared" si="257"/>
        <v>0</v>
      </c>
    </row>
    <row r="7705" spans="76:77" x14ac:dyDescent="0.2">
      <c r="BX7705" s="214" t="e">
        <f t="shared" si="256"/>
        <v>#DIV/0!</v>
      </c>
      <c r="BY7705" s="215">
        <f t="shared" si="257"/>
        <v>0</v>
      </c>
    </row>
    <row r="7706" spans="76:77" x14ac:dyDescent="0.2">
      <c r="BX7706" s="214" t="e">
        <f t="shared" si="256"/>
        <v>#DIV/0!</v>
      </c>
      <c r="BY7706" s="215">
        <f t="shared" si="257"/>
        <v>0</v>
      </c>
    </row>
    <row r="7707" spans="76:77" x14ac:dyDescent="0.2">
      <c r="BX7707" s="214" t="e">
        <f t="shared" si="256"/>
        <v>#DIV/0!</v>
      </c>
      <c r="BY7707" s="215">
        <f t="shared" si="257"/>
        <v>0</v>
      </c>
    </row>
    <row r="7708" spans="76:77" x14ac:dyDescent="0.2">
      <c r="BX7708" s="214" t="e">
        <f t="shared" si="256"/>
        <v>#DIV/0!</v>
      </c>
      <c r="BY7708" s="215">
        <f t="shared" si="257"/>
        <v>0</v>
      </c>
    </row>
    <row r="7709" spans="76:77" x14ac:dyDescent="0.2">
      <c r="BX7709" s="214" t="e">
        <f t="shared" si="256"/>
        <v>#DIV/0!</v>
      </c>
      <c r="BY7709" s="215">
        <f t="shared" si="257"/>
        <v>0</v>
      </c>
    </row>
    <row r="7710" spans="76:77" x14ac:dyDescent="0.2">
      <c r="BX7710" s="214" t="e">
        <f t="shared" si="256"/>
        <v>#DIV/0!</v>
      </c>
      <c r="BY7710" s="215">
        <f t="shared" si="257"/>
        <v>0</v>
      </c>
    </row>
    <row r="7711" spans="76:77" x14ac:dyDescent="0.2">
      <c r="BX7711" s="214" t="e">
        <f t="shared" si="256"/>
        <v>#DIV/0!</v>
      </c>
      <c r="BY7711" s="215">
        <f t="shared" si="257"/>
        <v>0</v>
      </c>
    </row>
    <row r="7712" spans="76:77" x14ac:dyDescent="0.2">
      <c r="BX7712" s="214" t="e">
        <f t="shared" si="256"/>
        <v>#DIV/0!</v>
      </c>
      <c r="BY7712" s="215">
        <f t="shared" si="257"/>
        <v>0</v>
      </c>
    </row>
    <row r="7713" spans="76:77" x14ac:dyDescent="0.2">
      <c r="BX7713" s="214" t="e">
        <f t="shared" si="256"/>
        <v>#DIV/0!</v>
      </c>
      <c r="BY7713" s="215">
        <f t="shared" si="257"/>
        <v>0</v>
      </c>
    </row>
    <row r="7714" spans="76:77" x14ac:dyDescent="0.2">
      <c r="BX7714" s="214" t="e">
        <f t="shared" si="256"/>
        <v>#DIV/0!</v>
      </c>
      <c r="BY7714" s="215">
        <f t="shared" si="257"/>
        <v>0</v>
      </c>
    </row>
    <row r="7715" spans="76:77" x14ac:dyDescent="0.2">
      <c r="BX7715" s="214" t="e">
        <f t="shared" si="256"/>
        <v>#DIV/0!</v>
      </c>
      <c r="BY7715" s="215">
        <f t="shared" si="257"/>
        <v>0</v>
      </c>
    </row>
    <row r="7716" spans="76:77" x14ac:dyDescent="0.2">
      <c r="BX7716" s="214" t="e">
        <f t="shared" si="256"/>
        <v>#DIV/0!</v>
      </c>
      <c r="BY7716" s="215">
        <f t="shared" si="257"/>
        <v>0</v>
      </c>
    </row>
    <row r="7717" spans="76:77" x14ac:dyDescent="0.2">
      <c r="BX7717" s="214" t="e">
        <f t="shared" si="256"/>
        <v>#DIV/0!</v>
      </c>
      <c r="BY7717" s="215">
        <f t="shared" si="257"/>
        <v>0</v>
      </c>
    </row>
    <row r="7718" spans="76:77" x14ac:dyDescent="0.2">
      <c r="BX7718" s="214" t="e">
        <f t="shared" si="256"/>
        <v>#DIV/0!</v>
      </c>
      <c r="BY7718" s="215">
        <f t="shared" si="257"/>
        <v>0</v>
      </c>
    </row>
    <row r="7719" spans="76:77" x14ac:dyDescent="0.2">
      <c r="BX7719" s="214" t="e">
        <f t="shared" si="256"/>
        <v>#DIV/0!</v>
      </c>
      <c r="BY7719" s="215">
        <f t="shared" si="257"/>
        <v>0</v>
      </c>
    </row>
    <row r="7720" spans="76:77" x14ac:dyDescent="0.2">
      <c r="BX7720" s="214" t="e">
        <f t="shared" si="256"/>
        <v>#DIV/0!</v>
      </c>
      <c r="BY7720" s="215">
        <f t="shared" si="257"/>
        <v>0</v>
      </c>
    </row>
    <row r="7721" spans="76:77" x14ac:dyDescent="0.2">
      <c r="BX7721" s="214" t="e">
        <f t="shared" si="256"/>
        <v>#DIV/0!</v>
      </c>
      <c r="BY7721" s="215">
        <f t="shared" si="257"/>
        <v>0</v>
      </c>
    </row>
    <row r="7722" spans="76:77" x14ac:dyDescent="0.2">
      <c r="BX7722" s="214" t="e">
        <f t="shared" si="256"/>
        <v>#DIV/0!</v>
      </c>
      <c r="BY7722" s="215">
        <f t="shared" si="257"/>
        <v>0</v>
      </c>
    </row>
    <row r="7723" spans="76:77" x14ac:dyDescent="0.2">
      <c r="BX7723" s="214" t="e">
        <f t="shared" si="256"/>
        <v>#DIV/0!</v>
      </c>
      <c r="BY7723" s="215">
        <f t="shared" si="257"/>
        <v>0</v>
      </c>
    </row>
    <row r="7724" spans="76:77" x14ac:dyDescent="0.2">
      <c r="BX7724" s="214" t="e">
        <f t="shared" si="256"/>
        <v>#DIV/0!</v>
      </c>
      <c r="BY7724" s="215">
        <f t="shared" si="257"/>
        <v>0</v>
      </c>
    </row>
    <row r="7725" spans="76:77" x14ac:dyDescent="0.2">
      <c r="BX7725" s="214" t="e">
        <f t="shared" si="256"/>
        <v>#DIV/0!</v>
      </c>
      <c r="BY7725" s="215">
        <f t="shared" si="257"/>
        <v>0</v>
      </c>
    </row>
    <row r="7726" spans="76:77" x14ac:dyDescent="0.2">
      <c r="BX7726" s="214" t="e">
        <f t="shared" si="256"/>
        <v>#DIV/0!</v>
      </c>
      <c r="BY7726" s="215">
        <f t="shared" si="257"/>
        <v>0</v>
      </c>
    </row>
    <row r="7727" spans="76:77" x14ac:dyDescent="0.2">
      <c r="BX7727" s="214" t="e">
        <f t="shared" si="256"/>
        <v>#DIV/0!</v>
      </c>
      <c r="BY7727" s="215">
        <f t="shared" si="257"/>
        <v>0</v>
      </c>
    </row>
    <row r="7728" spans="76:77" x14ac:dyDescent="0.2">
      <c r="BX7728" s="214" t="e">
        <f t="shared" si="256"/>
        <v>#DIV/0!</v>
      </c>
      <c r="BY7728" s="215">
        <f t="shared" si="257"/>
        <v>0</v>
      </c>
    </row>
    <row r="7729" spans="76:77" x14ac:dyDescent="0.2">
      <c r="BX7729" s="214" t="e">
        <f t="shared" si="256"/>
        <v>#DIV/0!</v>
      </c>
      <c r="BY7729" s="215">
        <f t="shared" si="257"/>
        <v>0</v>
      </c>
    </row>
    <row r="7730" spans="76:77" x14ac:dyDescent="0.2">
      <c r="BX7730" s="214" t="e">
        <f t="shared" si="256"/>
        <v>#DIV/0!</v>
      </c>
      <c r="BY7730" s="215">
        <f t="shared" si="257"/>
        <v>0</v>
      </c>
    </row>
    <row r="7731" spans="76:77" x14ac:dyDescent="0.2">
      <c r="BX7731" s="214" t="e">
        <f t="shared" si="256"/>
        <v>#DIV/0!</v>
      </c>
      <c r="BY7731" s="215">
        <f t="shared" si="257"/>
        <v>0</v>
      </c>
    </row>
    <row r="7732" spans="76:77" x14ac:dyDescent="0.2">
      <c r="BX7732" s="214" t="e">
        <f t="shared" si="256"/>
        <v>#DIV/0!</v>
      </c>
      <c r="BY7732" s="215">
        <f t="shared" si="257"/>
        <v>0</v>
      </c>
    </row>
    <row r="7733" spans="76:77" x14ac:dyDescent="0.2">
      <c r="BX7733" s="214" t="e">
        <f t="shared" si="256"/>
        <v>#DIV/0!</v>
      </c>
      <c r="BY7733" s="215">
        <f t="shared" si="257"/>
        <v>0</v>
      </c>
    </row>
    <row r="7734" spans="76:77" x14ac:dyDescent="0.2">
      <c r="BX7734" s="214" t="e">
        <f t="shared" si="256"/>
        <v>#DIV/0!</v>
      </c>
      <c r="BY7734" s="215">
        <f t="shared" si="257"/>
        <v>0</v>
      </c>
    </row>
    <row r="7735" spans="76:77" x14ac:dyDescent="0.2">
      <c r="BX7735" s="214" t="e">
        <f t="shared" si="256"/>
        <v>#DIV/0!</v>
      </c>
      <c r="BY7735" s="215">
        <f t="shared" si="257"/>
        <v>0</v>
      </c>
    </row>
    <row r="7736" spans="76:77" x14ac:dyDescent="0.2">
      <c r="BX7736" s="214" t="e">
        <f t="shared" si="256"/>
        <v>#DIV/0!</v>
      </c>
      <c r="BY7736" s="215">
        <f t="shared" si="257"/>
        <v>0</v>
      </c>
    </row>
    <row r="7737" spans="76:77" x14ac:dyDescent="0.2">
      <c r="BX7737" s="214" t="e">
        <f t="shared" si="256"/>
        <v>#DIV/0!</v>
      </c>
      <c r="BY7737" s="215">
        <f t="shared" si="257"/>
        <v>0</v>
      </c>
    </row>
    <row r="7738" spans="76:77" x14ac:dyDescent="0.2">
      <c r="BX7738" s="214" t="e">
        <f t="shared" si="256"/>
        <v>#DIV/0!</v>
      </c>
      <c r="BY7738" s="215">
        <f t="shared" si="257"/>
        <v>0</v>
      </c>
    </row>
    <row r="7739" spans="76:77" x14ac:dyDescent="0.2">
      <c r="BX7739" s="214" t="e">
        <f t="shared" si="256"/>
        <v>#DIV/0!</v>
      </c>
      <c r="BY7739" s="215">
        <f t="shared" si="257"/>
        <v>0</v>
      </c>
    </row>
    <row r="7740" spans="76:77" x14ac:dyDescent="0.2">
      <c r="BX7740" s="214" t="e">
        <f t="shared" si="256"/>
        <v>#DIV/0!</v>
      </c>
      <c r="BY7740" s="215">
        <f t="shared" si="257"/>
        <v>0</v>
      </c>
    </row>
    <row r="7741" spans="76:77" x14ac:dyDescent="0.2">
      <c r="BX7741" s="214" t="e">
        <f t="shared" si="256"/>
        <v>#DIV/0!</v>
      </c>
      <c r="BY7741" s="215">
        <f t="shared" si="257"/>
        <v>0</v>
      </c>
    </row>
    <row r="7742" spans="76:77" x14ac:dyDescent="0.2">
      <c r="BX7742" s="214" t="e">
        <f t="shared" si="256"/>
        <v>#DIV/0!</v>
      </c>
      <c r="BY7742" s="215">
        <f t="shared" si="257"/>
        <v>0</v>
      </c>
    </row>
    <row r="7743" spans="76:77" x14ac:dyDescent="0.2">
      <c r="BX7743" s="214" t="e">
        <f t="shared" si="256"/>
        <v>#DIV/0!</v>
      </c>
      <c r="BY7743" s="215">
        <f t="shared" si="257"/>
        <v>0</v>
      </c>
    </row>
    <row r="7744" spans="76:77" x14ac:dyDescent="0.2">
      <c r="BX7744" s="214" t="e">
        <f t="shared" si="256"/>
        <v>#DIV/0!</v>
      </c>
      <c r="BY7744" s="215">
        <f t="shared" si="257"/>
        <v>0</v>
      </c>
    </row>
    <row r="7745" spans="76:77" x14ac:dyDescent="0.2">
      <c r="BX7745" s="214" t="e">
        <f t="shared" si="256"/>
        <v>#DIV/0!</v>
      </c>
      <c r="BY7745" s="215">
        <f t="shared" si="257"/>
        <v>0</v>
      </c>
    </row>
    <row r="7746" spans="76:77" x14ac:dyDescent="0.2">
      <c r="BX7746" s="214" t="e">
        <f t="shared" si="256"/>
        <v>#DIV/0!</v>
      </c>
      <c r="BY7746" s="215">
        <f t="shared" si="257"/>
        <v>0</v>
      </c>
    </row>
    <row r="7747" spans="76:77" x14ac:dyDescent="0.2">
      <c r="BX7747" s="214" t="e">
        <f t="shared" si="256"/>
        <v>#DIV/0!</v>
      </c>
      <c r="BY7747" s="215">
        <f t="shared" si="257"/>
        <v>0</v>
      </c>
    </row>
    <row r="7748" spans="76:77" x14ac:dyDescent="0.2">
      <c r="BX7748" s="214" t="e">
        <f t="shared" si="256"/>
        <v>#DIV/0!</v>
      </c>
      <c r="BY7748" s="215">
        <f t="shared" si="257"/>
        <v>0</v>
      </c>
    </row>
    <row r="7749" spans="76:77" x14ac:dyDescent="0.2">
      <c r="BX7749" s="214" t="e">
        <f t="shared" si="256"/>
        <v>#DIV/0!</v>
      </c>
      <c r="BY7749" s="215">
        <f t="shared" si="257"/>
        <v>0</v>
      </c>
    </row>
    <row r="7750" spans="76:77" x14ac:dyDescent="0.2">
      <c r="BX7750" s="214" t="e">
        <f t="shared" si="256"/>
        <v>#DIV/0!</v>
      </c>
      <c r="BY7750" s="215">
        <f t="shared" si="257"/>
        <v>0</v>
      </c>
    </row>
    <row r="7751" spans="76:77" x14ac:dyDescent="0.2">
      <c r="BX7751" s="214" t="e">
        <f t="shared" si="256"/>
        <v>#DIV/0!</v>
      </c>
      <c r="BY7751" s="215">
        <f t="shared" si="257"/>
        <v>0</v>
      </c>
    </row>
    <row r="7752" spans="76:77" x14ac:dyDescent="0.2">
      <c r="BX7752" s="214" t="e">
        <f t="shared" si="256"/>
        <v>#DIV/0!</v>
      </c>
      <c r="BY7752" s="215">
        <f t="shared" si="257"/>
        <v>0</v>
      </c>
    </row>
    <row r="7753" spans="76:77" x14ac:dyDescent="0.2">
      <c r="BX7753" s="214" t="e">
        <f t="shared" si="256"/>
        <v>#DIV/0!</v>
      </c>
      <c r="BY7753" s="215">
        <f t="shared" si="257"/>
        <v>0</v>
      </c>
    </row>
    <row r="7754" spans="76:77" x14ac:dyDescent="0.2">
      <c r="BX7754" s="214" t="e">
        <f t="shared" si="256"/>
        <v>#DIV/0!</v>
      </c>
      <c r="BY7754" s="215">
        <f t="shared" si="257"/>
        <v>0</v>
      </c>
    </row>
    <row r="7755" spans="76:77" x14ac:dyDescent="0.2">
      <c r="BX7755" s="214" t="e">
        <f t="shared" si="256"/>
        <v>#DIV/0!</v>
      </c>
      <c r="BY7755" s="215">
        <f t="shared" si="257"/>
        <v>0</v>
      </c>
    </row>
    <row r="7756" spans="76:77" x14ac:dyDescent="0.2">
      <c r="BX7756" s="214" t="e">
        <f t="shared" si="256"/>
        <v>#DIV/0!</v>
      </c>
      <c r="BY7756" s="215">
        <f t="shared" si="257"/>
        <v>0</v>
      </c>
    </row>
    <row r="7757" spans="76:77" x14ac:dyDescent="0.2">
      <c r="BX7757" s="214" t="e">
        <f t="shared" ref="BX7757:BX7820" si="258">BY7757/BV7757</f>
        <v>#DIV/0!</v>
      </c>
      <c r="BY7757" s="215">
        <f t="shared" si="257"/>
        <v>0</v>
      </c>
    </row>
    <row r="7758" spans="76:77" x14ac:dyDescent="0.2">
      <c r="BX7758" s="214" t="e">
        <f t="shared" si="258"/>
        <v>#DIV/0!</v>
      </c>
      <c r="BY7758" s="215">
        <f t="shared" ref="BY7758:BY7821" si="259">BY7757+BW7758*(BV7758-BV7757)</f>
        <v>0</v>
      </c>
    </row>
    <row r="7759" spans="76:77" x14ac:dyDescent="0.2">
      <c r="BX7759" s="214" t="e">
        <f t="shared" si="258"/>
        <v>#DIV/0!</v>
      </c>
      <c r="BY7759" s="215">
        <f t="shared" si="259"/>
        <v>0</v>
      </c>
    </row>
    <row r="7760" spans="76:77" x14ac:dyDescent="0.2">
      <c r="BX7760" s="214" t="e">
        <f t="shared" si="258"/>
        <v>#DIV/0!</v>
      </c>
      <c r="BY7760" s="215">
        <f t="shared" si="259"/>
        <v>0</v>
      </c>
    </row>
    <row r="7761" spans="76:77" x14ac:dyDescent="0.2">
      <c r="BX7761" s="214" t="e">
        <f t="shared" si="258"/>
        <v>#DIV/0!</v>
      </c>
      <c r="BY7761" s="215">
        <f t="shared" si="259"/>
        <v>0</v>
      </c>
    </row>
    <row r="7762" spans="76:77" x14ac:dyDescent="0.2">
      <c r="BX7762" s="214" t="e">
        <f t="shared" si="258"/>
        <v>#DIV/0!</v>
      </c>
      <c r="BY7762" s="215">
        <f t="shared" si="259"/>
        <v>0</v>
      </c>
    </row>
    <row r="7763" spans="76:77" x14ac:dyDescent="0.2">
      <c r="BX7763" s="214" t="e">
        <f t="shared" si="258"/>
        <v>#DIV/0!</v>
      </c>
      <c r="BY7763" s="215">
        <f t="shared" si="259"/>
        <v>0</v>
      </c>
    </row>
    <row r="7764" spans="76:77" x14ac:dyDescent="0.2">
      <c r="BX7764" s="214" t="e">
        <f t="shared" si="258"/>
        <v>#DIV/0!</v>
      </c>
      <c r="BY7764" s="215">
        <f t="shared" si="259"/>
        <v>0</v>
      </c>
    </row>
    <row r="7765" spans="76:77" x14ac:dyDescent="0.2">
      <c r="BX7765" s="214" t="e">
        <f t="shared" si="258"/>
        <v>#DIV/0!</v>
      </c>
      <c r="BY7765" s="215">
        <f t="shared" si="259"/>
        <v>0</v>
      </c>
    </row>
    <row r="7766" spans="76:77" x14ac:dyDescent="0.2">
      <c r="BX7766" s="214" t="e">
        <f t="shared" si="258"/>
        <v>#DIV/0!</v>
      </c>
      <c r="BY7766" s="215">
        <f t="shared" si="259"/>
        <v>0</v>
      </c>
    </row>
    <row r="7767" spans="76:77" x14ac:dyDescent="0.2">
      <c r="BX7767" s="214" t="e">
        <f t="shared" si="258"/>
        <v>#DIV/0!</v>
      </c>
      <c r="BY7767" s="215">
        <f t="shared" si="259"/>
        <v>0</v>
      </c>
    </row>
    <row r="7768" spans="76:77" x14ac:dyDescent="0.2">
      <c r="BX7768" s="214" t="e">
        <f t="shared" si="258"/>
        <v>#DIV/0!</v>
      </c>
      <c r="BY7768" s="215">
        <f t="shared" si="259"/>
        <v>0</v>
      </c>
    </row>
    <row r="7769" spans="76:77" x14ac:dyDescent="0.2">
      <c r="BX7769" s="214" t="e">
        <f t="shared" si="258"/>
        <v>#DIV/0!</v>
      </c>
      <c r="BY7769" s="215">
        <f t="shared" si="259"/>
        <v>0</v>
      </c>
    </row>
    <row r="7770" spans="76:77" x14ac:dyDescent="0.2">
      <c r="BX7770" s="214" t="e">
        <f t="shared" si="258"/>
        <v>#DIV/0!</v>
      </c>
      <c r="BY7770" s="215">
        <f t="shared" si="259"/>
        <v>0</v>
      </c>
    </row>
    <row r="7771" spans="76:77" x14ac:dyDescent="0.2">
      <c r="BX7771" s="214" t="e">
        <f t="shared" si="258"/>
        <v>#DIV/0!</v>
      </c>
      <c r="BY7771" s="215">
        <f t="shared" si="259"/>
        <v>0</v>
      </c>
    </row>
    <row r="7772" spans="76:77" x14ac:dyDescent="0.2">
      <c r="BX7772" s="214" t="e">
        <f t="shared" si="258"/>
        <v>#DIV/0!</v>
      </c>
      <c r="BY7772" s="215">
        <f t="shared" si="259"/>
        <v>0</v>
      </c>
    </row>
    <row r="7773" spans="76:77" x14ac:dyDescent="0.2">
      <c r="BX7773" s="214" t="e">
        <f t="shared" si="258"/>
        <v>#DIV/0!</v>
      </c>
      <c r="BY7773" s="215">
        <f t="shared" si="259"/>
        <v>0</v>
      </c>
    </row>
    <row r="7774" spans="76:77" x14ac:dyDescent="0.2">
      <c r="BX7774" s="214" t="e">
        <f t="shared" si="258"/>
        <v>#DIV/0!</v>
      </c>
      <c r="BY7774" s="215">
        <f t="shared" si="259"/>
        <v>0</v>
      </c>
    </row>
    <row r="7775" spans="76:77" x14ac:dyDescent="0.2">
      <c r="BX7775" s="214" t="e">
        <f t="shared" si="258"/>
        <v>#DIV/0!</v>
      </c>
      <c r="BY7775" s="215">
        <f t="shared" si="259"/>
        <v>0</v>
      </c>
    </row>
    <row r="7776" spans="76:77" x14ac:dyDescent="0.2">
      <c r="BX7776" s="214" t="e">
        <f t="shared" si="258"/>
        <v>#DIV/0!</v>
      </c>
      <c r="BY7776" s="215">
        <f t="shared" si="259"/>
        <v>0</v>
      </c>
    </row>
    <row r="7777" spans="76:77" x14ac:dyDescent="0.2">
      <c r="BX7777" s="214" t="e">
        <f t="shared" si="258"/>
        <v>#DIV/0!</v>
      </c>
      <c r="BY7777" s="215">
        <f t="shared" si="259"/>
        <v>0</v>
      </c>
    </row>
    <row r="7778" spans="76:77" x14ac:dyDescent="0.2">
      <c r="BX7778" s="214" t="e">
        <f t="shared" si="258"/>
        <v>#DIV/0!</v>
      </c>
      <c r="BY7778" s="215">
        <f t="shared" si="259"/>
        <v>0</v>
      </c>
    </row>
    <row r="7779" spans="76:77" x14ac:dyDescent="0.2">
      <c r="BX7779" s="214" t="e">
        <f t="shared" si="258"/>
        <v>#DIV/0!</v>
      </c>
      <c r="BY7779" s="215">
        <f t="shared" si="259"/>
        <v>0</v>
      </c>
    </row>
    <row r="7780" spans="76:77" x14ac:dyDescent="0.2">
      <c r="BX7780" s="214" t="e">
        <f t="shared" si="258"/>
        <v>#DIV/0!</v>
      </c>
      <c r="BY7780" s="215">
        <f t="shared" si="259"/>
        <v>0</v>
      </c>
    </row>
    <row r="7781" spans="76:77" x14ac:dyDescent="0.2">
      <c r="BX7781" s="214" t="e">
        <f t="shared" si="258"/>
        <v>#DIV/0!</v>
      </c>
      <c r="BY7781" s="215">
        <f t="shared" si="259"/>
        <v>0</v>
      </c>
    </row>
    <row r="7782" spans="76:77" x14ac:dyDescent="0.2">
      <c r="BX7782" s="214" t="e">
        <f t="shared" si="258"/>
        <v>#DIV/0!</v>
      </c>
      <c r="BY7782" s="215">
        <f t="shared" si="259"/>
        <v>0</v>
      </c>
    </row>
    <row r="7783" spans="76:77" x14ac:dyDescent="0.2">
      <c r="BX7783" s="214" t="e">
        <f t="shared" si="258"/>
        <v>#DIV/0!</v>
      </c>
      <c r="BY7783" s="215">
        <f t="shared" si="259"/>
        <v>0</v>
      </c>
    </row>
    <row r="7784" spans="76:77" x14ac:dyDescent="0.2">
      <c r="BX7784" s="214" t="e">
        <f t="shared" si="258"/>
        <v>#DIV/0!</v>
      </c>
      <c r="BY7784" s="215">
        <f t="shared" si="259"/>
        <v>0</v>
      </c>
    </row>
    <row r="7785" spans="76:77" x14ac:dyDescent="0.2">
      <c r="BX7785" s="214" t="e">
        <f t="shared" si="258"/>
        <v>#DIV/0!</v>
      </c>
      <c r="BY7785" s="215">
        <f t="shared" si="259"/>
        <v>0</v>
      </c>
    </row>
    <row r="7786" spans="76:77" x14ac:dyDescent="0.2">
      <c r="BX7786" s="214" t="e">
        <f t="shared" si="258"/>
        <v>#DIV/0!</v>
      </c>
      <c r="BY7786" s="215">
        <f t="shared" si="259"/>
        <v>0</v>
      </c>
    </row>
    <row r="7787" spans="76:77" x14ac:dyDescent="0.2">
      <c r="BX7787" s="214" t="e">
        <f t="shared" si="258"/>
        <v>#DIV/0!</v>
      </c>
      <c r="BY7787" s="215">
        <f t="shared" si="259"/>
        <v>0</v>
      </c>
    </row>
    <row r="7788" spans="76:77" x14ac:dyDescent="0.2">
      <c r="BX7788" s="214" t="e">
        <f t="shared" si="258"/>
        <v>#DIV/0!</v>
      </c>
      <c r="BY7788" s="215">
        <f t="shared" si="259"/>
        <v>0</v>
      </c>
    </row>
    <row r="7789" spans="76:77" x14ac:dyDescent="0.2">
      <c r="BX7789" s="214" t="e">
        <f t="shared" si="258"/>
        <v>#DIV/0!</v>
      </c>
      <c r="BY7789" s="215">
        <f t="shared" si="259"/>
        <v>0</v>
      </c>
    </row>
    <row r="7790" spans="76:77" x14ac:dyDescent="0.2">
      <c r="BX7790" s="214" t="e">
        <f t="shared" si="258"/>
        <v>#DIV/0!</v>
      </c>
      <c r="BY7790" s="215">
        <f t="shared" si="259"/>
        <v>0</v>
      </c>
    </row>
    <row r="7791" spans="76:77" x14ac:dyDescent="0.2">
      <c r="BX7791" s="214" t="e">
        <f t="shared" si="258"/>
        <v>#DIV/0!</v>
      </c>
      <c r="BY7791" s="215">
        <f t="shared" si="259"/>
        <v>0</v>
      </c>
    </row>
    <row r="7792" spans="76:77" x14ac:dyDescent="0.2">
      <c r="BX7792" s="214" t="e">
        <f t="shared" si="258"/>
        <v>#DIV/0!</v>
      </c>
      <c r="BY7792" s="215">
        <f t="shared" si="259"/>
        <v>0</v>
      </c>
    </row>
    <row r="7793" spans="76:77" x14ac:dyDescent="0.2">
      <c r="BX7793" s="214" t="e">
        <f t="shared" si="258"/>
        <v>#DIV/0!</v>
      </c>
      <c r="BY7793" s="215">
        <f t="shared" si="259"/>
        <v>0</v>
      </c>
    </row>
    <row r="7794" spans="76:77" x14ac:dyDescent="0.2">
      <c r="BX7794" s="214" t="e">
        <f t="shared" si="258"/>
        <v>#DIV/0!</v>
      </c>
      <c r="BY7794" s="215">
        <f t="shared" si="259"/>
        <v>0</v>
      </c>
    </row>
    <row r="7795" spans="76:77" x14ac:dyDescent="0.2">
      <c r="BX7795" s="214" t="e">
        <f t="shared" si="258"/>
        <v>#DIV/0!</v>
      </c>
      <c r="BY7795" s="215">
        <f t="shared" si="259"/>
        <v>0</v>
      </c>
    </row>
    <row r="7796" spans="76:77" x14ac:dyDescent="0.2">
      <c r="BX7796" s="214" t="e">
        <f t="shared" si="258"/>
        <v>#DIV/0!</v>
      </c>
      <c r="BY7796" s="215">
        <f t="shared" si="259"/>
        <v>0</v>
      </c>
    </row>
    <row r="7797" spans="76:77" x14ac:dyDescent="0.2">
      <c r="BX7797" s="214" t="e">
        <f t="shared" si="258"/>
        <v>#DIV/0!</v>
      </c>
      <c r="BY7797" s="215">
        <f t="shared" si="259"/>
        <v>0</v>
      </c>
    </row>
    <row r="7798" spans="76:77" x14ac:dyDescent="0.2">
      <c r="BX7798" s="214" t="e">
        <f t="shared" si="258"/>
        <v>#DIV/0!</v>
      </c>
      <c r="BY7798" s="215">
        <f t="shared" si="259"/>
        <v>0</v>
      </c>
    </row>
    <row r="7799" spans="76:77" x14ac:dyDescent="0.2">
      <c r="BX7799" s="214" t="e">
        <f t="shared" si="258"/>
        <v>#DIV/0!</v>
      </c>
      <c r="BY7799" s="215">
        <f t="shared" si="259"/>
        <v>0</v>
      </c>
    </row>
    <row r="7800" spans="76:77" x14ac:dyDescent="0.2">
      <c r="BX7800" s="214" t="e">
        <f t="shared" si="258"/>
        <v>#DIV/0!</v>
      </c>
      <c r="BY7800" s="215">
        <f t="shared" si="259"/>
        <v>0</v>
      </c>
    </row>
    <row r="7801" spans="76:77" x14ac:dyDescent="0.2">
      <c r="BX7801" s="214" t="e">
        <f t="shared" si="258"/>
        <v>#DIV/0!</v>
      </c>
      <c r="BY7801" s="215">
        <f t="shared" si="259"/>
        <v>0</v>
      </c>
    </row>
    <row r="7802" spans="76:77" x14ac:dyDescent="0.2">
      <c r="BX7802" s="214" t="e">
        <f t="shared" si="258"/>
        <v>#DIV/0!</v>
      </c>
      <c r="BY7802" s="215">
        <f t="shared" si="259"/>
        <v>0</v>
      </c>
    </row>
    <row r="7803" spans="76:77" x14ac:dyDescent="0.2">
      <c r="BX7803" s="214" t="e">
        <f t="shared" si="258"/>
        <v>#DIV/0!</v>
      </c>
      <c r="BY7803" s="215">
        <f t="shared" si="259"/>
        <v>0</v>
      </c>
    </row>
    <row r="7804" spans="76:77" x14ac:dyDescent="0.2">
      <c r="BX7804" s="214" t="e">
        <f t="shared" si="258"/>
        <v>#DIV/0!</v>
      </c>
      <c r="BY7804" s="215">
        <f t="shared" si="259"/>
        <v>0</v>
      </c>
    </row>
    <row r="7805" spans="76:77" x14ac:dyDescent="0.2">
      <c r="BX7805" s="214" t="e">
        <f t="shared" si="258"/>
        <v>#DIV/0!</v>
      </c>
      <c r="BY7805" s="215">
        <f t="shared" si="259"/>
        <v>0</v>
      </c>
    </row>
    <row r="7806" spans="76:77" x14ac:dyDescent="0.2">
      <c r="BX7806" s="214" t="e">
        <f t="shared" si="258"/>
        <v>#DIV/0!</v>
      </c>
      <c r="BY7806" s="215">
        <f t="shared" si="259"/>
        <v>0</v>
      </c>
    </row>
    <row r="7807" spans="76:77" x14ac:dyDescent="0.2">
      <c r="BX7807" s="214" t="e">
        <f t="shared" si="258"/>
        <v>#DIV/0!</v>
      </c>
      <c r="BY7807" s="215">
        <f t="shared" si="259"/>
        <v>0</v>
      </c>
    </row>
    <row r="7808" spans="76:77" x14ac:dyDescent="0.2">
      <c r="BX7808" s="214" t="e">
        <f t="shared" si="258"/>
        <v>#DIV/0!</v>
      </c>
      <c r="BY7808" s="215">
        <f t="shared" si="259"/>
        <v>0</v>
      </c>
    </row>
    <row r="7809" spans="76:77" x14ac:dyDescent="0.2">
      <c r="BX7809" s="214" t="e">
        <f t="shared" si="258"/>
        <v>#DIV/0!</v>
      </c>
      <c r="BY7809" s="215">
        <f t="shared" si="259"/>
        <v>0</v>
      </c>
    </row>
    <row r="7810" spans="76:77" x14ac:dyDescent="0.2">
      <c r="BX7810" s="214" t="e">
        <f t="shared" si="258"/>
        <v>#DIV/0!</v>
      </c>
      <c r="BY7810" s="215">
        <f t="shared" si="259"/>
        <v>0</v>
      </c>
    </row>
    <row r="7811" spans="76:77" x14ac:dyDescent="0.2">
      <c r="BX7811" s="214" t="e">
        <f t="shared" si="258"/>
        <v>#DIV/0!</v>
      </c>
      <c r="BY7811" s="215">
        <f t="shared" si="259"/>
        <v>0</v>
      </c>
    </row>
    <row r="7812" spans="76:77" x14ac:dyDescent="0.2">
      <c r="BX7812" s="214" t="e">
        <f t="shared" si="258"/>
        <v>#DIV/0!</v>
      </c>
      <c r="BY7812" s="215">
        <f t="shared" si="259"/>
        <v>0</v>
      </c>
    </row>
    <row r="7813" spans="76:77" x14ac:dyDescent="0.2">
      <c r="BX7813" s="214" t="e">
        <f t="shared" si="258"/>
        <v>#DIV/0!</v>
      </c>
      <c r="BY7813" s="215">
        <f t="shared" si="259"/>
        <v>0</v>
      </c>
    </row>
    <row r="7814" spans="76:77" x14ac:dyDescent="0.2">
      <c r="BX7814" s="214" t="e">
        <f t="shared" si="258"/>
        <v>#DIV/0!</v>
      </c>
      <c r="BY7814" s="215">
        <f t="shared" si="259"/>
        <v>0</v>
      </c>
    </row>
    <row r="7815" spans="76:77" x14ac:dyDescent="0.2">
      <c r="BX7815" s="214" t="e">
        <f t="shared" si="258"/>
        <v>#DIV/0!</v>
      </c>
      <c r="BY7815" s="215">
        <f t="shared" si="259"/>
        <v>0</v>
      </c>
    </row>
    <row r="7816" spans="76:77" x14ac:dyDescent="0.2">
      <c r="BX7816" s="214" t="e">
        <f t="shared" si="258"/>
        <v>#DIV/0!</v>
      </c>
      <c r="BY7816" s="215">
        <f t="shared" si="259"/>
        <v>0</v>
      </c>
    </row>
    <row r="7817" spans="76:77" x14ac:dyDescent="0.2">
      <c r="BX7817" s="214" t="e">
        <f t="shared" si="258"/>
        <v>#DIV/0!</v>
      </c>
      <c r="BY7817" s="215">
        <f t="shared" si="259"/>
        <v>0</v>
      </c>
    </row>
    <row r="7818" spans="76:77" x14ac:dyDescent="0.2">
      <c r="BX7818" s="214" t="e">
        <f t="shared" si="258"/>
        <v>#DIV/0!</v>
      </c>
      <c r="BY7818" s="215">
        <f t="shared" si="259"/>
        <v>0</v>
      </c>
    </row>
    <row r="7819" spans="76:77" x14ac:dyDescent="0.2">
      <c r="BX7819" s="214" t="e">
        <f t="shared" si="258"/>
        <v>#DIV/0!</v>
      </c>
      <c r="BY7819" s="215">
        <f t="shared" si="259"/>
        <v>0</v>
      </c>
    </row>
    <row r="7820" spans="76:77" x14ac:dyDescent="0.2">
      <c r="BX7820" s="214" t="e">
        <f t="shared" si="258"/>
        <v>#DIV/0!</v>
      </c>
      <c r="BY7820" s="215">
        <f t="shared" si="259"/>
        <v>0</v>
      </c>
    </row>
    <row r="7821" spans="76:77" x14ac:dyDescent="0.2">
      <c r="BX7821" s="214" t="e">
        <f t="shared" ref="BX7821:BX7884" si="260">BY7821/BV7821</f>
        <v>#DIV/0!</v>
      </c>
      <c r="BY7821" s="215">
        <f t="shared" si="259"/>
        <v>0</v>
      </c>
    </row>
    <row r="7822" spans="76:77" x14ac:dyDescent="0.2">
      <c r="BX7822" s="214" t="e">
        <f t="shared" si="260"/>
        <v>#DIV/0!</v>
      </c>
      <c r="BY7822" s="215">
        <f t="shared" ref="BY7822:BY7885" si="261">BY7821+BW7822*(BV7822-BV7821)</f>
        <v>0</v>
      </c>
    </row>
    <row r="7823" spans="76:77" x14ac:dyDescent="0.2">
      <c r="BX7823" s="214" t="e">
        <f t="shared" si="260"/>
        <v>#DIV/0!</v>
      </c>
      <c r="BY7823" s="215">
        <f t="shared" si="261"/>
        <v>0</v>
      </c>
    </row>
    <row r="7824" spans="76:77" x14ac:dyDescent="0.2">
      <c r="BX7824" s="214" t="e">
        <f t="shared" si="260"/>
        <v>#DIV/0!</v>
      </c>
      <c r="BY7824" s="215">
        <f t="shared" si="261"/>
        <v>0</v>
      </c>
    </row>
    <row r="7825" spans="76:77" x14ac:dyDescent="0.2">
      <c r="BX7825" s="214" t="e">
        <f t="shared" si="260"/>
        <v>#DIV/0!</v>
      </c>
      <c r="BY7825" s="215">
        <f t="shared" si="261"/>
        <v>0</v>
      </c>
    </row>
    <row r="7826" spans="76:77" x14ac:dyDescent="0.2">
      <c r="BX7826" s="214" t="e">
        <f t="shared" si="260"/>
        <v>#DIV/0!</v>
      </c>
      <c r="BY7826" s="215">
        <f t="shared" si="261"/>
        <v>0</v>
      </c>
    </row>
    <row r="7827" spans="76:77" x14ac:dyDescent="0.2">
      <c r="BX7827" s="214" t="e">
        <f t="shared" si="260"/>
        <v>#DIV/0!</v>
      </c>
      <c r="BY7827" s="215">
        <f t="shared" si="261"/>
        <v>0</v>
      </c>
    </row>
    <row r="7828" spans="76:77" x14ac:dyDescent="0.2">
      <c r="BX7828" s="214" t="e">
        <f t="shared" si="260"/>
        <v>#DIV/0!</v>
      </c>
      <c r="BY7828" s="215">
        <f t="shared" si="261"/>
        <v>0</v>
      </c>
    </row>
    <row r="7829" spans="76:77" x14ac:dyDescent="0.2">
      <c r="BX7829" s="214" t="e">
        <f t="shared" si="260"/>
        <v>#DIV/0!</v>
      </c>
      <c r="BY7829" s="215">
        <f t="shared" si="261"/>
        <v>0</v>
      </c>
    </row>
    <row r="7830" spans="76:77" x14ac:dyDescent="0.2">
      <c r="BX7830" s="214" t="e">
        <f t="shared" si="260"/>
        <v>#DIV/0!</v>
      </c>
      <c r="BY7830" s="215">
        <f t="shared" si="261"/>
        <v>0</v>
      </c>
    </row>
    <row r="7831" spans="76:77" x14ac:dyDescent="0.2">
      <c r="BX7831" s="214" t="e">
        <f t="shared" si="260"/>
        <v>#DIV/0!</v>
      </c>
      <c r="BY7831" s="215">
        <f t="shared" si="261"/>
        <v>0</v>
      </c>
    </row>
    <row r="7832" spans="76:77" x14ac:dyDescent="0.2">
      <c r="BX7832" s="214" t="e">
        <f t="shared" si="260"/>
        <v>#DIV/0!</v>
      </c>
      <c r="BY7832" s="215">
        <f t="shared" si="261"/>
        <v>0</v>
      </c>
    </row>
    <row r="7833" spans="76:77" x14ac:dyDescent="0.2">
      <c r="BX7833" s="214" t="e">
        <f t="shared" si="260"/>
        <v>#DIV/0!</v>
      </c>
      <c r="BY7833" s="215">
        <f t="shared" si="261"/>
        <v>0</v>
      </c>
    </row>
    <row r="7834" spans="76:77" x14ac:dyDescent="0.2">
      <c r="BX7834" s="214" t="e">
        <f t="shared" si="260"/>
        <v>#DIV/0!</v>
      </c>
      <c r="BY7834" s="215">
        <f t="shared" si="261"/>
        <v>0</v>
      </c>
    </row>
    <row r="7835" spans="76:77" x14ac:dyDescent="0.2">
      <c r="BX7835" s="214" t="e">
        <f t="shared" si="260"/>
        <v>#DIV/0!</v>
      </c>
      <c r="BY7835" s="215">
        <f t="shared" si="261"/>
        <v>0</v>
      </c>
    </row>
    <row r="7836" spans="76:77" x14ac:dyDescent="0.2">
      <c r="BX7836" s="214" t="e">
        <f t="shared" si="260"/>
        <v>#DIV/0!</v>
      </c>
      <c r="BY7836" s="215">
        <f t="shared" si="261"/>
        <v>0</v>
      </c>
    </row>
    <row r="7837" spans="76:77" x14ac:dyDescent="0.2">
      <c r="BX7837" s="214" t="e">
        <f t="shared" si="260"/>
        <v>#DIV/0!</v>
      </c>
      <c r="BY7837" s="215">
        <f t="shared" si="261"/>
        <v>0</v>
      </c>
    </row>
    <row r="7838" spans="76:77" x14ac:dyDescent="0.2">
      <c r="BX7838" s="214" t="e">
        <f t="shared" si="260"/>
        <v>#DIV/0!</v>
      </c>
      <c r="BY7838" s="215">
        <f t="shared" si="261"/>
        <v>0</v>
      </c>
    </row>
    <row r="7839" spans="76:77" x14ac:dyDescent="0.2">
      <c r="BX7839" s="214" t="e">
        <f t="shared" si="260"/>
        <v>#DIV/0!</v>
      </c>
      <c r="BY7839" s="215">
        <f t="shared" si="261"/>
        <v>0</v>
      </c>
    </row>
    <row r="7840" spans="76:77" x14ac:dyDescent="0.2">
      <c r="BX7840" s="214" t="e">
        <f t="shared" si="260"/>
        <v>#DIV/0!</v>
      </c>
      <c r="BY7840" s="215">
        <f t="shared" si="261"/>
        <v>0</v>
      </c>
    </row>
    <row r="7841" spans="76:77" x14ac:dyDescent="0.2">
      <c r="BX7841" s="214" t="e">
        <f t="shared" si="260"/>
        <v>#DIV/0!</v>
      </c>
      <c r="BY7841" s="215">
        <f t="shared" si="261"/>
        <v>0</v>
      </c>
    </row>
    <row r="7842" spans="76:77" x14ac:dyDescent="0.2">
      <c r="BX7842" s="214" t="e">
        <f t="shared" si="260"/>
        <v>#DIV/0!</v>
      </c>
      <c r="BY7842" s="215">
        <f t="shared" si="261"/>
        <v>0</v>
      </c>
    </row>
    <row r="7843" spans="76:77" x14ac:dyDescent="0.2">
      <c r="BX7843" s="214" t="e">
        <f t="shared" si="260"/>
        <v>#DIV/0!</v>
      </c>
      <c r="BY7843" s="215">
        <f t="shared" si="261"/>
        <v>0</v>
      </c>
    </row>
    <row r="7844" spans="76:77" x14ac:dyDescent="0.2">
      <c r="BX7844" s="214" t="e">
        <f t="shared" si="260"/>
        <v>#DIV/0!</v>
      </c>
      <c r="BY7844" s="215">
        <f t="shared" si="261"/>
        <v>0</v>
      </c>
    </row>
    <row r="7845" spans="76:77" x14ac:dyDescent="0.2">
      <c r="BX7845" s="214" t="e">
        <f t="shared" si="260"/>
        <v>#DIV/0!</v>
      </c>
      <c r="BY7845" s="215">
        <f t="shared" si="261"/>
        <v>0</v>
      </c>
    </row>
    <row r="7846" spans="76:77" x14ac:dyDescent="0.2">
      <c r="BX7846" s="214" t="e">
        <f t="shared" si="260"/>
        <v>#DIV/0!</v>
      </c>
      <c r="BY7846" s="215">
        <f t="shared" si="261"/>
        <v>0</v>
      </c>
    </row>
    <row r="7847" spans="76:77" x14ac:dyDescent="0.2">
      <c r="BX7847" s="214" t="e">
        <f t="shared" si="260"/>
        <v>#DIV/0!</v>
      </c>
      <c r="BY7847" s="215">
        <f t="shared" si="261"/>
        <v>0</v>
      </c>
    </row>
    <row r="7848" spans="76:77" x14ac:dyDescent="0.2">
      <c r="BX7848" s="214" t="e">
        <f t="shared" si="260"/>
        <v>#DIV/0!</v>
      </c>
      <c r="BY7848" s="215">
        <f t="shared" si="261"/>
        <v>0</v>
      </c>
    </row>
    <row r="7849" spans="76:77" x14ac:dyDescent="0.2">
      <c r="BX7849" s="214" t="e">
        <f t="shared" si="260"/>
        <v>#DIV/0!</v>
      </c>
      <c r="BY7849" s="215">
        <f t="shared" si="261"/>
        <v>0</v>
      </c>
    </row>
    <row r="7850" spans="76:77" x14ac:dyDescent="0.2">
      <c r="BX7850" s="214" t="e">
        <f t="shared" si="260"/>
        <v>#DIV/0!</v>
      </c>
      <c r="BY7850" s="215">
        <f t="shared" si="261"/>
        <v>0</v>
      </c>
    </row>
    <row r="7851" spans="76:77" x14ac:dyDescent="0.2">
      <c r="BX7851" s="214" t="e">
        <f t="shared" si="260"/>
        <v>#DIV/0!</v>
      </c>
      <c r="BY7851" s="215">
        <f t="shared" si="261"/>
        <v>0</v>
      </c>
    </row>
    <row r="7852" spans="76:77" x14ac:dyDescent="0.2">
      <c r="BX7852" s="214" t="e">
        <f t="shared" si="260"/>
        <v>#DIV/0!</v>
      </c>
      <c r="BY7852" s="215">
        <f t="shared" si="261"/>
        <v>0</v>
      </c>
    </row>
    <row r="7853" spans="76:77" x14ac:dyDescent="0.2">
      <c r="BX7853" s="214" t="e">
        <f t="shared" si="260"/>
        <v>#DIV/0!</v>
      </c>
      <c r="BY7853" s="215">
        <f t="shared" si="261"/>
        <v>0</v>
      </c>
    </row>
    <row r="7854" spans="76:77" x14ac:dyDescent="0.2">
      <c r="BX7854" s="214" t="e">
        <f t="shared" si="260"/>
        <v>#DIV/0!</v>
      </c>
      <c r="BY7854" s="215">
        <f t="shared" si="261"/>
        <v>0</v>
      </c>
    </row>
    <row r="7855" spans="76:77" x14ac:dyDescent="0.2">
      <c r="BX7855" s="214" t="e">
        <f t="shared" si="260"/>
        <v>#DIV/0!</v>
      </c>
      <c r="BY7855" s="215">
        <f t="shared" si="261"/>
        <v>0</v>
      </c>
    </row>
    <row r="7856" spans="76:77" x14ac:dyDescent="0.2">
      <c r="BX7856" s="214" t="e">
        <f t="shared" si="260"/>
        <v>#DIV/0!</v>
      </c>
      <c r="BY7856" s="215">
        <f t="shared" si="261"/>
        <v>0</v>
      </c>
    </row>
    <row r="7857" spans="76:77" x14ac:dyDescent="0.2">
      <c r="BX7857" s="214" t="e">
        <f t="shared" si="260"/>
        <v>#DIV/0!</v>
      </c>
      <c r="BY7857" s="215">
        <f t="shared" si="261"/>
        <v>0</v>
      </c>
    </row>
    <row r="7858" spans="76:77" x14ac:dyDescent="0.2">
      <c r="BX7858" s="214" t="e">
        <f t="shared" si="260"/>
        <v>#DIV/0!</v>
      </c>
      <c r="BY7858" s="215">
        <f t="shared" si="261"/>
        <v>0</v>
      </c>
    </row>
    <row r="7859" spans="76:77" x14ac:dyDescent="0.2">
      <c r="BX7859" s="214" t="e">
        <f t="shared" si="260"/>
        <v>#DIV/0!</v>
      </c>
      <c r="BY7859" s="215">
        <f t="shared" si="261"/>
        <v>0</v>
      </c>
    </row>
    <row r="7860" spans="76:77" x14ac:dyDescent="0.2">
      <c r="BX7860" s="214" t="e">
        <f t="shared" si="260"/>
        <v>#DIV/0!</v>
      </c>
      <c r="BY7860" s="215">
        <f t="shared" si="261"/>
        <v>0</v>
      </c>
    </row>
    <row r="7861" spans="76:77" x14ac:dyDescent="0.2">
      <c r="BX7861" s="214" t="e">
        <f t="shared" si="260"/>
        <v>#DIV/0!</v>
      </c>
      <c r="BY7861" s="215">
        <f t="shared" si="261"/>
        <v>0</v>
      </c>
    </row>
    <row r="7862" spans="76:77" x14ac:dyDescent="0.2">
      <c r="BX7862" s="214" t="e">
        <f t="shared" si="260"/>
        <v>#DIV/0!</v>
      </c>
      <c r="BY7862" s="215">
        <f t="shared" si="261"/>
        <v>0</v>
      </c>
    </row>
    <row r="7863" spans="76:77" x14ac:dyDescent="0.2">
      <c r="BX7863" s="214" t="e">
        <f t="shared" si="260"/>
        <v>#DIV/0!</v>
      </c>
      <c r="BY7863" s="215">
        <f t="shared" si="261"/>
        <v>0</v>
      </c>
    </row>
    <row r="7864" spans="76:77" x14ac:dyDescent="0.2">
      <c r="BX7864" s="214" t="e">
        <f t="shared" si="260"/>
        <v>#DIV/0!</v>
      </c>
      <c r="BY7864" s="215">
        <f t="shared" si="261"/>
        <v>0</v>
      </c>
    </row>
    <row r="7865" spans="76:77" x14ac:dyDescent="0.2">
      <c r="BX7865" s="214" t="e">
        <f t="shared" si="260"/>
        <v>#DIV/0!</v>
      </c>
      <c r="BY7865" s="215">
        <f t="shared" si="261"/>
        <v>0</v>
      </c>
    </row>
    <row r="7866" spans="76:77" x14ac:dyDescent="0.2">
      <c r="BX7866" s="214" t="e">
        <f t="shared" si="260"/>
        <v>#DIV/0!</v>
      </c>
      <c r="BY7866" s="215">
        <f t="shared" si="261"/>
        <v>0</v>
      </c>
    </row>
    <row r="7867" spans="76:77" x14ac:dyDescent="0.2">
      <c r="BX7867" s="214" t="e">
        <f t="shared" si="260"/>
        <v>#DIV/0!</v>
      </c>
      <c r="BY7867" s="215">
        <f t="shared" si="261"/>
        <v>0</v>
      </c>
    </row>
    <row r="7868" spans="76:77" x14ac:dyDescent="0.2">
      <c r="BX7868" s="214" t="e">
        <f t="shared" si="260"/>
        <v>#DIV/0!</v>
      </c>
      <c r="BY7868" s="215">
        <f t="shared" si="261"/>
        <v>0</v>
      </c>
    </row>
    <row r="7869" spans="76:77" x14ac:dyDescent="0.2">
      <c r="BX7869" s="214" t="e">
        <f t="shared" si="260"/>
        <v>#DIV/0!</v>
      </c>
      <c r="BY7869" s="215">
        <f t="shared" si="261"/>
        <v>0</v>
      </c>
    </row>
    <row r="7870" spans="76:77" x14ac:dyDescent="0.2">
      <c r="BX7870" s="214" t="e">
        <f t="shared" si="260"/>
        <v>#DIV/0!</v>
      </c>
      <c r="BY7870" s="215">
        <f t="shared" si="261"/>
        <v>0</v>
      </c>
    </row>
    <row r="7871" spans="76:77" x14ac:dyDescent="0.2">
      <c r="BX7871" s="214" t="e">
        <f t="shared" si="260"/>
        <v>#DIV/0!</v>
      </c>
      <c r="BY7871" s="215">
        <f t="shared" si="261"/>
        <v>0</v>
      </c>
    </row>
    <row r="7872" spans="76:77" x14ac:dyDescent="0.2">
      <c r="BX7872" s="214" t="e">
        <f t="shared" si="260"/>
        <v>#DIV/0!</v>
      </c>
      <c r="BY7872" s="215">
        <f t="shared" si="261"/>
        <v>0</v>
      </c>
    </row>
    <row r="7873" spans="76:77" x14ac:dyDescent="0.2">
      <c r="BX7873" s="214" t="e">
        <f t="shared" si="260"/>
        <v>#DIV/0!</v>
      </c>
      <c r="BY7873" s="215">
        <f t="shared" si="261"/>
        <v>0</v>
      </c>
    </row>
    <row r="7874" spans="76:77" x14ac:dyDescent="0.2">
      <c r="BX7874" s="214" t="e">
        <f t="shared" si="260"/>
        <v>#DIV/0!</v>
      </c>
      <c r="BY7874" s="215">
        <f t="shared" si="261"/>
        <v>0</v>
      </c>
    </row>
    <row r="7875" spans="76:77" x14ac:dyDescent="0.2">
      <c r="BX7875" s="214" t="e">
        <f t="shared" si="260"/>
        <v>#DIV/0!</v>
      </c>
      <c r="BY7875" s="215">
        <f t="shared" si="261"/>
        <v>0</v>
      </c>
    </row>
    <row r="7876" spans="76:77" x14ac:dyDescent="0.2">
      <c r="BX7876" s="214" t="e">
        <f t="shared" si="260"/>
        <v>#DIV/0!</v>
      </c>
      <c r="BY7876" s="215">
        <f t="shared" si="261"/>
        <v>0</v>
      </c>
    </row>
    <row r="7877" spans="76:77" x14ac:dyDescent="0.2">
      <c r="BX7877" s="214" t="e">
        <f t="shared" si="260"/>
        <v>#DIV/0!</v>
      </c>
      <c r="BY7877" s="215">
        <f t="shared" si="261"/>
        <v>0</v>
      </c>
    </row>
    <row r="7878" spans="76:77" x14ac:dyDescent="0.2">
      <c r="BX7878" s="214" t="e">
        <f t="shared" si="260"/>
        <v>#DIV/0!</v>
      </c>
      <c r="BY7878" s="215">
        <f t="shared" si="261"/>
        <v>0</v>
      </c>
    </row>
    <row r="7879" spans="76:77" x14ac:dyDescent="0.2">
      <c r="BX7879" s="214" t="e">
        <f t="shared" si="260"/>
        <v>#DIV/0!</v>
      </c>
      <c r="BY7879" s="215">
        <f t="shared" si="261"/>
        <v>0</v>
      </c>
    </row>
    <row r="7880" spans="76:77" x14ac:dyDescent="0.2">
      <c r="BX7880" s="214" t="e">
        <f t="shared" si="260"/>
        <v>#DIV/0!</v>
      </c>
      <c r="BY7880" s="215">
        <f t="shared" si="261"/>
        <v>0</v>
      </c>
    </row>
    <row r="7881" spans="76:77" x14ac:dyDescent="0.2">
      <c r="BX7881" s="214" t="e">
        <f t="shared" si="260"/>
        <v>#DIV/0!</v>
      </c>
      <c r="BY7881" s="215">
        <f t="shared" si="261"/>
        <v>0</v>
      </c>
    </row>
    <row r="7882" spans="76:77" x14ac:dyDescent="0.2">
      <c r="BX7882" s="214" t="e">
        <f t="shared" si="260"/>
        <v>#DIV/0!</v>
      </c>
      <c r="BY7882" s="215">
        <f t="shared" si="261"/>
        <v>0</v>
      </c>
    </row>
    <row r="7883" spans="76:77" x14ac:dyDescent="0.2">
      <c r="BX7883" s="214" t="e">
        <f t="shared" si="260"/>
        <v>#DIV/0!</v>
      </c>
      <c r="BY7883" s="215">
        <f t="shared" si="261"/>
        <v>0</v>
      </c>
    </row>
    <row r="7884" spans="76:77" x14ac:dyDescent="0.2">
      <c r="BX7884" s="214" t="e">
        <f t="shared" si="260"/>
        <v>#DIV/0!</v>
      </c>
      <c r="BY7884" s="215">
        <f t="shared" si="261"/>
        <v>0</v>
      </c>
    </row>
    <row r="7885" spans="76:77" x14ac:dyDescent="0.2">
      <c r="BX7885" s="214" t="e">
        <f t="shared" ref="BX7885:BX7948" si="262">BY7885/BV7885</f>
        <v>#DIV/0!</v>
      </c>
      <c r="BY7885" s="215">
        <f t="shared" si="261"/>
        <v>0</v>
      </c>
    </row>
    <row r="7886" spans="76:77" x14ac:dyDescent="0.2">
      <c r="BX7886" s="214" t="e">
        <f t="shared" si="262"/>
        <v>#DIV/0!</v>
      </c>
      <c r="BY7886" s="215">
        <f t="shared" ref="BY7886:BY7949" si="263">BY7885+BW7886*(BV7886-BV7885)</f>
        <v>0</v>
      </c>
    </row>
    <row r="7887" spans="76:77" x14ac:dyDescent="0.2">
      <c r="BX7887" s="214" t="e">
        <f t="shared" si="262"/>
        <v>#DIV/0!</v>
      </c>
      <c r="BY7887" s="215">
        <f t="shared" si="263"/>
        <v>0</v>
      </c>
    </row>
    <row r="7888" spans="76:77" x14ac:dyDescent="0.2">
      <c r="BX7888" s="214" t="e">
        <f t="shared" si="262"/>
        <v>#DIV/0!</v>
      </c>
      <c r="BY7888" s="215">
        <f t="shared" si="263"/>
        <v>0</v>
      </c>
    </row>
    <row r="7889" spans="76:77" x14ac:dyDescent="0.2">
      <c r="BX7889" s="214" t="e">
        <f t="shared" si="262"/>
        <v>#DIV/0!</v>
      </c>
      <c r="BY7889" s="215">
        <f t="shared" si="263"/>
        <v>0</v>
      </c>
    </row>
    <row r="7890" spans="76:77" x14ac:dyDescent="0.2">
      <c r="BX7890" s="214" t="e">
        <f t="shared" si="262"/>
        <v>#DIV/0!</v>
      </c>
      <c r="BY7890" s="215">
        <f t="shared" si="263"/>
        <v>0</v>
      </c>
    </row>
    <row r="7891" spans="76:77" x14ac:dyDescent="0.2">
      <c r="BX7891" s="214" t="e">
        <f t="shared" si="262"/>
        <v>#DIV/0!</v>
      </c>
      <c r="BY7891" s="215">
        <f t="shared" si="263"/>
        <v>0</v>
      </c>
    </row>
    <row r="7892" spans="76:77" x14ac:dyDescent="0.2">
      <c r="BX7892" s="214" t="e">
        <f t="shared" si="262"/>
        <v>#DIV/0!</v>
      </c>
      <c r="BY7892" s="215">
        <f t="shared" si="263"/>
        <v>0</v>
      </c>
    </row>
    <row r="7893" spans="76:77" x14ac:dyDescent="0.2">
      <c r="BX7893" s="214" t="e">
        <f t="shared" si="262"/>
        <v>#DIV/0!</v>
      </c>
      <c r="BY7893" s="215">
        <f t="shared" si="263"/>
        <v>0</v>
      </c>
    </row>
    <row r="7894" spans="76:77" x14ac:dyDescent="0.2">
      <c r="BX7894" s="214" t="e">
        <f t="shared" si="262"/>
        <v>#DIV/0!</v>
      </c>
      <c r="BY7894" s="215">
        <f t="shared" si="263"/>
        <v>0</v>
      </c>
    </row>
    <row r="7895" spans="76:77" x14ac:dyDescent="0.2">
      <c r="BX7895" s="214" t="e">
        <f t="shared" si="262"/>
        <v>#DIV/0!</v>
      </c>
      <c r="BY7895" s="215">
        <f t="shared" si="263"/>
        <v>0</v>
      </c>
    </row>
    <row r="7896" spans="76:77" x14ac:dyDescent="0.2">
      <c r="BX7896" s="214" t="e">
        <f t="shared" si="262"/>
        <v>#DIV/0!</v>
      </c>
      <c r="BY7896" s="215">
        <f t="shared" si="263"/>
        <v>0</v>
      </c>
    </row>
    <row r="7897" spans="76:77" x14ac:dyDescent="0.2">
      <c r="BX7897" s="214" t="e">
        <f t="shared" si="262"/>
        <v>#DIV/0!</v>
      </c>
      <c r="BY7897" s="215">
        <f t="shared" si="263"/>
        <v>0</v>
      </c>
    </row>
    <row r="7898" spans="76:77" x14ac:dyDescent="0.2">
      <c r="BX7898" s="214" t="e">
        <f t="shared" si="262"/>
        <v>#DIV/0!</v>
      </c>
      <c r="BY7898" s="215">
        <f t="shared" si="263"/>
        <v>0</v>
      </c>
    </row>
    <row r="7899" spans="76:77" x14ac:dyDescent="0.2">
      <c r="BX7899" s="214" t="e">
        <f t="shared" si="262"/>
        <v>#DIV/0!</v>
      </c>
      <c r="BY7899" s="215">
        <f t="shared" si="263"/>
        <v>0</v>
      </c>
    </row>
    <row r="7900" spans="76:77" x14ac:dyDescent="0.2">
      <c r="BX7900" s="214" t="e">
        <f t="shared" si="262"/>
        <v>#DIV/0!</v>
      </c>
      <c r="BY7900" s="215">
        <f t="shared" si="263"/>
        <v>0</v>
      </c>
    </row>
    <row r="7901" spans="76:77" x14ac:dyDescent="0.2">
      <c r="BX7901" s="214" t="e">
        <f t="shared" si="262"/>
        <v>#DIV/0!</v>
      </c>
      <c r="BY7901" s="215">
        <f t="shared" si="263"/>
        <v>0</v>
      </c>
    </row>
    <row r="7902" spans="76:77" x14ac:dyDescent="0.2">
      <c r="BX7902" s="214" t="e">
        <f t="shared" si="262"/>
        <v>#DIV/0!</v>
      </c>
      <c r="BY7902" s="215">
        <f t="shared" si="263"/>
        <v>0</v>
      </c>
    </row>
    <row r="7903" spans="76:77" x14ac:dyDescent="0.2">
      <c r="BX7903" s="214" t="e">
        <f t="shared" si="262"/>
        <v>#DIV/0!</v>
      </c>
      <c r="BY7903" s="215">
        <f t="shared" si="263"/>
        <v>0</v>
      </c>
    </row>
    <row r="7904" spans="76:77" x14ac:dyDescent="0.2">
      <c r="BX7904" s="214" t="e">
        <f t="shared" si="262"/>
        <v>#DIV/0!</v>
      </c>
      <c r="BY7904" s="215">
        <f t="shared" si="263"/>
        <v>0</v>
      </c>
    </row>
    <row r="7905" spans="76:77" x14ac:dyDescent="0.2">
      <c r="BX7905" s="214" t="e">
        <f t="shared" si="262"/>
        <v>#DIV/0!</v>
      </c>
      <c r="BY7905" s="215">
        <f t="shared" si="263"/>
        <v>0</v>
      </c>
    </row>
    <row r="7906" spans="76:77" x14ac:dyDescent="0.2">
      <c r="BX7906" s="214" t="e">
        <f t="shared" si="262"/>
        <v>#DIV/0!</v>
      </c>
      <c r="BY7906" s="215">
        <f t="shared" si="263"/>
        <v>0</v>
      </c>
    </row>
    <row r="7907" spans="76:77" x14ac:dyDescent="0.2">
      <c r="BX7907" s="214" t="e">
        <f t="shared" si="262"/>
        <v>#DIV/0!</v>
      </c>
      <c r="BY7907" s="215">
        <f t="shared" si="263"/>
        <v>0</v>
      </c>
    </row>
    <row r="7908" spans="76:77" x14ac:dyDescent="0.2">
      <c r="BX7908" s="214" t="e">
        <f t="shared" si="262"/>
        <v>#DIV/0!</v>
      </c>
      <c r="BY7908" s="215">
        <f t="shared" si="263"/>
        <v>0</v>
      </c>
    </row>
    <row r="7909" spans="76:77" x14ac:dyDescent="0.2">
      <c r="BX7909" s="214" t="e">
        <f t="shared" si="262"/>
        <v>#DIV/0!</v>
      </c>
      <c r="BY7909" s="215">
        <f t="shared" si="263"/>
        <v>0</v>
      </c>
    </row>
    <row r="7910" spans="76:77" x14ac:dyDescent="0.2">
      <c r="BX7910" s="214" t="e">
        <f t="shared" si="262"/>
        <v>#DIV/0!</v>
      </c>
      <c r="BY7910" s="215">
        <f t="shared" si="263"/>
        <v>0</v>
      </c>
    </row>
    <row r="7911" spans="76:77" x14ac:dyDescent="0.2">
      <c r="BX7911" s="214" t="e">
        <f t="shared" si="262"/>
        <v>#DIV/0!</v>
      </c>
      <c r="BY7911" s="215">
        <f t="shared" si="263"/>
        <v>0</v>
      </c>
    </row>
    <row r="7912" spans="76:77" x14ac:dyDescent="0.2">
      <c r="BX7912" s="214" t="e">
        <f t="shared" si="262"/>
        <v>#DIV/0!</v>
      </c>
      <c r="BY7912" s="215">
        <f t="shared" si="263"/>
        <v>0</v>
      </c>
    </row>
    <row r="7913" spans="76:77" x14ac:dyDescent="0.2">
      <c r="BX7913" s="214" t="e">
        <f t="shared" si="262"/>
        <v>#DIV/0!</v>
      </c>
      <c r="BY7913" s="215">
        <f t="shared" si="263"/>
        <v>0</v>
      </c>
    </row>
    <row r="7914" spans="76:77" x14ac:dyDescent="0.2">
      <c r="BX7914" s="214" t="e">
        <f t="shared" si="262"/>
        <v>#DIV/0!</v>
      </c>
      <c r="BY7914" s="215">
        <f t="shared" si="263"/>
        <v>0</v>
      </c>
    </row>
    <row r="7915" spans="76:77" x14ac:dyDescent="0.2">
      <c r="BX7915" s="214" t="e">
        <f t="shared" si="262"/>
        <v>#DIV/0!</v>
      </c>
      <c r="BY7915" s="215">
        <f t="shared" si="263"/>
        <v>0</v>
      </c>
    </row>
    <row r="7916" spans="76:77" x14ac:dyDescent="0.2">
      <c r="BX7916" s="214" t="e">
        <f t="shared" si="262"/>
        <v>#DIV/0!</v>
      </c>
      <c r="BY7916" s="215">
        <f t="shared" si="263"/>
        <v>0</v>
      </c>
    </row>
    <row r="7917" spans="76:77" x14ac:dyDescent="0.2">
      <c r="BX7917" s="214" t="e">
        <f t="shared" si="262"/>
        <v>#DIV/0!</v>
      </c>
      <c r="BY7917" s="215">
        <f t="shared" si="263"/>
        <v>0</v>
      </c>
    </row>
    <row r="7918" spans="76:77" x14ac:dyDescent="0.2">
      <c r="BX7918" s="214" t="e">
        <f t="shared" si="262"/>
        <v>#DIV/0!</v>
      </c>
      <c r="BY7918" s="215">
        <f t="shared" si="263"/>
        <v>0</v>
      </c>
    </row>
    <row r="7919" spans="76:77" x14ac:dyDescent="0.2">
      <c r="BX7919" s="214" t="e">
        <f t="shared" si="262"/>
        <v>#DIV/0!</v>
      </c>
      <c r="BY7919" s="215">
        <f t="shared" si="263"/>
        <v>0</v>
      </c>
    </row>
    <row r="7920" spans="76:77" x14ac:dyDescent="0.2">
      <c r="BX7920" s="214" t="e">
        <f t="shared" si="262"/>
        <v>#DIV/0!</v>
      </c>
      <c r="BY7920" s="215">
        <f t="shared" si="263"/>
        <v>0</v>
      </c>
    </row>
    <row r="7921" spans="76:77" x14ac:dyDescent="0.2">
      <c r="BX7921" s="214" t="e">
        <f t="shared" si="262"/>
        <v>#DIV/0!</v>
      </c>
      <c r="BY7921" s="215">
        <f t="shared" si="263"/>
        <v>0</v>
      </c>
    </row>
    <row r="7922" spans="76:77" x14ac:dyDescent="0.2">
      <c r="BX7922" s="214" t="e">
        <f t="shared" si="262"/>
        <v>#DIV/0!</v>
      </c>
      <c r="BY7922" s="215">
        <f t="shared" si="263"/>
        <v>0</v>
      </c>
    </row>
    <row r="7923" spans="76:77" x14ac:dyDescent="0.2">
      <c r="BX7923" s="214" t="e">
        <f t="shared" si="262"/>
        <v>#DIV/0!</v>
      </c>
      <c r="BY7923" s="215">
        <f t="shared" si="263"/>
        <v>0</v>
      </c>
    </row>
    <row r="7924" spans="76:77" x14ac:dyDescent="0.2">
      <c r="BX7924" s="214" t="e">
        <f t="shared" si="262"/>
        <v>#DIV/0!</v>
      </c>
      <c r="BY7924" s="215">
        <f t="shared" si="263"/>
        <v>0</v>
      </c>
    </row>
    <row r="7925" spans="76:77" x14ac:dyDescent="0.2">
      <c r="BX7925" s="214" t="e">
        <f t="shared" si="262"/>
        <v>#DIV/0!</v>
      </c>
      <c r="BY7925" s="215">
        <f t="shared" si="263"/>
        <v>0</v>
      </c>
    </row>
    <row r="7926" spans="76:77" x14ac:dyDescent="0.2">
      <c r="BX7926" s="214" t="e">
        <f t="shared" si="262"/>
        <v>#DIV/0!</v>
      </c>
      <c r="BY7926" s="215">
        <f t="shared" si="263"/>
        <v>0</v>
      </c>
    </row>
    <row r="7927" spans="76:77" x14ac:dyDescent="0.2">
      <c r="BX7927" s="214" t="e">
        <f t="shared" si="262"/>
        <v>#DIV/0!</v>
      </c>
      <c r="BY7927" s="215">
        <f t="shared" si="263"/>
        <v>0</v>
      </c>
    </row>
    <row r="7928" spans="76:77" x14ac:dyDescent="0.2">
      <c r="BX7928" s="214" t="e">
        <f t="shared" si="262"/>
        <v>#DIV/0!</v>
      </c>
      <c r="BY7928" s="215">
        <f t="shared" si="263"/>
        <v>0</v>
      </c>
    </row>
    <row r="7929" spans="76:77" x14ac:dyDescent="0.2">
      <c r="BX7929" s="214" t="e">
        <f t="shared" si="262"/>
        <v>#DIV/0!</v>
      </c>
      <c r="BY7929" s="215">
        <f t="shared" si="263"/>
        <v>0</v>
      </c>
    </row>
    <row r="7930" spans="76:77" x14ac:dyDescent="0.2">
      <c r="BX7930" s="214" t="e">
        <f t="shared" si="262"/>
        <v>#DIV/0!</v>
      </c>
      <c r="BY7930" s="215">
        <f t="shared" si="263"/>
        <v>0</v>
      </c>
    </row>
    <row r="7931" spans="76:77" x14ac:dyDescent="0.2">
      <c r="BX7931" s="214" t="e">
        <f t="shared" si="262"/>
        <v>#DIV/0!</v>
      </c>
      <c r="BY7931" s="215">
        <f t="shared" si="263"/>
        <v>0</v>
      </c>
    </row>
    <row r="7932" spans="76:77" x14ac:dyDescent="0.2">
      <c r="BX7932" s="214" t="e">
        <f t="shared" si="262"/>
        <v>#DIV/0!</v>
      </c>
      <c r="BY7932" s="215">
        <f t="shared" si="263"/>
        <v>0</v>
      </c>
    </row>
    <row r="7933" spans="76:77" x14ac:dyDescent="0.2">
      <c r="BX7933" s="214" t="e">
        <f t="shared" si="262"/>
        <v>#DIV/0!</v>
      </c>
      <c r="BY7933" s="215">
        <f t="shared" si="263"/>
        <v>0</v>
      </c>
    </row>
    <row r="7934" spans="76:77" x14ac:dyDescent="0.2">
      <c r="BX7934" s="214" t="e">
        <f t="shared" si="262"/>
        <v>#DIV/0!</v>
      </c>
      <c r="BY7934" s="215">
        <f t="shared" si="263"/>
        <v>0</v>
      </c>
    </row>
    <row r="7935" spans="76:77" x14ac:dyDescent="0.2">
      <c r="BX7935" s="214" t="e">
        <f t="shared" si="262"/>
        <v>#DIV/0!</v>
      </c>
      <c r="BY7935" s="215">
        <f t="shared" si="263"/>
        <v>0</v>
      </c>
    </row>
    <row r="7936" spans="76:77" x14ac:dyDescent="0.2">
      <c r="BX7936" s="214" t="e">
        <f t="shared" si="262"/>
        <v>#DIV/0!</v>
      </c>
      <c r="BY7936" s="215">
        <f t="shared" si="263"/>
        <v>0</v>
      </c>
    </row>
    <row r="7937" spans="76:77" x14ac:dyDescent="0.2">
      <c r="BX7937" s="214" t="e">
        <f t="shared" si="262"/>
        <v>#DIV/0!</v>
      </c>
      <c r="BY7937" s="215">
        <f t="shared" si="263"/>
        <v>0</v>
      </c>
    </row>
    <row r="7938" spans="76:77" x14ac:dyDescent="0.2">
      <c r="BX7938" s="214" t="e">
        <f t="shared" si="262"/>
        <v>#DIV/0!</v>
      </c>
      <c r="BY7938" s="215">
        <f t="shared" si="263"/>
        <v>0</v>
      </c>
    </row>
    <row r="7939" spans="76:77" x14ac:dyDescent="0.2">
      <c r="BX7939" s="214" t="e">
        <f t="shared" si="262"/>
        <v>#DIV/0!</v>
      </c>
      <c r="BY7939" s="215">
        <f t="shared" si="263"/>
        <v>0</v>
      </c>
    </row>
    <row r="7940" spans="76:77" x14ac:dyDescent="0.2">
      <c r="BX7940" s="214" t="e">
        <f t="shared" si="262"/>
        <v>#DIV/0!</v>
      </c>
      <c r="BY7940" s="215">
        <f t="shared" si="263"/>
        <v>0</v>
      </c>
    </row>
    <row r="7941" spans="76:77" x14ac:dyDescent="0.2">
      <c r="BX7941" s="214" t="e">
        <f t="shared" si="262"/>
        <v>#DIV/0!</v>
      </c>
      <c r="BY7941" s="215">
        <f t="shared" si="263"/>
        <v>0</v>
      </c>
    </row>
    <row r="7942" spans="76:77" x14ac:dyDescent="0.2">
      <c r="BX7942" s="214" t="e">
        <f t="shared" si="262"/>
        <v>#DIV/0!</v>
      </c>
      <c r="BY7942" s="215">
        <f t="shared" si="263"/>
        <v>0</v>
      </c>
    </row>
    <row r="7943" spans="76:77" x14ac:dyDescent="0.2">
      <c r="BX7943" s="214" t="e">
        <f t="shared" si="262"/>
        <v>#DIV/0!</v>
      </c>
      <c r="BY7943" s="215">
        <f t="shared" si="263"/>
        <v>0</v>
      </c>
    </row>
    <row r="7944" spans="76:77" x14ac:dyDescent="0.2">
      <c r="BX7944" s="214" t="e">
        <f t="shared" si="262"/>
        <v>#DIV/0!</v>
      </c>
      <c r="BY7944" s="215">
        <f t="shared" si="263"/>
        <v>0</v>
      </c>
    </row>
    <row r="7945" spans="76:77" x14ac:dyDescent="0.2">
      <c r="BX7945" s="214" t="e">
        <f t="shared" si="262"/>
        <v>#DIV/0!</v>
      </c>
      <c r="BY7945" s="215">
        <f t="shared" si="263"/>
        <v>0</v>
      </c>
    </row>
    <row r="7946" spans="76:77" x14ac:dyDescent="0.2">
      <c r="BX7946" s="214" t="e">
        <f t="shared" si="262"/>
        <v>#DIV/0!</v>
      </c>
      <c r="BY7946" s="215">
        <f t="shared" si="263"/>
        <v>0</v>
      </c>
    </row>
    <row r="7947" spans="76:77" x14ac:dyDescent="0.2">
      <c r="BX7947" s="214" t="e">
        <f t="shared" si="262"/>
        <v>#DIV/0!</v>
      </c>
      <c r="BY7947" s="215">
        <f t="shared" si="263"/>
        <v>0</v>
      </c>
    </row>
    <row r="7948" spans="76:77" x14ac:dyDescent="0.2">
      <c r="BX7948" s="214" t="e">
        <f t="shared" si="262"/>
        <v>#DIV/0!</v>
      </c>
      <c r="BY7948" s="215">
        <f t="shared" si="263"/>
        <v>0</v>
      </c>
    </row>
    <row r="7949" spans="76:77" x14ac:dyDescent="0.2">
      <c r="BX7949" s="214" t="e">
        <f t="shared" ref="BX7949:BX8012" si="264">BY7949/BV7949</f>
        <v>#DIV/0!</v>
      </c>
      <c r="BY7949" s="215">
        <f t="shared" si="263"/>
        <v>0</v>
      </c>
    </row>
    <row r="7950" spans="76:77" x14ac:dyDescent="0.2">
      <c r="BX7950" s="214" t="e">
        <f t="shared" si="264"/>
        <v>#DIV/0!</v>
      </c>
      <c r="BY7950" s="215">
        <f t="shared" ref="BY7950:BY8013" si="265">BY7949+BW7950*(BV7950-BV7949)</f>
        <v>0</v>
      </c>
    </row>
    <row r="7951" spans="76:77" x14ac:dyDescent="0.2">
      <c r="BX7951" s="214" t="e">
        <f t="shared" si="264"/>
        <v>#DIV/0!</v>
      </c>
      <c r="BY7951" s="215">
        <f t="shared" si="265"/>
        <v>0</v>
      </c>
    </row>
    <row r="7952" spans="76:77" x14ac:dyDescent="0.2">
      <c r="BX7952" s="214" t="e">
        <f t="shared" si="264"/>
        <v>#DIV/0!</v>
      </c>
      <c r="BY7952" s="215">
        <f t="shared" si="265"/>
        <v>0</v>
      </c>
    </row>
    <row r="7953" spans="76:77" x14ac:dyDescent="0.2">
      <c r="BX7953" s="214" t="e">
        <f t="shared" si="264"/>
        <v>#DIV/0!</v>
      </c>
      <c r="BY7953" s="215">
        <f t="shared" si="265"/>
        <v>0</v>
      </c>
    </row>
    <row r="7954" spans="76:77" x14ac:dyDescent="0.2">
      <c r="BX7954" s="214" t="e">
        <f t="shared" si="264"/>
        <v>#DIV/0!</v>
      </c>
      <c r="BY7954" s="215">
        <f t="shared" si="265"/>
        <v>0</v>
      </c>
    </row>
    <row r="7955" spans="76:77" x14ac:dyDescent="0.2">
      <c r="BX7955" s="214" t="e">
        <f t="shared" si="264"/>
        <v>#DIV/0!</v>
      </c>
      <c r="BY7955" s="215">
        <f t="shared" si="265"/>
        <v>0</v>
      </c>
    </row>
    <row r="7956" spans="76:77" x14ac:dyDescent="0.2">
      <c r="BX7956" s="214" t="e">
        <f t="shared" si="264"/>
        <v>#DIV/0!</v>
      </c>
      <c r="BY7956" s="215">
        <f t="shared" si="265"/>
        <v>0</v>
      </c>
    </row>
    <row r="7957" spans="76:77" x14ac:dyDescent="0.2">
      <c r="BX7957" s="214" t="e">
        <f t="shared" si="264"/>
        <v>#DIV/0!</v>
      </c>
      <c r="BY7957" s="215">
        <f t="shared" si="265"/>
        <v>0</v>
      </c>
    </row>
    <row r="7958" spans="76:77" x14ac:dyDescent="0.2">
      <c r="BX7958" s="214" t="e">
        <f t="shared" si="264"/>
        <v>#DIV/0!</v>
      </c>
      <c r="BY7958" s="215">
        <f t="shared" si="265"/>
        <v>0</v>
      </c>
    </row>
    <row r="7959" spans="76:77" x14ac:dyDescent="0.2">
      <c r="BX7959" s="214" t="e">
        <f t="shared" si="264"/>
        <v>#DIV/0!</v>
      </c>
      <c r="BY7959" s="215">
        <f t="shared" si="265"/>
        <v>0</v>
      </c>
    </row>
    <row r="7960" spans="76:77" x14ac:dyDescent="0.2">
      <c r="BX7960" s="214" t="e">
        <f t="shared" si="264"/>
        <v>#DIV/0!</v>
      </c>
      <c r="BY7960" s="215">
        <f t="shared" si="265"/>
        <v>0</v>
      </c>
    </row>
    <row r="7961" spans="76:77" x14ac:dyDescent="0.2">
      <c r="BX7961" s="214" t="e">
        <f t="shared" si="264"/>
        <v>#DIV/0!</v>
      </c>
      <c r="BY7961" s="215">
        <f t="shared" si="265"/>
        <v>0</v>
      </c>
    </row>
    <row r="7962" spans="76:77" x14ac:dyDescent="0.2">
      <c r="BX7962" s="214" t="e">
        <f t="shared" si="264"/>
        <v>#DIV/0!</v>
      </c>
      <c r="BY7962" s="215">
        <f t="shared" si="265"/>
        <v>0</v>
      </c>
    </row>
    <row r="7963" spans="76:77" x14ac:dyDescent="0.2">
      <c r="BX7963" s="214" t="e">
        <f t="shared" si="264"/>
        <v>#DIV/0!</v>
      </c>
      <c r="BY7963" s="215">
        <f t="shared" si="265"/>
        <v>0</v>
      </c>
    </row>
    <row r="7964" spans="76:77" x14ac:dyDescent="0.2">
      <c r="BX7964" s="214" t="e">
        <f t="shared" si="264"/>
        <v>#DIV/0!</v>
      </c>
      <c r="BY7964" s="215">
        <f t="shared" si="265"/>
        <v>0</v>
      </c>
    </row>
    <row r="7965" spans="76:77" x14ac:dyDescent="0.2">
      <c r="BX7965" s="214" t="e">
        <f t="shared" si="264"/>
        <v>#DIV/0!</v>
      </c>
      <c r="BY7965" s="215">
        <f t="shared" si="265"/>
        <v>0</v>
      </c>
    </row>
    <row r="7966" spans="76:77" x14ac:dyDescent="0.2">
      <c r="BX7966" s="214" t="e">
        <f t="shared" si="264"/>
        <v>#DIV/0!</v>
      </c>
      <c r="BY7966" s="215">
        <f t="shared" si="265"/>
        <v>0</v>
      </c>
    </row>
    <row r="7967" spans="76:77" x14ac:dyDescent="0.2">
      <c r="BX7967" s="214" t="e">
        <f t="shared" si="264"/>
        <v>#DIV/0!</v>
      </c>
      <c r="BY7967" s="215">
        <f t="shared" si="265"/>
        <v>0</v>
      </c>
    </row>
    <row r="7968" spans="76:77" x14ac:dyDescent="0.2">
      <c r="BX7968" s="214" t="e">
        <f t="shared" si="264"/>
        <v>#DIV/0!</v>
      </c>
      <c r="BY7968" s="215">
        <f t="shared" si="265"/>
        <v>0</v>
      </c>
    </row>
    <row r="7969" spans="76:77" x14ac:dyDescent="0.2">
      <c r="BX7969" s="214" t="e">
        <f t="shared" si="264"/>
        <v>#DIV/0!</v>
      </c>
      <c r="BY7969" s="215">
        <f t="shared" si="265"/>
        <v>0</v>
      </c>
    </row>
    <row r="7970" spans="76:77" x14ac:dyDescent="0.2">
      <c r="BX7970" s="214" t="e">
        <f t="shared" si="264"/>
        <v>#DIV/0!</v>
      </c>
      <c r="BY7970" s="215">
        <f t="shared" si="265"/>
        <v>0</v>
      </c>
    </row>
    <row r="7971" spans="76:77" x14ac:dyDescent="0.2">
      <c r="BX7971" s="214" t="e">
        <f t="shared" si="264"/>
        <v>#DIV/0!</v>
      </c>
      <c r="BY7971" s="215">
        <f t="shared" si="265"/>
        <v>0</v>
      </c>
    </row>
    <row r="7972" spans="76:77" x14ac:dyDescent="0.2">
      <c r="BX7972" s="214" t="e">
        <f t="shared" si="264"/>
        <v>#DIV/0!</v>
      </c>
      <c r="BY7972" s="215">
        <f t="shared" si="265"/>
        <v>0</v>
      </c>
    </row>
    <row r="7973" spans="76:77" x14ac:dyDescent="0.2">
      <c r="BX7973" s="214" t="e">
        <f t="shared" si="264"/>
        <v>#DIV/0!</v>
      </c>
      <c r="BY7973" s="215">
        <f t="shared" si="265"/>
        <v>0</v>
      </c>
    </row>
    <row r="7974" spans="76:77" x14ac:dyDescent="0.2">
      <c r="BX7974" s="214" t="e">
        <f t="shared" si="264"/>
        <v>#DIV/0!</v>
      </c>
      <c r="BY7974" s="215">
        <f t="shared" si="265"/>
        <v>0</v>
      </c>
    </row>
    <row r="7975" spans="76:77" x14ac:dyDescent="0.2">
      <c r="BX7975" s="214" t="e">
        <f t="shared" si="264"/>
        <v>#DIV/0!</v>
      </c>
      <c r="BY7975" s="215">
        <f t="shared" si="265"/>
        <v>0</v>
      </c>
    </row>
    <row r="7976" spans="76:77" x14ac:dyDescent="0.2">
      <c r="BX7976" s="214" t="e">
        <f t="shared" si="264"/>
        <v>#DIV/0!</v>
      </c>
      <c r="BY7976" s="215">
        <f t="shared" si="265"/>
        <v>0</v>
      </c>
    </row>
    <row r="7977" spans="76:77" x14ac:dyDescent="0.2">
      <c r="BX7977" s="214" t="e">
        <f t="shared" si="264"/>
        <v>#DIV/0!</v>
      </c>
      <c r="BY7977" s="215">
        <f t="shared" si="265"/>
        <v>0</v>
      </c>
    </row>
    <row r="7978" spans="76:77" x14ac:dyDescent="0.2">
      <c r="BX7978" s="214" t="e">
        <f t="shared" si="264"/>
        <v>#DIV/0!</v>
      </c>
      <c r="BY7978" s="215">
        <f t="shared" si="265"/>
        <v>0</v>
      </c>
    </row>
    <row r="7979" spans="76:77" x14ac:dyDescent="0.2">
      <c r="BX7979" s="214" t="e">
        <f t="shared" si="264"/>
        <v>#DIV/0!</v>
      </c>
      <c r="BY7979" s="215">
        <f t="shared" si="265"/>
        <v>0</v>
      </c>
    </row>
    <row r="7980" spans="76:77" x14ac:dyDescent="0.2">
      <c r="BX7980" s="214" t="e">
        <f t="shared" si="264"/>
        <v>#DIV/0!</v>
      </c>
      <c r="BY7980" s="215">
        <f t="shared" si="265"/>
        <v>0</v>
      </c>
    </row>
    <row r="7981" spans="76:77" x14ac:dyDescent="0.2">
      <c r="BX7981" s="214" t="e">
        <f t="shared" si="264"/>
        <v>#DIV/0!</v>
      </c>
      <c r="BY7981" s="215">
        <f t="shared" si="265"/>
        <v>0</v>
      </c>
    </row>
    <row r="7982" spans="76:77" x14ac:dyDescent="0.2">
      <c r="BX7982" s="214" t="e">
        <f t="shared" si="264"/>
        <v>#DIV/0!</v>
      </c>
      <c r="BY7982" s="215">
        <f t="shared" si="265"/>
        <v>0</v>
      </c>
    </row>
    <row r="7983" spans="76:77" x14ac:dyDescent="0.2">
      <c r="BX7983" s="214" t="e">
        <f t="shared" si="264"/>
        <v>#DIV/0!</v>
      </c>
      <c r="BY7983" s="215">
        <f t="shared" si="265"/>
        <v>0</v>
      </c>
    </row>
    <row r="7984" spans="76:77" x14ac:dyDescent="0.2">
      <c r="BX7984" s="214" t="e">
        <f t="shared" si="264"/>
        <v>#DIV/0!</v>
      </c>
      <c r="BY7984" s="215">
        <f t="shared" si="265"/>
        <v>0</v>
      </c>
    </row>
    <row r="7985" spans="76:77" x14ac:dyDescent="0.2">
      <c r="BX7985" s="214" t="e">
        <f t="shared" si="264"/>
        <v>#DIV/0!</v>
      </c>
      <c r="BY7985" s="215">
        <f t="shared" si="265"/>
        <v>0</v>
      </c>
    </row>
    <row r="7986" spans="76:77" x14ac:dyDescent="0.2">
      <c r="BX7986" s="214" t="e">
        <f t="shared" si="264"/>
        <v>#DIV/0!</v>
      </c>
      <c r="BY7986" s="215">
        <f t="shared" si="265"/>
        <v>0</v>
      </c>
    </row>
    <row r="7987" spans="76:77" x14ac:dyDescent="0.2">
      <c r="BX7987" s="214" t="e">
        <f t="shared" si="264"/>
        <v>#DIV/0!</v>
      </c>
      <c r="BY7987" s="215">
        <f t="shared" si="265"/>
        <v>0</v>
      </c>
    </row>
    <row r="7988" spans="76:77" x14ac:dyDescent="0.2">
      <c r="BX7988" s="214" t="e">
        <f t="shared" si="264"/>
        <v>#DIV/0!</v>
      </c>
      <c r="BY7988" s="215">
        <f t="shared" si="265"/>
        <v>0</v>
      </c>
    </row>
    <row r="7989" spans="76:77" x14ac:dyDescent="0.2">
      <c r="BX7989" s="214" t="e">
        <f t="shared" si="264"/>
        <v>#DIV/0!</v>
      </c>
      <c r="BY7989" s="215">
        <f t="shared" si="265"/>
        <v>0</v>
      </c>
    </row>
    <row r="7990" spans="76:77" x14ac:dyDescent="0.2">
      <c r="BX7990" s="214" t="e">
        <f t="shared" si="264"/>
        <v>#DIV/0!</v>
      </c>
      <c r="BY7990" s="215">
        <f t="shared" si="265"/>
        <v>0</v>
      </c>
    </row>
    <row r="7991" spans="76:77" x14ac:dyDescent="0.2">
      <c r="BX7991" s="214" t="e">
        <f t="shared" si="264"/>
        <v>#DIV/0!</v>
      </c>
      <c r="BY7991" s="215">
        <f t="shared" si="265"/>
        <v>0</v>
      </c>
    </row>
    <row r="7992" spans="76:77" x14ac:dyDescent="0.2">
      <c r="BX7992" s="214" t="e">
        <f t="shared" si="264"/>
        <v>#DIV/0!</v>
      </c>
      <c r="BY7992" s="215">
        <f t="shared" si="265"/>
        <v>0</v>
      </c>
    </row>
    <row r="7993" spans="76:77" x14ac:dyDescent="0.2">
      <c r="BX7993" s="214" t="e">
        <f t="shared" si="264"/>
        <v>#DIV/0!</v>
      </c>
      <c r="BY7993" s="215">
        <f t="shared" si="265"/>
        <v>0</v>
      </c>
    </row>
    <row r="7994" spans="76:77" x14ac:dyDescent="0.2">
      <c r="BX7994" s="214" t="e">
        <f t="shared" si="264"/>
        <v>#DIV/0!</v>
      </c>
      <c r="BY7994" s="215">
        <f t="shared" si="265"/>
        <v>0</v>
      </c>
    </row>
    <row r="7995" spans="76:77" x14ac:dyDescent="0.2">
      <c r="BX7995" s="214" t="e">
        <f t="shared" si="264"/>
        <v>#DIV/0!</v>
      </c>
      <c r="BY7995" s="215">
        <f t="shared" si="265"/>
        <v>0</v>
      </c>
    </row>
    <row r="7996" spans="76:77" x14ac:dyDescent="0.2">
      <c r="BX7996" s="214" t="e">
        <f t="shared" si="264"/>
        <v>#DIV/0!</v>
      </c>
      <c r="BY7996" s="215">
        <f t="shared" si="265"/>
        <v>0</v>
      </c>
    </row>
    <row r="7997" spans="76:77" x14ac:dyDescent="0.2">
      <c r="BX7997" s="214" t="e">
        <f t="shared" si="264"/>
        <v>#DIV/0!</v>
      </c>
      <c r="BY7997" s="215">
        <f t="shared" si="265"/>
        <v>0</v>
      </c>
    </row>
    <row r="7998" spans="76:77" x14ac:dyDescent="0.2">
      <c r="BX7998" s="214" t="e">
        <f t="shared" si="264"/>
        <v>#DIV/0!</v>
      </c>
      <c r="BY7998" s="215">
        <f t="shared" si="265"/>
        <v>0</v>
      </c>
    </row>
    <row r="7999" spans="76:77" x14ac:dyDescent="0.2">
      <c r="BX7999" s="214" t="e">
        <f t="shared" si="264"/>
        <v>#DIV/0!</v>
      </c>
      <c r="BY7999" s="215">
        <f t="shared" si="265"/>
        <v>0</v>
      </c>
    </row>
    <row r="8000" spans="76:77" x14ac:dyDescent="0.2">
      <c r="BX8000" s="214" t="e">
        <f t="shared" si="264"/>
        <v>#DIV/0!</v>
      </c>
      <c r="BY8000" s="215">
        <f t="shared" si="265"/>
        <v>0</v>
      </c>
    </row>
    <row r="8001" spans="76:77" x14ac:dyDescent="0.2">
      <c r="BX8001" s="214" t="e">
        <f t="shared" si="264"/>
        <v>#DIV/0!</v>
      </c>
      <c r="BY8001" s="215">
        <f t="shared" si="265"/>
        <v>0</v>
      </c>
    </row>
    <row r="8002" spans="76:77" x14ac:dyDescent="0.2">
      <c r="BX8002" s="214" t="e">
        <f t="shared" si="264"/>
        <v>#DIV/0!</v>
      </c>
      <c r="BY8002" s="215">
        <f t="shared" si="265"/>
        <v>0</v>
      </c>
    </row>
    <row r="8003" spans="76:77" x14ac:dyDescent="0.2">
      <c r="BX8003" s="214" t="e">
        <f t="shared" si="264"/>
        <v>#DIV/0!</v>
      </c>
      <c r="BY8003" s="215">
        <f t="shared" si="265"/>
        <v>0</v>
      </c>
    </row>
    <row r="8004" spans="76:77" x14ac:dyDescent="0.2">
      <c r="BX8004" s="214" t="e">
        <f t="shared" si="264"/>
        <v>#DIV/0!</v>
      </c>
      <c r="BY8004" s="215">
        <f t="shared" si="265"/>
        <v>0</v>
      </c>
    </row>
    <row r="8005" spans="76:77" x14ac:dyDescent="0.2">
      <c r="BX8005" s="214" t="e">
        <f t="shared" si="264"/>
        <v>#DIV/0!</v>
      </c>
      <c r="BY8005" s="215">
        <f t="shared" si="265"/>
        <v>0</v>
      </c>
    </row>
    <row r="8006" spans="76:77" x14ac:dyDescent="0.2">
      <c r="BX8006" s="214" t="e">
        <f t="shared" si="264"/>
        <v>#DIV/0!</v>
      </c>
      <c r="BY8006" s="215">
        <f t="shared" si="265"/>
        <v>0</v>
      </c>
    </row>
    <row r="8007" spans="76:77" x14ac:dyDescent="0.2">
      <c r="BX8007" s="214" t="e">
        <f t="shared" si="264"/>
        <v>#DIV/0!</v>
      </c>
      <c r="BY8007" s="215">
        <f t="shared" si="265"/>
        <v>0</v>
      </c>
    </row>
    <row r="8008" spans="76:77" x14ac:dyDescent="0.2">
      <c r="BX8008" s="214" t="e">
        <f t="shared" si="264"/>
        <v>#DIV/0!</v>
      </c>
      <c r="BY8008" s="215">
        <f t="shared" si="265"/>
        <v>0</v>
      </c>
    </row>
    <row r="8009" spans="76:77" x14ac:dyDescent="0.2">
      <c r="BX8009" s="214" t="e">
        <f t="shared" si="264"/>
        <v>#DIV/0!</v>
      </c>
      <c r="BY8009" s="215">
        <f t="shared" si="265"/>
        <v>0</v>
      </c>
    </row>
    <row r="8010" spans="76:77" x14ac:dyDescent="0.2">
      <c r="BX8010" s="214" t="e">
        <f t="shared" si="264"/>
        <v>#DIV/0!</v>
      </c>
      <c r="BY8010" s="215">
        <f t="shared" si="265"/>
        <v>0</v>
      </c>
    </row>
    <row r="8011" spans="76:77" x14ac:dyDescent="0.2">
      <c r="BX8011" s="214" t="e">
        <f t="shared" si="264"/>
        <v>#DIV/0!</v>
      </c>
      <c r="BY8011" s="215">
        <f t="shared" si="265"/>
        <v>0</v>
      </c>
    </row>
    <row r="8012" spans="76:77" x14ac:dyDescent="0.2">
      <c r="BX8012" s="214" t="e">
        <f t="shared" si="264"/>
        <v>#DIV/0!</v>
      </c>
      <c r="BY8012" s="215">
        <f t="shared" si="265"/>
        <v>0</v>
      </c>
    </row>
    <row r="8013" spans="76:77" x14ac:dyDescent="0.2">
      <c r="BX8013" s="214" t="e">
        <f t="shared" ref="BX8013:BX8076" si="266">BY8013/BV8013</f>
        <v>#DIV/0!</v>
      </c>
      <c r="BY8013" s="215">
        <f t="shared" si="265"/>
        <v>0</v>
      </c>
    </row>
    <row r="8014" spans="76:77" x14ac:dyDescent="0.2">
      <c r="BX8014" s="214" t="e">
        <f t="shared" si="266"/>
        <v>#DIV/0!</v>
      </c>
      <c r="BY8014" s="215">
        <f t="shared" ref="BY8014:BY8077" si="267">BY8013+BW8014*(BV8014-BV8013)</f>
        <v>0</v>
      </c>
    </row>
    <row r="8015" spans="76:77" x14ac:dyDescent="0.2">
      <c r="BX8015" s="214" t="e">
        <f t="shared" si="266"/>
        <v>#DIV/0!</v>
      </c>
      <c r="BY8015" s="215">
        <f t="shared" si="267"/>
        <v>0</v>
      </c>
    </row>
    <row r="8016" spans="76:77" x14ac:dyDescent="0.2">
      <c r="BX8016" s="214" t="e">
        <f t="shared" si="266"/>
        <v>#DIV/0!</v>
      </c>
      <c r="BY8016" s="215">
        <f t="shared" si="267"/>
        <v>0</v>
      </c>
    </row>
    <row r="8017" spans="76:77" x14ac:dyDescent="0.2">
      <c r="BX8017" s="214" t="e">
        <f t="shared" si="266"/>
        <v>#DIV/0!</v>
      </c>
      <c r="BY8017" s="215">
        <f t="shared" si="267"/>
        <v>0</v>
      </c>
    </row>
    <row r="8018" spans="76:77" x14ac:dyDescent="0.2">
      <c r="BX8018" s="214" t="e">
        <f t="shared" si="266"/>
        <v>#DIV/0!</v>
      </c>
      <c r="BY8018" s="215">
        <f t="shared" si="267"/>
        <v>0</v>
      </c>
    </row>
    <row r="8019" spans="76:77" x14ac:dyDescent="0.2">
      <c r="BX8019" s="214" t="e">
        <f t="shared" si="266"/>
        <v>#DIV/0!</v>
      </c>
      <c r="BY8019" s="215">
        <f t="shared" si="267"/>
        <v>0</v>
      </c>
    </row>
    <row r="8020" spans="76:77" x14ac:dyDescent="0.2">
      <c r="BX8020" s="214" t="e">
        <f t="shared" si="266"/>
        <v>#DIV/0!</v>
      </c>
      <c r="BY8020" s="215">
        <f t="shared" si="267"/>
        <v>0</v>
      </c>
    </row>
    <row r="8021" spans="76:77" x14ac:dyDescent="0.2">
      <c r="BX8021" s="214" t="e">
        <f t="shared" si="266"/>
        <v>#DIV/0!</v>
      </c>
      <c r="BY8021" s="215">
        <f t="shared" si="267"/>
        <v>0</v>
      </c>
    </row>
    <row r="8022" spans="76:77" x14ac:dyDescent="0.2">
      <c r="BX8022" s="214" t="e">
        <f t="shared" si="266"/>
        <v>#DIV/0!</v>
      </c>
      <c r="BY8022" s="215">
        <f t="shared" si="267"/>
        <v>0</v>
      </c>
    </row>
    <row r="8023" spans="76:77" x14ac:dyDescent="0.2">
      <c r="BX8023" s="214" t="e">
        <f t="shared" si="266"/>
        <v>#DIV/0!</v>
      </c>
      <c r="BY8023" s="215">
        <f t="shared" si="267"/>
        <v>0</v>
      </c>
    </row>
    <row r="8024" spans="76:77" x14ac:dyDescent="0.2">
      <c r="BX8024" s="214" t="e">
        <f t="shared" si="266"/>
        <v>#DIV/0!</v>
      </c>
      <c r="BY8024" s="215">
        <f t="shared" si="267"/>
        <v>0</v>
      </c>
    </row>
    <row r="8025" spans="76:77" x14ac:dyDescent="0.2">
      <c r="BX8025" s="214" t="e">
        <f t="shared" si="266"/>
        <v>#DIV/0!</v>
      </c>
      <c r="BY8025" s="215">
        <f t="shared" si="267"/>
        <v>0</v>
      </c>
    </row>
    <row r="8026" spans="76:77" x14ac:dyDescent="0.2">
      <c r="BX8026" s="214" t="e">
        <f t="shared" si="266"/>
        <v>#DIV/0!</v>
      </c>
      <c r="BY8026" s="215">
        <f t="shared" si="267"/>
        <v>0</v>
      </c>
    </row>
    <row r="8027" spans="76:77" x14ac:dyDescent="0.2">
      <c r="BX8027" s="214" t="e">
        <f t="shared" si="266"/>
        <v>#DIV/0!</v>
      </c>
      <c r="BY8027" s="215">
        <f t="shared" si="267"/>
        <v>0</v>
      </c>
    </row>
    <row r="8028" spans="76:77" x14ac:dyDescent="0.2">
      <c r="BX8028" s="214" t="e">
        <f t="shared" si="266"/>
        <v>#DIV/0!</v>
      </c>
      <c r="BY8028" s="215">
        <f t="shared" si="267"/>
        <v>0</v>
      </c>
    </row>
    <row r="8029" spans="76:77" x14ac:dyDescent="0.2">
      <c r="BX8029" s="214" t="e">
        <f t="shared" si="266"/>
        <v>#DIV/0!</v>
      </c>
      <c r="BY8029" s="215">
        <f t="shared" si="267"/>
        <v>0</v>
      </c>
    </row>
    <row r="8030" spans="76:77" x14ac:dyDescent="0.2">
      <c r="BX8030" s="214" t="e">
        <f t="shared" si="266"/>
        <v>#DIV/0!</v>
      </c>
      <c r="BY8030" s="215">
        <f t="shared" si="267"/>
        <v>0</v>
      </c>
    </row>
    <row r="8031" spans="76:77" x14ac:dyDescent="0.2">
      <c r="BX8031" s="214" t="e">
        <f t="shared" si="266"/>
        <v>#DIV/0!</v>
      </c>
      <c r="BY8031" s="215">
        <f t="shared" si="267"/>
        <v>0</v>
      </c>
    </row>
    <row r="8032" spans="76:77" x14ac:dyDescent="0.2">
      <c r="BX8032" s="214" t="e">
        <f t="shared" si="266"/>
        <v>#DIV/0!</v>
      </c>
      <c r="BY8032" s="215">
        <f t="shared" si="267"/>
        <v>0</v>
      </c>
    </row>
    <row r="8033" spans="76:77" x14ac:dyDescent="0.2">
      <c r="BX8033" s="214" t="e">
        <f t="shared" si="266"/>
        <v>#DIV/0!</v>
      </c>
      <c r="BY8033" s="215">
        <f t="shared" si="267"/>
        <v>0</v>
      </c>
    </row>
    <row r="8034" spans="76:77" x14ac:dyDescent="0.2">
      <c r="BX8034" s="214" t="e">
        <f t="shared" si="266"/>
        <v>#DIV/0!</v>
      </c>
      <c r="BY8034" s="215">
        <f t="shared" si="267"/>
        <v>0</v>
      </c>
    </row>
    <row r="8035" spans="76:77" x14ac:dyDescent="0.2">
      <c r="BX8035" s="214" t="e">
        <f t="shared" si="266"/>
        <v>#DIV/0!</v>
      </c>
      <c r="BY8035" s="215">
        <f t="shared" si="267"/>
        <v>0</v>
      </c>
    </row>
    <row r="8036" spans="76:77" x14ac:dyDescent="0.2">
      <c r="BX8036" s="214" t="e">
        <f t="shared" si="266"/>
        <v>#DIV/0!</v>
      </c>
      <c r="BY8036" s="215">
        <f t="shared" si="267"/>
        <v>0</v>
      </c>
    </row>
    <row r="8037" spans="76:77" x14ac:dyDescent="0.2">
      <c r="BX8037" s="214" t="e">
        <f t="shared" si="266"/>
        <v>#DIV/0!</v>
      </c>
      <c r="BY8037" s="215">
        <f t="shared" si="267"/>
        <v>0</v>
      </c>
    </row>
    <row r="8038" spans="76:77" x14ac:dyDescent="0.2">
      <c r="BX8038" s="214" t="e">
        <f t="shared" si="266"/>
        <v>#DIV/0!</v>
      </c>
      <c r="BY8038" s="215">
        <f t="shared" si="267"/>
        <v>0</v>
      </c>
    </row>
    <row r="8039" spans="76:77" x14ac:dyDescent="0.2">
      <c r="BX8039" s="214" t="e">
        <f t="shared" si="266"/>
        <v>#DIV/0!</v>
      </c>
      <c r="BY8039" s="215">
        <f t="shared" si="267"/>
        <v>0</v>
      </c>
    </row>
    <row r="8040" spans="76:77" x14ac:dyDescent="0.2">
      <c r="BX8040" s="214" t="e">
        <f t="shared" si="266"/>
        <v>#DIV/0!</v>
      </c>
      <c r="BY8040" s="215">
        <f t="shared" si="267"/>
        <v>0</v>
      </c>
    </row>
    <row r="8041" spans="76:77" x14ac:dyDescent="0.2">
      <c r="BX8041" s="214" t="e">
        <f t="shared" si="266"/>
        <v>#DIV/0!</v>
      </c>
      <c r="BY8041" s="215">
        <f t="shared" si="267"/>
        <v>0</v>
      </c>
    </row>
    <row r="8042" spans="76:77" x14ac:dyDescent="0.2">
      <c r="BX8042" s="214" t="e">
        <f t="shared" si="266"/>
        <v>#DIV/0!</v>
      </c>
      <c r="BY8042" s="215">
        <f t="shared" si="267"/>
        <v>0</v>
      </c>
    </row>
    <row r="8043" spans="76:77" x14ac:dyDescent="0.2">
      <c r="BX8043" s="214" t="e">
        <f t="shared" si="266"/>
        <v>#DIV/0!</v>
      </c>
      <c r="BY8043" s="215">
        <f t="shared" si="267"/>
        <v>0</v>
      </c>
    </row>
    <row r="8044" spans="76:77" x14ac:dyDescent="0.2">
      <c r="BX8044" s="214" t="e">
        <f t="shared" si="266"/>
        <v>#DIV/0!</v>
      </c>
      <c r="BY8044" s="215">
        <f t="shared" si="267"/>
        <v>0</v>
      </c>
    </row>
    <row r="8045" spans="76:77" x14ac:dyDescent="0.2">
      <c r="BX8045" s="214" t="e">
        <f t="shared" si="266"/>
        <v>#DIV/0!</v>
      </c>
      <c r="BY8045" s="215">
        <f t="shared" si="267"/>
        <v>0</v>
      </c>
    </row>
    <row r="8046" spans="76:77" x14ac:dyDescent="0.2">
      <c r="BX8046" s="214" t="e">
        <f t="shared" si="266"/>
        <v>#DIV/0!</v>
      </c>
      <c r="BY8046" s="215">
        <f t="shared" si="267"/>
        <v>0</v>
      </c>
    </row>
    <row r="8047" spans="76:77" x14ac:dyDescent="0.2">
      <c r="BX8047" s="214" t="e">
        <f t="shared" si="266"/>
        <v>#DIV/0!</v>
      </c>
      <c r="BY8047" s="215">
        <f t="shared" si="267"/>
        <v>0</v>
      </c>
    </row>
    <row r="8048" spans="76:77" x14ac:dyDescent="0.2">
      <c r="BX8048" s="214" t="e">
        <f t="shared" si="266"/>
        <v>#DIV/0!</v>
      </c>
      <c r="BY8048" s="215">
        <f t="shared" si="267"/>
        <v>0</v>
      </c>
    </row>
    <row r="8049" spans="76:77" x14ac:dyDescent="0.2">
      <c r="BX8049" s="214" t="e">
        <f t="shared" si="266"/>
        <v>#DIV/0!</v>
      </c>
      <c r="BY8049" s="215">
        <f t="shared" si="267"/>
        <v>0</v>
      </c>
    </row>
    <row r="8050" spans="76:77" x14ac:dyDescent="0.2">
      <c r="BX8050" s="214" t="e">
        <f t="shared" si="266"/>
        <v>#DIV/0!</v>
      </c>
      <c r="BY8050" s="215">
        <f t="shared" si="267"/>
        <v>0</v>
      </c>
    </row>
    <row r="8051" spans="76:77" x14ac:dyDescent="0.2">
      <c r="BX8051" s="214" t="e">
        <f t="shared" si="266"/>
        <v>#DIV/0!</v>
      </c>
      <c r="BY8051" s="215">
        <f t="shared" si="267"/>
        <v>0</v>
      </c>
    </row>
    <row r="8052" spans="76:77" x14ac:dyDescent="0.2">
      <c r="BX8052" s="214" t="e">
        <f t="shared" si="266"/>
        <v>#DIV/0!</v>
      </c>
      <c r="BY8052" s="215">
        <f t="shared" si="267"/>
        <v>0</v>
      </c>
    </row>
    <row r="8053" spans="76:77" x14ac:dyDescent="0.2">
      <c r="BX8053" s="214" t="e">
        <f t="shared" si="266"/>
        <v>#DIV/0!</v>
      </c>
      <c r="BY8053" s="215">
        <f t="shared" si="267"/>
        <v>0</v>
      </c>
    </row>
    <row r="8054" spans="76:77" x14ac:dyDescent="0.2">
      <c r="BX8054" s="214" t="e">
        <f t="shared" si="266"/>
        <v>#DIV/0!</v>
      </c>
      <c r="BY8054" s="215">
        <f t="shared" si="267"/>
        <v>0</v>
      </c>
    </row>
    <row r="8055" spans="76:77" x14ac:dyDescent="0.2">
      <c r="BX8055" s="214" t="e">
        <f t="shared" si="266"/>
        <v>#DIV/0!</v>
      </c>
      <c r="BY8055" s="215">
        <f t="shared" si="267"/>
        <v>0</v>
      </c>
    </row>
    <row r="8056" spans="76:77" x14ac:dyDescent="0.2">
      <c r="BX8056" s="214" t="e">
        <f t="shared" si="266"/>
        <v>#DIV/0!</v>
      </c>
      <c r="BY8056" s="215">
        <f t="shared" si="267"/>
        <v>0</v>
      </c>
    </row>
    <row r="8057" spans="76:77" x14ac:dyDescent="0.2">
      <c r="BX8057" s="214" t="e">
        <f t="shared" si="266"/>
        <v>#DIV/0!</v>
      </c>
      <c r="BY8057" s="215">
        <f t="shared" si="267"/>
        <v>0</v>
      </c>
    </row>
    <row r="8058" spans="76:77" x14ac:dyDescent="0.2">
      <c r="BX8058" s="214" t="e">
        <f t="shared" si="266"/>
        <v>#DIV/0!</v>
      </c>
      <c r="BY8058" s="215">
        <f t="shared" si="267"/>
        <v>0</v>
      </c>
    </row>
    <row r="8059" spans="76:77" x14ac:dyDescent="0.2">
      <c r="BX8059" s="214" t="e">
        <f t="shared" si="266"/>
        <v>#DIV/0!</v>
      </c>
      <c r="BY8059" s="215">
        <f t="shared" si="267"/>
        <v>0</v>
      </c>
    </row>
    <row r="8060" spans="76:77" x14ac:dyDescent="0.2">
      <c r="BX8060" s="214" t="e">
        <f t="shared" si="266"/>
        <v>#DIV/0!</v>
      </c>
      <c r="BY8060" s="215">
        <f t="shared" si="267"/>
        <v>0</v>
      </c>
    </row>
    <row r="8061" spans="76:77" x14ac:dyDescent="0.2">
      <c r="BX8061" s="214" t="e">
        <f t="shared" si="266"/>
        <v>#DIV/0!</v>
      </c>
      <c r="BY8061" s="215">
        <f t="shared" si="267"/>
        <v>0</v>
      </c>
    </row>
    <row r="8062" spans="76:77" x14ac:dyDescent="0.2">
      <c r="BX8062" s="214" t="e">
        <f t="shared" si="266"/>
        <v>#DIV/0!</v>
      </c>
      <c r="BY8062" s="215">
        <f t="shared" si="267"/>
        <v>0</v>
      </c>
    </row>
    <row r="8063" spans="76:77" x14ac:dyDescent="0.2">
      <c r="BX8063" s="214" t="e">
        <f t="shared" si="266"/>
        <v>#DIV/0!</v>
      </c>
      <c r="BY8063" s="215">
        <f t="shared" si="267"/>
        <v>0</v>
      </c>
    </row>
    <row r="8064" spans="76:77" x14ac:dyDescent="0.2">
      <c r="BX8064" s="214" t="e">
        <f t="shared" si="266"/>
        <v>#DIV/0!</v>
      </c>
      <c r="BY8064" s="215">
        <f t="shared" si="267"/>
        <v>0</v>
      </c>
    </row>
    <row r="8065" spans="76:77" x14ac:dyDescent="0.2">
      <c r="BX8065" s="214" t="e">
        <f t="shared" si="266"/>
        <v>#DIV/0!</v>
      </c>
      <c r="BY8065" s="215">
        <f t="shared" si="267"/>
        <v>0</v>
      </c>
    </row>
    <row r="8066" spans="76:77" x14ac:dyDescent="0.2">
      <c r="BX8066" s="214" t="e">
        <f t="shared" si="266"/>
        <v>#DIV/0!</v>
      </c>
      <c r="BY8066" s="215">
        <f t="shared" si="267"/>
        <v>0</v>
      </c>
    </row>
    <row r="8067" spans="76:77" x14ac:dyDescent="0.2">
      <c r="BX8067" s="214" t="e">
        <f t="shared" si="266"/>
        <v>#DIV/0!</v>
      </c>
      <c r="BY8067" s="215">
        <f t="shared" si="267"/>
        <v>0</v>
      </c>
    </row>
    <row r="8068" spans="76:77" x14ac:dyDescent="0.2">
      <c r="BX8068" s="214" t="e">
        <f t="shared" si="266"/>
        <v>#DIV/0!</v>
      </c>
      <c r="BY8068" s="215">
        <f t="shared" si="267"/>
        <v>0</v>
      </c>
    </row>
    <row r="8069" spans="76:77" x14ac:dyDescent="0.2">
      <c r="BX8069" s="214" t="e">
        <f t="shared" si="266"/>
        <v>#DIV/0!</v>
      </c>
      <c r="BY8069" s="215">
        <f t="shared" si="267"/>
        <v>0</v>
      </c>
    </row>
    <row r="8070" spans="76:77" x14ac:dyDescent="0.2">
      <c r="BX8070" s="214" t="e">
        <f t="shared" si="266"/>
        <v>#DIV/0!</v>
      </c>
      <c r="BY8070" s="215">
        <f t="shared" si="267"/>
        <v>0</v>
      </c>
    </row>
    <row r="8071" spans="76:77" x14ac:dyDescent="0.2">
      <c r="BX8071" s="214" t="e">
        <f t="shared" si="266"/>
        <v>#DIV/0!</v>
      </c>
      <c r="BY8071" s="215">
        <f t="shared" si="267"/>
        <v>0</v>
      </c>
    </row>
    <row r="8072" spans="76:77" x14ac:dyDescent="0.2">
      <c r="BX8072" s="214" t="e">
        <f t="shared" si="266"/>
        <v>#DIV/0!</v>
      </c>
      <c r="BY8072" s="215">
        <f t="shared" si="267"/>
        <v>0</v>
      </c>
    </row>
    <row r="8073" spans="76:77" x14ac:dyDescent="0.2">
      <c r="BX8073" s="214" t="e">
        <f t="shared" si="266"/>
        <v>#DIV/0!</v>
      </c>
      <c r="BY8073" s="215">
        <f t="shared" si="267"/>
        <v>0</v>
      </c>
    </row>
    <row r="8074" spans="76:77" x14ac:dyDescent="0.2">
      <c r="BX8074" s="214" t="e">
        <f t="shared" si="266"/>
        <v>#DIV/0!</v>
      </c>
      <c r="BY8074" s="215">
        <f t="shared" si="267"/>
        <v>0</v>
      </c>
    </row>
    <row r="8075" spans="76:77" x14ac:dyDescent="0.2">
      <c r="BX8075" s="214" t="e">
        <f t="shared" si="266"/>
        <v>#DIV/0!</v>
      </c>
      <c r="BY8075" s="215">
        <f t="shared" si="267"/>
        <v>0</v>
      </c>
    </row>
    <row r="8076" spans="76:77" x14ac:dyDescent="0.2">
      <c r="BX8076" s="214" t="e">
        <f t="shared" si="266"/>
        <v>#DIV/0!</v>
      </c>
      <c r="BY8076" s="215">
        <f t="shared" si="267"/>
        <v>0</v>
      </c>
    </row>
    <row r="8077" spans="76:77" x14ac:dyDescent="0.2">
      <c r="BX8077" s="214" t="e">
        <f t="shared" ref="BX8077:BX8140" si="268">BY8077/BV8077</f>
        <v>#DIV/0!</v>
      </c>
      <c r="BY8077" s="215">
        <f t="shared" si="267"/>
        <v>0</v>
      </c>
    </row>
    <row r="8078" spans="76:77" x14ac:dyDescent="0.2">
      <c r="BX8078" s="214" t="e">
        <f t="shared" si="268"/>
        <v>#DIV/0!</v>
      </c>
      <c r="BY8078" s="215">
        <f t="shared" ref="BY8078:BY8141" si="269">BY8077+BW8078*(BV8078-BV8077)</f>
        <v>0</v>
      </c>
    </row>
    <row r="8079" spans="76:77" x14ac:dyDescent="0.2">
      <c r="BX8079" s="214" t="e">
        <f t="shared" si="268"/>
        <v>#DIV/0!</v>
      </c>
      <c r="BY8079" s="215">
        <f t="shared" si="269"/>
        <v>0</v>
      </c>
    </row>
    <row r="8080" spans="76:77" x14ac:dyDescent="0.2">
      <c r="BX8080" s="214" t="e">
        <f t="shared" si="268"/>
        <v>#DIV/0!</v>
      </c>
      <c r="BY8080" s="215">
        <f t="shared" si="269"/>
        <v>0</v>
      </c>
    </row>
    <row r="8081" spans="76:77" x14ac:dyDescent="0.2">
      <c r="BX8081" s="214" t="e">
        <f t="shared" si="268"/>
        <v>#DIV/0!</v>
      </c>
      <c r="BY8081" s="215">
        <f t="shared" si="269"/>
        <v>0</v>
      </c>
    </row>
    <row r="8082" spans="76:77" x14ac:dyDescent="0.2">
      <c r="BX8082" s="214" t="e">
        <f t="shared" si="268"/>
        <v>#DIV/0!</v>
      </c>
      <c r="BY8082" s="215">
        <f t="shared" si="269"/>
        <v>0</v>
      </c>
    </row>
    <row r="8083" spans="76:77" x14ac:dyDescent="0.2">
      <c r="BX8083" s="214" t="e">
        <f t="shared" si="268"/>
        <v>#DIV/0!</v>
      </c>
      <c r="BY8083" s="215">
        <f t="shared" si="269"/>
        <v>0</v>
      </c>
    </row>
    <row r="8084" spans="76:77" x14ac:dyDescent="0.2">
      <c r="BX8084" s="214" t="e">
        <f t="shared" si="268"/>
        <v>#DIV/0!</v>
      </c>
      <c r="BY8084" s="215">
        <f t="shared" si="269"/>
        <v>0</v>
      </c>
    </row>
    <row r="8085" spans="76:77" x14ac:dyDescent="0.2">
      <c r="BX8085" s="214" t="e">
        <f t="shared" si="268"/>
        <v>#DIV/0!</v>
      </c>
      <c r="BY8085" s="215">
        <f t="shared" si="269"/>
        <v>0</v>
      </c>
    </row>
    <row r="8086" spans="76:77" x14ac:dyDescent="0.2">
      <c r="BX8086" s="214" t="e">
        <f t="shared" si="268"/>
        <v>#DIV/0!</v>
      </c>
      <c r="BY8086" s="215">
        <f t="shared" si="269"/>
        <v>0</v>
      </c>
    </row>
    <row r="8087" spans="76:77" x14ac:dyDescent="0.2">
      <c r="BX8087" s="214" t="e">
        <f t="shared" si="268"/>
        <v>#DIV/0!</v>
      </c>
      <c r="BY8087" s="215">
        <f t="shared" si="269"/>
        <v>0</v>
      </c>
    </row>
    <row r="8088" spans="76:77" x14ac:dyDescent="0.2">
      <c r="BX8088" s="214" t="e">
        <f t="shared" si="268"/>
        <v>#DIV/0!</v>
      </c>
      <c r="BY8088" s="215">
        <f t="shared" si="269"/>
        <v>0</v>
      </c>
    </row>
    <row r="8089" spans="76:77" x14ac:dyDescent="0.2">
      <c r="BX8089" s="214" t="e">
        <f t="shared" si="268"/>
        <v>#DIV/0!</v>
      </c>
      <c r="BY8089" s="215">
        <f t="shared" si="269"/>
        <v>0</v>
      </c>
    </row>
    <row r="8090" spans="76:77" x14ac:dyDescent="0.2">
      <c r="BX8090" s="214" t="e">
        <f t="shared" si="268"/>
        <v>#DIV/0!</v>
      </c>
      <c r="BY8090" s="215">
        <f t="shared" si="269"/>
        <v>0</v>
      </c>
    </row>
    <row r="8091" spans="76:77" x14ac:dyDescent="0.2">
      <c r="BX8091" s="214" t="e">
        <f t="shared" si="268"/>
        <v>#DIV/0!</v>
      </c>
      <c r="BY8091" s="215">
        <f t="shared" si="269"/>
        <v>0</v>
      </c>
    </row>
    <row r="8092" spans="76:77" x14ac:dyDescent="0.2">
      <c r="BX8092" s="214" t="e">
        <f t="shared" si="268"/>
        <v>#DIV/0!</v>
      </c>
      <c r="BY8092" s="215">
        <f t="shared" si="269"/>
        <v>0</v>
      </c>
    </row>
    <row r="8093" spans="76:77" x14ac:dyDescent="0.2">
      <c r="BX8093" s="214" t="e">
        <f t="shared" si="268"/>
        <v>#DIV/0!</v>
      </c>
      <c r="BY8093" s="215">
        <f t="shared" si="269"/>
        <v>0</v>
      </c>
    </row>
    <row r="8094" spans="76:77" x14ac:dyDescent="0.2">
      <c r="BX8094" s="214" t="e">
        <f t="shared" si="268"/>
        <v>#DIV/0!</v>
      </c>
      <c r="BY8094" s="215">
        <f t="shared" si="269"/>
        <v>0</v>
      </c>
    </row>
    <row r="8095" spans="76:77" x14ac:dyDescent="0.2">
      <c r="BX8095" s="214" t="e">
        <f t="shared" si="268"/>
        <v>#DIV/0!</v>
      </c>
      <c r="BY8095" s="215">
        <f t="shared" si="269"/>
        <v>0</v>
      </c>
    </row>
    <row r="8096" spans="76:77" x14ac:dyDescent="0.2">
      <c r="BX8096" s="214" t="e">
        <f t="shared" si="268"/>
        <v>#DIV/0!</v>
      </c>
      <c r="BY8096" s="215">
        <f t="shared" si="269"/>
        <v>0</v>
      </c>
    </row>
    <row r="8097" spans="76:77" x14ac:dyDescent="0.2">
      <c r="BX8097" s="214" t="e">
        <f t="shared" si="268"/>
        <v>#DIV/0!</v>
      </c>
      <c r="BY8097" s="215">
        <f t="shared" si="269"/>
        <v>0</v>
      </c>
    </row>
    <row r="8098" spans="76:77" x14ac:dyDescent="0.2">
      <c r="BX8098" s="214" t="e">
        <f t="shared" si="268"/>
        <v>#DIV/0!</v>
      </c>
      <c r="BY8098" s="215">
        <f t="shared" si="269"/>
        <v>0</v>
      </c>
    </row>
    <row r="8099" spans="76:77" x14ac:dyDescent="0.2">
      <c r="BX8099" s="214" t="e">
        <f t="shared" si="268"/>
        <v>#DIV/0!</v>
      </c>
      <c r="BY8099" s="215">
        <f t="shared" si="269"/>
        <v>0</v>
      </c>
    </row>
    <row r="8100" spans="76:77" x14ac:dyDescent="0.2">
      <c r="BX8100" s="214" t="e">
        <f t="shared" si="268"/>
        <v>#DIV/0!</v>
      </c>
      <c r="BY8100" s="215">
        <f t="shared" si="269"/>
        <v>0</v>
      </c>
    </row>
    <row r="8101" spans="76:77" x14ac:dyDescent="0.2">
      <c r="BX8101" s="214" t="e">
        <f t="shared" si="268"/>
        <v>#DIV/0!</v>
      </c>
      <c r="BY8101" s="215">
        <f t="shared" si="269"/>
        <v>0</v>
      </c>
    </row>
    <row r="8102" spans="76:77" x14ac:dyDescent="0.2">
      <c r="BX8102" s="214" t="e">
        <f t="shared" si="268"/>
        <v>#DIV/0!</v>
      </c>
      <c r="BY8102" s="215">
        <f t="shared" si="269"/>
        <v>0</v>
      </c>
    </row>
    <row r="8103" spans="76:77" x14ac:dyDescent="0.2">
      <c r="BX8103" s="214" t="e">
        <f t="shared" si="268"/>
        <v>#DIV/0!</v>
      </c>
      <c r="BY8103" s="215">
        <f t="shared" si="269"/>
        <v>0</v>
      </c>
    </row>
    <row r="8104" spans="76:77" x14ac:dyDescent="0.2">
      <c r="BX8104" s="214" t="e">
        <f t="shared" si="268"/>
        <v>#DIV/0!</v>
      </c>
      <c r="BY8104" s="215">
        <f t="shared" si="269"/>
        <v>0</v>
      </c>
    </row>
    <row r="8105" spans="76:77" x14ac:dyDescent="0.2">
      <c r="BX8105" s="214" t="e">
        <f t="shared" si="268"/>
        <v>#DIV/0!</v>
      </c>
      <c r="BY8105" s="215">
        <f t="shared" si="269"/>
        <v>0</v>
      </c>
    </row>
    <row r="8106" spans="76:77" x14ac:dyDescent="0.2">
      <c r="BX8106" s="214" t="e">
        <f t="shared" si="268"/>
        <v>#DIV/0!</v>
      </c>
      <c r="BY8106" s="215">
        <f t="shared" si="269"/>
        <v>0</v>
      </c>
    </row>
    <row r="8107" spans="76:77" x14ac:dyDescent="0.2">
      <c r="BX8107" s="214" t="e">
        <f t="shared" si="268"/>
        <v>#DIV/0!</v>
      </c>
      <c r="BY8107" s="215">
        <f t="shared" si="269"/>
        <v>0</v>
      </c>
    </row>
    <row r="8108" spans="76:77" x14ac:dyDescent="0.2">
      <c r="BX8108" s="214" t="e">
        <f t="shared" si="268"/>
        <v>#DIV/0!</v>
      </c>
      <c r="BY8108" s="215">
        <f t="shared" si="269"/>
        <v>0</v>
      </c>
    </row>
    <row r="8109" spans="76:77" x14ac:dyDescent="0.2">
      <c r="BX8109" s="214" t="e">
        <f t="shared" si="268"/>
        <v>#DIV/0!</v>
      </c>
      <c r="BY8109" s="215">
        <f t="shared" si="269"/>
        <v>0</v>
      </c>
    </row>
    <row r="8110" spans="76:77" x14ac:dyDescent="0.2">
      <c r="BX8110" s="214" t="e">
        <f t="shared" si="268"/>
        <v>#DIV/0!</v>
      </c>
      <c r="BY8110" s="215">
        <f t="shared" si="269"/>
        <v>0</v>
      </c>
    </row>
    <row r="8111" spans="76:77" x14ac:dyDescent="0.2">
      <c r="BX8111" s="214" t="e">
        <f t="shared" si="268"/>
        <v>#DIV/0!</v>
      </c>
      <c r="BY8111" s="215">
        <f t="shared" si="269"/>
        <v>0</v>
      </c>
    </row>
    <row r="8112" spans="76:77" x14ac:dyDescent="0.2">
      <c r="BX8112" s="214" t="e">
        <f t="shared" si="268"/>
        <v>#DIV/0!</v>
      </c>
      <c r="BY8112" s="215">
        <f t="shared" si="269"/>
        <v>0</v>
      </c>
    </row>
    <row r="8113" spans="76:77" x14ac:dyDescent="0.2">
      <c r="BX8113" s="214" t="e">
        <f t="shared" si="268"/>
        <v>#DIV/0!</v>
      </c>
      <c r="BY8113" s="215">
        <f t="shared" si="269"/>
        <v>0</v>
      </c>
    </row>
    <row r="8114" spans="76:77" x14ac:dyDescent="0.2">
      <c r="BX8114" s="214" t="e">
        <f t="shared" si="268"/>
        <v>#DIV/0!</v>
      </c>
      <c r="BY8114" s="215">
        <f t="shared" si="269"/>
        <v>0</v>
      </c>
    </row>
    <row r="8115" spans="76:77" x14ac:dyDescent="0.2">
      <c r="BX8115" s="214" t="e">
        <f t="shared" si="268"/>
        <v>#DIV/0!</v>
      </c>
      <c r="BY8115" s="215">
        <f t="shared" si="269"/>
        <v>0</v>
      </c>
    </row>
    <row r="8116" spans="76:77" x14ac:dyDescent="0.2">
      <c r="BX8116" s="214" t="e">
        <f t="shared" si="268"/>
        <v>#DIV/0!</v>
      </c>
      <c r="BY8116" s="215">
        <f t="shared" si="269"/>
        <v>0</v>
      </c>
    </row>
    <row r="8117" spans="76:77" x14ac:dyDescent="0.2">
      <c r="BX8117" s="214" t="e">
        <f t="shared" si="268"/>
        <v>#DIV/0!</v>
      </c>
      <c r="BY8117" s="215">
        <f t="shared" si="269"/>
        <v>0</v>
      </c>
    </row>
    <row r="8118" spans="76:77" x14ac:dyDescent="0.2">
      <c r="BX8118" s="214" t="e">
        <f t="shared" si="268"/>
        <v>#DIV/0!</v>
      </c>
      <c r="BY8118" s="215">
        <f t="shared" si="269"/>
        <v>0</v>
      </c>
    </row>
    <row r="8119" spans="76:77" x14ac:dyDescent="0.2">
      <c r="BX8119" s="214" t="e">
        <f t="shared" si="268"/>
        <v>#DIV/0!</v>
      </c>
      <c r="BY8119" s="215">
        <f t="shared" si="269"/>
        <v>0</v>
      </c>
    </row>
    <row r="8120" spans="76:77" x14ac:dyDescent="0.2">
      <c r="BX8120" s="214" t="e">
        <f t="shared" si="268"/>
        <v>#DIV/0!</v>
      </c>
      <c r="BY8120" s="215">
        <f t="shared" si="269"/>
        <v>0</v>
      </c>
    </row>
    <row r="8121" spans="76:77" x14ac:dyDescent="0.2">
      <c r="BX8121" s="214" t="e">
        <f t="shared" si="268"/>
        <v>#DIV/0!</v>
      </c>
      <c r="BY8121" s="215">
        <f t="shared" si="269"/>
        <v>0</v>
      </c>
    </row>
    <row r="8122" spans="76:77" x14ac:dyDescent="0.2">
      <c r="BX8122" s="214" t="e">
        <f t="shared" si="268"/>
        <v>#DIV/0!</v>
      </c>
      <c r="BY8122" s="215">
        <f t="shared" si="269"/>
        <v>0</v>
      </c>
    </row>
    <row r="8123" spans="76:77" x14ac:dyDescent="0.2">
      <c r="BX8123" s="214" t="e">
        <f t="shared" si="268"/>
        <v>#DIV/0!</v>
      </c>
      <c r="BY8123" s="215">
        <f t="shared" si="269"/>
        <v>0</v>
      </c>
    </row>
    <row r="8124" spans="76:77" x14ac:dyDescent="0.2">
      <c r="BX8124" s="214" t="e">
        <f t="shared" si="268"/>
        <v>#DIV/0!</v>
      </c>
      <c r="BY8124" s="215">
        <f t="shared" si="269"/>
        <v>0</v>
      </c>
    </row>
    <row r="8125" spans="76:77" x14ac:dyDescent="0.2">
      <c r="BX8125" s="214" t="e">
        <f t="shared" si="268"/>
        <v>#DIV/0!</v>
      </c>
      <c r="BY8125" s="215">
        <f t="shared" si="269"/>
        <v>0</v>
      </c>
    </row>
    <row r="8126" spans="76:77" x14ac:dyDescent="0.2">
      <c r="BX8126" s="214" t="e">
        <f t="shared" si="268"/>
        <v>#DIV/0!</v>
      </c>
      <c r="BY8126" s="215">
        <f t="shared" si="269"/>
        <v>0</v>
      </c>
    </row>
    <row r="8127" spans="76:77" x14ac:dyDescent="0.2">
      <c r="BX8127" s="214" t="e">
        <f t="shared" si="268"/>
        <v>#DIV/0!</v>
      </c>
      <c r="BY8127" s="215">
        <f t="shared" si="269"/>
        <v>0</v>
      </c>
    </row>
    <row r="8128" spans="76:77" x14ac:dyDescent="0.2">
      <c r="BX8128" s="214" t="e">
        <f t="shared" si="268"/>
        <v>#DIV/0!</v>
      </c>
      <c r="BY8128" s="215">
        <f t="shared" si="269"/>
        <v>0</v>
      </c>
    </row>
    <row r="8129" spans="76:77" x14ac:dyDescent="0.2">
      <c r="BX8129" s="214" t="e">
        <f t="shared" si="268"/>
        <v>#DIV/0!</v>
      </c>
      <c r="BY8129" s="215">
        <f t="shared" si="269"/>
        <v>0</v>
      </c>
    </row>
    <row r="8130" spans="76:77" x14ac:dyDescent="0.2">
      <c r="BX8130" s="214" t="e">
        <f t="shared" si="268"/>
        <v>#DIV/0!</v>
      </c>
      <c r="BY8130" s="215">
        <f t="shared" si="269"/>
        <v>0</v>
      </c>
    </row>
    <row r="8131" spans="76:77" x14ac:dyDescent="0.2">
      <c r="BX8131" s="214" t="e">
        <f t="shared" si="268"/>
        <v>#DIV/0!</v>
      </c>
      <c r="BY8131" s="215">
        <f t="shared" si="269"/>
        <v>0</v>
      </c>
    </row>
    <row r="8132" spans="76:77" x14ac:dyDescent="0.2">
      <c r="BX8132" s="214" t="e">
        <f t="shared" si="268"/>
        <v>#DIV/0!</v>
      </c>
      <c r="BY8132" s="215">
        <f t="shared" si="269"/>
        <v>0</v>
      </c>
    </row>
    <row r="8133" spans="76:77" x14ac:dyDescent="0.2">
      <c r="BX8133" s="214" t="e">
        <f t="shared" si="268"/>
        <v>#DIV/0!</v>
      </c>
      <c r="BY8133" s="215">
        <f t="shared" si="269"/>
        <v>0</v>
      </c>
    </row>
    <row r="8134" spans="76:77" x14ac:dyDescent="0.2">
      <c r="BX8134" s="214" t="e">
        <f t="shared" si="268"/>
        <v>#DIV/0!</v>
      </c>
      <c r="BY8134" s="215">
        <f t="shared" si="269"/>
        <v>0</v>
      </c>
    </row>
    <row r="8135" spans="76:77" x14ac:dyDescent="0.2">
      <c r="BX8135" s="214" t="e">
        <f t="shared" si="268"/>
        <v>#DIV/0!</v>
      </c>
      <c r="BY8135" s="215">
        <f t="shared" si="269"/>
        <v>0</v>
      </c>
    </row>
    <row r="8136" spans="76:77" x14ac:dyDescent="0.2">
      <c r="BX8136" s="214" t="e">
        <f t="shared" si="268"/>
        <v>#DIV/0!</v>
      </c>
      <c r="BY8136" s="215">
        <f t="shared" si="269"/>
        <v>0</v>
      </c>
    </row>
    <row r="8137" spans="76:77" x14ac:dyDescent="0.2">
      <c r="BX8137" s="214" t="e">
        <f t="shared" si="268"/>
        <v>#DIV/0!</v>
      </c>
      <c r="BY8137" s="215">
        <f t="shared" si="269"/>
        <v>0</v>
      </c>
    </row>
    <row r="8138" spans="76:77" x14ac:dyDescent="0.2">
      <c r="BX8138" s="214" t="e">
        <f t="shared" si="268"/>
        <v>#DIV/0!</v>
      </c>
      <c r="BY8138" s="215">
        <f t="shared" si="269"/>
        <v>0</v>
      </c>
    </row>
    <row r="8139" spans="76:77" x14ac:dyDescent="0.2">
      <c r="BX8139" s="214" t="e">
        <f t="shared" si="268"/>
        <v>#DIV/0!</v>
      </c>
      <c r="BY8139" s="215">
        <f t="shared" si="269"/>
        <v>0</v>
      </c>
    </row>
    <row r="8140" spans="76:77" x14ac:dyDescent="0.2">
      <c r="BX8140" s="214" t="e">
        <f t="shared" si="268"/>
        <v>#DIV/0!</v>
      </c>
      <c r="BY8140" s="215">
        <f t="shared" si="269"/>
        <v>0</v>
      </c>
    </row>
    <row r="8141" spans="76:77" x14ac:dyDescent="0.2">
      <c r="BX8141" s="214" t="e">
        <f t="shared" ref="BX8141:BX8204" si="270">BY8141/BV8141</f>
        <v>#DIV/0!</v>
      </c>
      <c r="BY8141" s="215">
        <f t="shared" si="269"/>
        <v>0</v>
      </c>
    </row>
    <row r="8142" spans="76:77" x14ac:dyDescent="0.2">
      <c r="BX8142" s="214" t="e">
        <f t="shared" si="270"/>
        <v>#DIV/0!</v>
      </c>
      <c r="BY8142" s="215">
        <f t="shared" ref="BY8142:BY8205" si="271">BY8141+BW8142*(BV8142-BV8141)</f>
        <v>0</v>
      </c>
    </row>
    <row r="8143" spans="76:77" x14ac:dyDescent="0.2">
      <c r="BX8143" s="214" t="e">
        <f t="shared" si="270"/>
        <v>#DIV/0!</v>
      </c>
      <c r="BY8143" s="215">
        <f t="shared" si="271"/>
        <v>0</v>
      </c>
    </row>
    <row r="8144" spans="76:77" x14ac:dyDescent="0.2">
      <c r="BX8144" s="214" t="e">
        <f t="shared" si="270"/>
        <v>#DIV/0!</v>
      </c>
      <c r="BY8144" s="215">
        <f t="shared" si="271"/>
        <v>0</v>
      </c>
    </row>
    <row r="8145" spans="76:77" x14ac:dyDescent="0.2">
      <c r="BX8145" s="214" t="e">
        <f t="shared" si="270"/>
        <v>#DIV/0!</v>
      </c>
      <c r="BY8145" s="215">
        <f t="shared" si="271"/>
        <v>0</v>
      </c>
    </row>
    <row r="8146" spans="76:77" x14ac:dyDescent="0.2">
      <c r="BX8146" s="214" t="e">
        <f t="shared" si="270"/>
        <v>#DIV/0!</v>
      </c>
      <c r="BY8146" s="215">
        <f t="shared" si="271"/>
        <v>0</v>
      </c>
    </row>
    <row r="8147" spans="76:77" x14ac:dyDescent="0.2">
      <c r="BX8147" s="214" t="e">
        <f t="shared" si="270"/>
        <v>#DIV/0!</v>
      </c>
      <c r="BY8147" s="215">
        <f t="shared" si="271"/>
        <v>0</v>
      </c>
    </row>
    <row r="8148" spans="76:77" x14ac:dyDescent="0.2">
      <c r="BX8148" s="214" t="e">
        <f t="shared" si="270"/>
        <v>#DIV/0!</v>
      </c>
      <c r="BY8148" s="215">
        <f t="shared" si="271"/>
        <v>0</v>
      </c>
    </row>
    <row r="8149" spans="76:77" x14ac:dyDescent="0.2">
      <c r="BX8149" s="214" t="e">
        <f t="shared" si="270"/>
        <v>#DIV/0!</v>
      </c>
      <c r="BY8149" s="215">
        <f t="shared" si="271"/>
        <v>0</v>
      </c>
    </row>
    <row r="8150" spans="76:77" x14ac:dyDescent="0.2">
      <c r="BX8150" s="214" t="e">
        <f t="shared" si="270"/>
        <v>#DIV/0!</v>
      </c>
      <c r="BY8150" s="215">
        <f t="shared" si="271"/>
        <v>0</v>
      </c>
    </row>
    <row r="8151" spans="76:77" x14ac:dyDescent="0.2">
      <c r="BX8151" s="214" t="e">
        <f t="shared" si="270"/>
        <v>#DIV/0!</v>
      </c>
      <c r="BY8151" s="215">
        <f t="shared" si="271"/>
        <v>0</v>
      </c>
    </row>
    <row r="8152" spans="76:77" x14ac:dyDescent="0.2">
      <c r="BX8152" s="214" t="e">
        <f t="shared" si="270"/>
        <v>#DIV/0!</v>
      </c>
      <c r="BY8152" s="215">
        <f t="shared" si="271"/>
        <v>0</v>
      </c>
    </row>
    <row r="8153" spans="76:77" x14ac:dyDescent="0.2">
      <c r="BX8153" s="214" t="e">
        <f t="shared" si="270"/>
        <v>#DIV/0!</v>
      </c>
      <c r="BY8153" s="215">
        <f t="shared" si="271"/>
        <v>0</v>
      </c>
    </row>
    <row r="8154" spans="76:77" x14ac:dyDescent="0.2">
      <c r="BX8154" s="214" t="e">
        <f t="shared" si="270"/>
        <v>#DIV/0!</v>
      </c>
      <c r="BY8154" s="215">
        <f t="shared" si="271"/>
        <v>0</v>
      </c>
    </row>
    <row r="8155" spans="76:77" x14ac:dyDescent="0.2">
      <c r="BX8155" s="214" t="e">
        <f t="shared" si="270"/>
        <v>#DIV/0!</v>
      </c>
      <c r="BY8155" s="215">
        <f t="shared" si="271"/>
        <v>0</v>
      </c>
    </row>
    <row r="8156" spans="76:77" x14ac:dyDescent="0.2">
      <c r="BX8156" s="214" t="e">
        <f t="shared" si="270"/>
        <v>#DIV/0!</v>
      </c>
      <c r="BY8156" s="215">
        <f t="shared" si="271"/>
        <v>0</v>
      </c>
    </row>
    <row r="8157" spans="76:77" x14ac:dyDescent="0.2">
      <c r="BX8157" s="214" t="e">
        <f t="shared" si="270"/>
        <v>#DIV/0!</v>
      </c>
      <c r="BY8157" s="215">
        <f t="shared" si="271"/>
        <v>0</v>
      </c>
    </row>
    <row r="8158" spans="76:77" x14ac:dyDescent="0.2">
      <c r="BX8158" s="214" t="e">
        <f t="shared" si="270"/>
        <v>#DIV/0!</v>
      </c>
      <c r="BY8158" s="215">
        <f t="shared" si="271"/>
        <v>0</v>
      </c>
    </row>
    <row r="8159" spans="76:77" x14ac:dyDescent="0.2">
      <c r="BX8159" s="214" t="e">
        <f t="shared" si="270"/>
        <v>#DIV/0!</v>
      </c>
      <c r="BY8159" s="215">
        <f t="shared" si="271"/>
        <v>0</v>
      </c>
    </row>
    <row r="8160" spans="76:77" x14ac:dyDescent="0.2">
      <c r="BX8160" s="214" t="e">
        <f t="shared" si="270"/>
        <v>#DIV/0!</v>
      </c>
      <c r="BY8160" s="215">
        <f t="shared" si="271"/>
        <v>0</v>
      </c>
    </row>
    <row r="8161" spans="76:77" x14ac:dyDescent="0.2">
      <c r="BX8161" s="214" t="e">
        <f t="shared" si="270"/>
        <v>#DIV/0!</v>
      </c>
      <c r="BY8161" s="215">
        <f t="shared" si="271"/>
        <v>0</v>
      </c>
    </row>
    <row r="8162" spans="76:77" x14ac:dyDescent="0.2">
      <c r="BX8162" s="214" t="e">
        <f t="shared" si="270"/>
        <v>#DIV/0!</v>
      </c>
      <c r="BY8162" s="215">
        <f t="shared" si="271"/>
        <v>0</v>
      </c>
    </row>
    <row r="8163" spans="76:77" x14ac:dyDescent="0.2">
      <c r="BX8163" s="214" t="e">
        <f t="shared" si="270"/>
        <v>#DIV/0!</v>
      </c>
      <c r="BY8163" s="215">
        <f t="shared" si="271"/>
        <v>0</v>
      </c>
    </row>
    <row r="8164" spans="76:77" x14ac:dyDescent="0.2">
      <c r="BX8164" s="214" t="e">
        <f t="shared" si="270"/>
        <v>#DIV/0!</v>
      </c>
      <c r="BY8164" s="215">
        <f t="shared" si="271"/>
        <v>0</v>
      </c>
    </row>
    <row r="8165" spans="76:77" x14ac:dyDescent="0.2">
      <c r="BX8165" s="214" t="e">
        <f t="shared" si="270"/>
        <v>#DIV/0!</v>
      </c>
      <c r="BY8165" s="215">
        <f t="shared" si="271"/>
        <v>0</v>
      </c>
    </row>
    <row r="8166" spans="76:77" x14ac:dyDescent="0.2">
      <c r="BX8166" s="214" t="e">
        <f t="shared" si="270"/>
        <v>#DIV/0!</v>
      </c>
      <c r="BY8166" s="215">
        <f t="shared" si="271"/>
        <v>0</v>
      </c>
    </row>
    <row r="8167" spans="76:77" x14ac:dyDescent="0.2">
      <c r="BX8167" s="214" t="e">
        <f t="shared" si="270"/>
        <v>#DIV/0!</v>
      </c>
      <c r="BY8167" s="215">
        <f t="shared" si="271"/>
        <v>0</v>
      </c>
    </row>
    <row r="8168" spans="76:77" x14ac:dyDescent="0.2">
      <c r="BX8168" s="214" t="e">
        <f t="shared" si="270"/>
        <v>#DIV/0!</v>
      </c>
      <c r="BY8168" s="215">
        <f t="shared" si="271"/>
        <v>0</v>
      </c>
    </row>
    <row r="8169" spans="76:77" x14ac:dyDescent="0.2">
      <c r="BX8169" s="214" t="e">
        <f t="shared" si="270"/>
        <v>#DIV/0!</v>
      </c>
      <c r="BY8169" s="215">
        <f t="shared" si="271"/>
        <v>0</v>
      </c>
    </row>
    <row r="8170" spans="76:77" x14ac:dyDescent="0.2">
      <c r="BX8170" s="214" t="e">
        <f t="shared" si="270"/>
        <v>#DIV/0!</v>
      </c>
      <c r="BY8170" s="215">
        <f t="shared" si="271"/>
        <v>0</v>
      </c>
    </row>
    <row r="8171" spans="76:77" x14ac:dyDescent="0.2">
      <c r="BX8171" s="214" t="e">
        <f t="shared" si="270"/>
        <v>#DIV/0!</v>
      </c>
      <c r="BY8171" s="215">
        <f t="shared" si="271"/>
        <v>0</v>
      </c>
    </row>
    <row r="8172" spans="76:77" x14ac:dyDescent="0.2">
      <c r="BX8172" s="214" t="e">
        <f t="shared" si="270"/>
        <v>#DIV/0!</v>
      </c>
      <c r="BY8172" s="215">
        <f t="shared" si="271"/>
        <v>0</v>
      </c>
    </row>
    <row r="8173" spans="76:77" x14ac:dyDescent="0.2">
      <c r="BX8173" s="214" t="e">
        <f t="shared" si="270"/>
        <v>#DIV/0!</v>
      </c>
      <c r="BY8173" s="215">
        <f t="shared" si="271"/>
        <v>0</v>
      </c>
    </row>
    <row r="8174" spans="76:77" x14ac:dyDescent="0.2">
      <c r="BX8174" s="214" t="e">
        <f t="shared" si="270"/>
        <v>#DIV/0!</v>
      </c>
      <c r="BY8174" s="215">
        <f t="shared" si="271"/>
        <v>0</v>
      </c>
    </row>
    <row r="8175" spans="76:77" x14ac:dyDescent="0.2">
      <c r="BX8175" s="214" t="e">
        <f t="shared" si="270"/>
        <v>#DIV/0!</v>
      </c>
      <c r="BY8175" s="215">
        <f t="shared" si="271"/>
        <v>0</v>
      </c>
    </row>
    <row r="8176" spans="76:77" x14ac:dyDescent="0.2">
      <c r="BX8176" s="214" t="e">
        <f t="shared" si="270"/>
        <v>#DIV/0!</v>
      </c>
      <c r="BY8176" s="215">
        <f t="shared" si="271"/>
        <v>0</v>
      </c>
    </row>
    <row r="8177" spans="76:77" x14ac:dyDescent="0.2">
      <c r="BX8177" s="214" t="e">
        <f t="shared" si="270"/>
        <v>#DIV/0!</v>
      </c>
      <c r="BY8177" s="215">
        <f t="shared" si="271"/>
        <v>0</v>
      </c>
    </row>
    <row r="8178" spans="76:77" x14ac:dyDescent="0.2">
      <c r="BX8178" s="214" t="e">
        <f t="shared" si="270"/>
        <v>#DIV/0!</v>
      </c>
      <c r="BY8178" s="215">
        <f t="shared" si="271"/>
        <v>0</v>
      </c>
    </row>
    <row r="8179" spans="76:77" x14ac:dyDescent="0.2">
      <c r="BX8179" s="214" t="e">
        <f t="shared" si="270"/>
        <v>#DIV/0!</v>
      </c>
      <c r="BY8179" s="215">
        <f t="shared" si="271"/>
        <v>0</v>
      </c>
    </row>
    <row r="8180" spans="76:77" x14ac:dyDescent="0.2">
      <c r="BX8180" s="214" t="e">
        <f t="shared" si="270"/>
        <v>#DIV/0!</v>
      </c>
      <c r="BY8180" s="215">
        <f t="shared" si="271"/>
        <v>0</v>
      </c>
    </row>
    <row r="8181" spans="76:77" x14ac:dyDescent="0.2">
      <c r="BX8181" s="214" t="e">
        <f t="shared" si="270"/>
        <v>#DIV/0!</v>
      </c>
      <c r="BY8181" s="215">
        <f t="shared" si="271"/>
        <v>0</v>
      </c>
    </row>
    <row r="8182" spans="76:77" x14ac:dyDescent="0.2">
      <c r="BX8182" s="214" t="e">
        <f t="shared" si="270"/>
        <v>#DIV/0!</v>
      </c>
      <c r="BY8182" s="215">
        <f t="shared" si="271"/>
        <v>0</v>
      </c>
    </row>
    <row r="8183" spans="76:77" x14ac:dyDescent="0.2">
      <c r="BX8183" s="214" t="e">
        <f t="shared" si="270"/>
        <v>#DIV/0!</v>
      </c>
      <c r="BY8183" s="215">
        <f t="shared" si="271"/>
        <v>0</v>
      </c>
    </row>
    <row r="8184" spans="76:77" x14ac:dyDescent="0.2">
      <c r="BX8184" s="214" t="e">
        <f t="shared" si="270"/>
        <v>#DIV/0!</v>
      </c>
      <c r="BY8184" s="215">
        <f t="shared" si="271"/>
        <v>0</v>
      </c>
    </row>
    <row r="8185" spans="76:77" x14ac:dyDescent="0.2">
      <c r="BX8185" s="214" t="e">
        <f t="shared" si="270"/>
        <v>#DIV/0!</v>
      </c>
      <c r="BY8185" s="215">
        <f t="shared" si="271"/>
        <v>0</v>
      </c>
    </row>
    <row r="8186" spans="76:77" x14ac:dyDescent="0.2">
      <c r="BX8186" s="214" t="e">
        <f t="shared" si="270"/>
        <v>#DIV/0!</v>
      </c>
      <c r="BY8186" s="215">
        <f t="shared" si="271"/>
        <v>0</v>
      </c>
    </row>
    <row r="8187" spans="76:77" x14ac:dyDescent="0.2">
      <c r="BX8187" s="214" t="e">
        <f t="shared" si="270"/>
        <v>#DIV/0!</v>
      </c>
      <c r="BY8187" s="215">
        <f t="shared" si="271"/>
        <v>0</v>
      </c>
    </row>
    <row r="8188" spans="76:77" x14ac:dyDescent="0.2">
      <c r="BX8188" s="214" t="e">
        <f t="shared" si="270"/>
        <v>#DIV/0!</v>
      </c>
      <c r="BY8188" s="215">
        <f t="shared" si="271"/>
        <v>0</v>
      </c>
    </row>
    <row r="8189" spans="76:77" x14ac:dyDescent="0.2">
      <c r="BX8189" s="214" t="e">
        <f t="shared" si="270"/>
        <v>#DIV/0!</v>
      </c>
      <c r="BY8189" s="215">
        <f t="shared" si="271"/>
        <v>0</v>
      </c>
    </row>
    <row r="8190" spans="76:77" x14ac:dyDescent="0.2">
      <c r="BX8190" s="214" t="e">
        <f t="shared" si="270"/>
        <v>#DIV/0!</v>
      </c>
      <c r="BY8190" s="215">
        <f t="shared" si="271"/>
        <v>0</v>
      </c>
    </row>
    <row r="8191" spans="76:77" x14ac:dyDescent="0.2">
      <c r="BX8191" s="214" t="e">
        <f t="shared" si="270"/>
        <v>#DIV/0!</v>
      </c>
      <c r="BY8191" s="215">
        <f t="shared" si="271"/>
        <v>0</v>
      </c>
    </row>
    <row r="8192" spans="76:77" x14ac:dyDescent="0.2">
      <c r="BX8192" s="214" t="e">
        <f t="shared" si="270"/>
        <v>#DIV/0!</v>
      </c>
      <c r="BY8192" s="215">
        <f t="shared" si="271"/>
        <v>0</v>
      </c>
    </row>
    <row r="8193" spans="76:77" x14ac:dyDescent="0.2">
      <c r="BX8193" s="214" t="e">
        <f t="shared" si="270"/>
        <v>#DIV/0!</v>
      </c>
      <c r="BY8193" s="215">
        <f t="shared" si="271"/>
        <v>0</v>
      </c>
    </row>
    <row r="8194" spans="76:77" x14ac:dyDescent="0.2">
      <c r="BX8194" s="214" t="e">
        <f t="shared" si="270"/>
        <v>#DIV/0!</v>
      </c>
      <c r="BY8194" s="215">
        <f t="shared" si="271"/>
        <v>0</v>
      </c>
    </row>
    <row r="8195" spans="76:77" x14ac:dyDescent="0.2">
      <c r="BX8195" s="214" t="e">
        <f t="shared" si="270"/>
        <v>#DIV/0!</v>
      </c>
      <c r="BY8195" s="215">
        <f t="shared" si="271"/>
        <v>0</v>
      </c>
    </row>
    <row r="8196" spans="76:77" x14ac:dyDescent="0.2">
      <c r="BX8196" s="214" t="e">
        <f t="shared" si="270"/>
        <v>#DIV/0!</v>
      </c>
      <c r="BY8196" s="215">
        <f t="shared" si="271"/>
        <v>0</v>
      </c>
    </row>
    <row r="8197" spans="76:77" x14ac:dyDescent="0.2">
      <c r="BX8197" s="214" t="e">
        <f t="shared" si="270"/>
        <v>#DIV/0!</v>
      </c>
      <c r="BY8197" s="215">
        <f t="shared" si="271"/>
        <v>0</v>
      </c>
    </row>
    <row r="8198" spans="76:77" x14ac:dyDescent="0.2">
      <c r="BX8198" s="214" t="e">
        <f t="shared" si="270"/>
        <v>#DIV/0!</v>
      </c>
      <c r="BY8198" s="215">
        <f t="shared" si="271"/>
        <v>0</v>
      </c>
    </row>
    <row r="8199" spans="76:77" x14ac:dyDescent="0.2">
      <c r="BX8199" s="214" t="e">
        <f t="shared" si="270"/>
        <v>#DIV/0!</v>
      </c>
      <c r="BY8199" s="215">
        <f t="shared" si="271"/>
        <v>0</v>
      </c>
    </row>
    <row r="8200" spans="76:77" x14ac:dyDescent="0.2">
      <c r="BX8200" s="214" t="e">
        <f t="shared" si="270"/>
        <v>#DIV/0!</v>
      </c>
      <c r="BY8200" s="215">
        <f t="shared" si="271"/>
        <v>0</v>
      </c>
    </row>
    <row r="8201" spans="76:77" x14ac:dyDescent="0.2">
      <c r="BX8201" s="214" t="e">
        <f t="shared" si="270"/>
        <v>#DIV/0!</v>
      </c>
      <c r="BY8201" s="215">
        <f t="shared" si="271"/>
        <v>0</v>
      </c>
    </row>
    <row r="8202" spans="76:77" x14ac:dyDescent="0.2">
      <c r="BX8202" s="214" t="e">
        <f t="shared" si="270"/>
        <v>#DIV/0!</v>
      </c>
      <c r="BY8202" s="215">
        <f t="shared" si="271"/>
        <v>0</v>
      </c>
    </row>
    <row r="8203" spans="76:77" x14ac:dyDescent="0.2">
      <c r="BX8203" s="214" t="e">
        <f t="shared" si="270"/>
        <v>#DIV/0!</v>
      </c>
      <c r="BY8203" s="215">
        <f t="shared" si="271"/>
        <v>0</v>
      </c>
    </row>
    <row r="8204" spans="76:77" x14ac:dyDescent="0.2">
      <c r="BX8204" s="214" t="e">
        <f t="shared" si="270"/>
        <v>#DIV/0!</v>
      </c>
      <c r="BY8204" s="215">
        <f t="shared" si="271"/>
        <v>0</v>
      </c>
    </row>
    <row r="8205" spans="76:77" x14ac:dyDescent="0.2">
      <c r="BX8205" s="214" t="e">
        <f t="shared" ref="BX8205:BX8268" si="272">BY8205/BV8205</f>
        <v>#DIV/0!</v>
      </c>
      <c r="BY8205" s="215">
        <f t="shared" si="271"/>
        <v>0</v>
      </c>
    </row>
    <row r="8206" spans="76:77" x14ac:dyDescent="0.2">
      <c r="BX8206" s="214" t="e">
        <f t="shared" si="272"/>
        <v>#DIV/0!</v>
      </c>
      <c r="BY8206" s="215">
        <f t="shared" ref="BY8206:BY8269" si="273">BY8205+BW8206*(BV8206-BV8205)</f>
        <v>0</v>
      </c>
    </row>
    <row r="8207" spans="76:77" x14ac:dyDescent="0.2">
      <c r="BX8207" s="214" t="e">
        <f t="shared" si="272"/>
        <v>#DIV/0!</v>
      </c>
      <c r="BY8207" s="215">
        <f t="shared" si="273"/>
        <v>0</v>
      </c>
    </row>
    <row r="8208" spans="76:77" x14ac:dyDescent="0.2">
      <c r="BX8208" s="214" t="e">
        <f t="shared" si="272"/>
        <v>#DIV/0!</v>
      </c>
      <c r="BY8208" s="215">
        <f t="shared" si="273"/>
        <v>0</v>
      </c>
    </row>
    <row r="8209" spans="76:77" x14ac:dyDescent="0.2">
      <c r="BX8209" s="214" t="e">
        <f t="shared" si="272"/>
        <v>#DIV/0!</v>
      </c>
      <c r="BY8209" s="215">
        <f t="shared" si="273"/>
        <v>0</v>
      </c>
    </row>
    <row r="8210" spans="76:77" x14ac:dyDescent="0.2">
      <c r="BX8210" s="214" t="e">
        <f t="shared" si="272"/>
        <v>#DIV/0!</v>
      </c>
      <c r="BY8210" s="215">
        <f t="shared" si="273"/>
        <v>0</v>
      </c>
    </row>
    <row r="8211" spans="76:77" x14ac:dyDescent="0.2">
      <c r="BX8211" s="214" t="e">
        <f t="shared" si="272"/>
        <v>#DIV/0!</v>
      </c>
      <c r="BY8211" s="215">
        <f t="shared" si="273"/>
        <v>0</v>
      </c>
    </row>
    <row r="8212" spans="76:77" x14ac:dyDescent="0.2">
      <c r="BX8212" s="214" t="e">
        <f t="shared" si="272"/>
        <v>#DIV/0!</v>
      </c>
      <c r="BY8212" s="215">
        <f t="shared" si="273"/>
        <v>0</v>
      </c>
    </row>
    <row r="8213" spans="76:77" x14ac:dyDescent="0.2">
      <c r="BX8213" s="214" t="e">
        <f t="shared" si="272"/>
        <v>#DIV/0!</v>
      </c>
      <c r="BY8213" s="215">
        <f t="shared" si="273"/>
        <v>0</v>
      </c>
    </row>
    <row r="8214" spans="76:77" x14ac:dyDescent="0.2">
      <c r="BX8214" s="214" t="e">
        <f t="shared" si="272"/>
        <v>#DIV/0!</v>
      </c>
      <c r="BY8214" s="215">
        <f t="shared" si="273"/>
        <v>0</v>
      </c>
    </row>
    <row r="8215" spans="76:77" x14ac:dyDescent="0.2">
      <c r="BX8215" s="214" t="e">
        <f t="shared" si="272"/>
        <v>#DIV/0!</v>
      </c>
      <c r="BY8215" s="215">
        <f t="shared" si="273"/>
        <v>0</v>
      </c>
    </row>
    <row r="8216" spans="76:77" x14ac:dyDescent="0.2">
      <c r="BX8216" s="214" t="e">
        <f t="shared" si="272"/>
        <v>#DIV/0!</v>
      </c>
      <c r="BY8216" s="215">
        <f t="shared" si="273"/>
        <v>0</v>
      </c>
    </row>
    <row r="8217" spans="76:77" x14ac:dyDescent="0.2">
      <c r="BX8217" s="214" t="e">
        <f t="shared" si="272"/>
        <v>#DIV/0!</v>
      </c>
      <c r="BY8217" s="215">
        <f t="shared" si="273"/>
        <v>0</v>
      </c>
    </row>
    <row r="8218" spans="76:77" x14ac:dyDescent="0.2">
      <c r="BX8218" s="214" t="e">
        <f t="shared" si="272"/>
        <v>#DIV/0!</v>
      </c>
      <c r="BY8218" s="215">
        <f t="shared" si="273"/>
        <v>0</v>
      </c>
    </row>
    <row r="8219" spans="76:77" x14ac:dyDescent="0.2">
      <c r="BX8219" s="214" t="e">
        <f t="shared" si="272"/>
        <v>#DIV/0!</v>
      </c>
      <c r="BY8219" s="215">
        <f t="shared" si="273"/>
        <v>0</v>
      </c>
    </row>
    <row r="8220" spans="76:77" x14ac:dyDescent="0.2">
      <c r="BX8220" s="214" t="e">
        <f t="shared" si="272"/>
        <v>#DIV/0!</v>
      </c>
      <c r="BY8220" s="215">
        <f t="shared" si="273"/>
        <v>0</v>
      </c>
    </row>
    <row r="8221" spans="76:77" x14ac:dyDescent="0.2">
      <c r="BX8221" s="214" t="e">
        <f t="shared" si="272"/>
        <v>#DIV/0!</v>
      </c>
      <c r="BY8221" s="215">
        <f t="shared" si="273"/>
        <v>0</v>
      </c>
    </row>
    <row r="8222" spans="76:77" x14ac:dyDescent="0.2">
      <c r="BX8222" s="214" t="e">
        <f t="shared" si="272"/>
        <v>#DIV/0!</v>
      </c>
      <c r="BY8222" s="215">
        <f t="shared" si="273"/>
        <v>0</v>
      </c>
    </row>
    <row r="8223" spans="76:77" x14ac:dyDescent="0.2">
      <c r="BX8223" s="214" t="e">
        <f t="shared" si="272"/>
        <v>#DIV/0!</v>
      </c>
      <c r="BY8223" s="215">
        <f t="shared" si="273"/>
        <v>0</v>
      </c>
    </row>
    <row r="8224" spans="76:77" x14ac:dyDescent="0.2">
      <c r="BX8224" s="214" t="e">
        <f t="shared" si="272"/>
        <v>#DIV/0!</v>
      </c>
      <c r="BY8224" s="215">
        <f t="shared" si="273"/>
        <v>0</v>
      </c>
    </row>
    <row r="8225" spans="76:77" x14ac:dyDescent="0.2">
      <c r="BX8225" s="214" t="e">
        <f t="shared" si="272"/>
        <v>#DIV/0!</v>
      </c>
      <c r="BY8225" s="215">
        <f t="shared" si="273"/>
        <v>0</v>
      </c>
    </row>
    <row r="8226" spans="76:77" x14ac:dyDescent="0.2">
      <c r="BX8226" s="214" t="e">
        <f t="shared" si="272"/>
        <v>#DIV/0!</v>
      </c>
      <c r="BY8226" s="215">
        <f t="shared" si="273"/>
        <v>0</v>
      </c>
    </row>
    <row r="8227" spans="76:77" x14ac:dyDescent="0.2">
      <c r="BX8227" s="214" t="e">
        <f t="shared" si="272"/>
        <v>#DIV/0!</v>
      </c>
      <c r="BY8227" s="215">
        <f t="shared" si="273"/>
        <v>0</v>
      </c>
    </row>
    <row r="8228" spans="76:77" x14ac:dyDescent="0.2">
      <c r="BX8228" s="214" t="e">
        <f t="shared" si="272"/>
        <v>#DIV/0!</v>
      </c>
      <c r="BY8228" s="215">
        <f t="shared" si="273"/>
        <v>0</v>
      </c>
    </row>
    <row r="8229" spans="76:77" x14ac:dyDescent="0.2">
      <c r="BX8229" s="214" t="e">
        <f t="shared" si="272"/>
        <v>#DIV/0!</v>
      </c>
      <c r="BY8229" s="215">
        <f t="shared" si="273"/>
        <v>0</v>
      </c>
    </row>
    <row r="8230" spans="76:77" x14ac:dyDescent="0.2">
      <c r="BX8230" s="214" t="e">
        <f t="shared" si="272"/>
        <v>#DIV/0!</v>
      </c>
      <c r="BY8230" s="215">
        <f t="shared" si="273"/>
        <v>0</v>
      </c>
    </row>
    <row r="8231" spans="76:77" x14ac:dyDescent="0.2">
      <c r="BX8231" s="214" t="e">
        <f t="shared" si="272"/>
        <v>#DIV/0!</v>
      </c>
      <c r="BY8231" s="215">
        <f t="shared" si="273"/>
        <v>0</v>
      </c>
    </row>
    <row r="8232" spans="76:77" x14ac:dyDescent="0.2">
      <c r="BX8232" s="214" t="e">
        <f t="shared" si="272"/>
        <v>#DIV/0!</v>
      </c>
      <c r="BY8232" s="215">
        <f t="shared" si="273"/>
        <v>0</v>
      </c>
    </row>
    <row r="8233" spans="76:77" x14ac:dyDescent="0.2">
      <c r="BX8233" s="214" t="e">
        <f t="shared" si="272"/>
        <v>#DIV/0!</v>
      </c>
      <c r="BY8233" s="215">
        <f t="shared" si="273"/>
        <v>0</v>
      </c>
    </row>
    <row r="8234" spans="76:77" x14ac:dyDescent="0.2">
      <c r="BX8234" s="214" t="e">
        <f t="shared" si="272"/>
        <v>#DIV/0!</v>
      </c>
      <c r="BY8234" s="215">
        <f t="shared" si="273"/>
        <v>0</v>
      </c>
    </row>
    <row r="8235" spans="76:77" x14ac:dyDescent="0.2">
      <c r="BX8235" s="214" t="e">
        <f t="shared" si="272"/>
        <v>#DIV/0!</v>
      </c>
      <c r="BY8235" s="215">
        <f t="shared" si="273"/>
        <v>0</v>
      </c>
    </row>
    <row r="8236" spans="76:77" x14ac:dyDescent="0.2">
      <c r="BX8236" s="214" t="e">
        <f t="shared" si="272"/>
        <v>#DIV/0!</v>
      </c>
      <c r="BY8236" s="215">
        <f t="shared" si="273"/>
        <v>0</v>
      </c>
    </row>
    <row r="8237" spans="76:77" x14ac:dyDescent="0.2">
      <c r="BX8237" s="214" t="e">
        <f t="shared" si="272"/>
        <v>#DIV/0!</v>
      </c>
      <c r="BY8237" s="215">
        <f t="shared" si="273"/>
        <v>0</v>
      </c>
    </row>
    <row r="8238" spans="76:77" x14ac:dyDescent="0.2">
      <c r="BX8238" s="214" t="e">
        <f t="shared" si="272"/>
        <v>#DIV/0!</v>
      </c>
      <c r="BY8238" s="215">
        <f t="shared" si="273"/>
        <v>0</v>
      </c>
    </row>
    <row r="8239" spans="76:77" x14ac:dyDescent="0.2">
      <c r="BX8239" s="214" t="e">
        <f t="shared" si="272"/>
        <v>#DIV/0!</v>
      </c>
      <c r="BY8239" s="215">
        <f t="shared" si="273"/>
        <v>0</v>
      </c>
    </row>
    <row r="8240" spans="76:77" x14ac:dyDescent="0.2">
      <c r="BX8240" s="214" t="e">
        <f t="shared" si="272"/>
        <v>#DIV/0!</v>
      </c>
      <c r="BY8240" s="215">
        <f t="shared" si="273"/>
        <v>0</v>
      </c>
    </row>
    <row r="8241" spans="76:77" x14ac:dyDescent="0.2">
      <c r="BX8241" s="214" t="e">
        <f t="shared" si="272"/>
        <v>#DIV/0!</v>
      </c>
      <c r="BY8241" s="215">
        <f t="shared" si="273"/>
        <v>0</v>
      </c>
    </row>
    <row r="8242" spans="76:77" x14ac:dyDescent="0.2">
      <c r="BX8242" s="214" t="e">
        <f t="shared" si="272"/>
        <v>#DIV/0!</v>
      </c>
      <c r="BY8242" s="215">
        <f t="shared" si="273"/>
        <v>0</v>
      </c>
    </row>
    <row r="8243" spans="76:77" x14ac:dyDescent="0.2">
      <c r="BX8243" s="214" t="e">
        <f t="shared" si="272"/>
        <v>#DIV/0!</v>
      </c>
      <c r="BY8243" s="215">
        <f t="shared" si="273"/>
        <v>0</v>
      </c>
    </row>
    <row r="8244" spans="76:77" x14ac:dyDescent="0.2">
      <c r="BX8244" s="214" t="e">
        <f t="shared" si="272"/>
        <v>#DIV/0!</v>
      </c>
      <c r="BY8244" s="215">
        <f t="shared" si="273"/>
        <v>0</v>
      </c>
    </row>
    <row r="8245" spans="76:77" x14ac:dyDescent="0.2">
      <c r="BX8245" s="214" t="e">
        <f t="shared" si="272"/>
        <v>#DIV/0!</v>
      </c>
      <c r="BY8245" s="215">
        <f t="shared" si="273"/>
        <v>0</v>
      </c>
    </row>
    <row r="8246" spans="76:77" x14ac:dyDescent="0.2">
      <c r="BX8246" s="214" t="e">
        <f t="shared" si="272"/>
        <v>#DIV/0!</v>
      </c>
      <c r="BY8246" s="215">
        <f t="shared" si="273"/>
        <v>0</v>
      </c>
    </row>
    <row r="8247" spans="76:77" x14ac:dyDescent="0.2">
      <c r="BX8247" s="214" t="e">
        <f t="shared" si="272"/>
        <v>#DIV/0!</v>
      </c>
      <c r="BY8247" s="215">
        <f t="shared" si="273"/>
        <v>0</v>
      </c>
    </row>
    <row r="8248" spans="76:77" x14ac:dyDescent="0.2">
      <c r="BX8248" s="214" t="e">
        <f t="shared" si="272"/>
        <v>#DIV/0!</v>
      </c>
      <c r="BY8248" s="215">
        <f t="shared" si="273"/>
        <v>0</v>
      </c>
    </row>
    <row r="8249" spans="76:77" x14ac:dyDescent="0.2">
      <c r="BX8249" s="214" t="e">
        <f t="shared" si="272"/>
        <v>#DIV/0!</v>
      </c>
      <c r="BY8249" s="215">
        <f t="shared" si="273"/>
        <v>0</v>
      </c>
    </row>
    <row r="8250" spans="76:77" x14ac:dyDescent="0.2">
      <c r="BX8250" s="214" t="e">
        <f t="shared" si="272"/>
        <v>#DIV/0!</v>
      </c>
      <c r="BY8250" s="215">
        <f t="shared" si="273"/>
        <v>0</v>
      </c>
    </row>
    <row r="8251" spans="76:77" x14ac:dyDescent="0.2">
      <c r="BX8251" s="214" t="e">
        <f t="shared" si="272"/>
        <v>#DIV/0!</v>
      </c>
      <c r="BY8251" s="215">
        <f t="shared" si="273"/>
        <v>0</v>
      </c>
    </row>
    <row r="8252" spans="76:77" x14ac:dyDescent="0.2">
      <c r="BX8252" s="214" t="e">
        <f t="shared" si="272"/>
        <v>#DIV/0!</v>
      </c>
      <c r="BY8252" s="215">
        <f t="shared" si="273"/>
        <v>0</v>
      </c>
    </row>
    <row r="8253" spans="76:77" x14ac:dyDescent="0.2">
      <c r="BX8253" s="214" t="e">
        <f t="shared" si="272"/>
        <v>#DIV/0!</v>
      </c>
      <c r="BY8253" s="215">
        <f t="shared" si="273"/>
        <v>0</v>
      </c>
    </row>
    <row r="8254" spans="76:77" x14ac:dyDescent="0.2">
      <c r="BX8254" s="214" t="e">
        <f t="shared" si="272"/>
        <v>#DIV/0!</v>
      </c>
      <c r="BY8254" s="215">
        <f t="shared" si="273"/>
        <v>0</v>
      </c>
    </row>
    <row r="8255" spans="76:77" x14ac:dyDescent="0.2">
      <c r="BX8255" s="214" t="e">
        <f t="shared" si="272"/>
        <v>#DIV/0!</v>
      </c>
      <c r="BY8255" s="215">
        <f t="shared" si="273"/>
        <v>0</v>
      </c>
    </row>
    <row r="8256" spans="76:77" x14ac:dyDescent="0.2">
      <c r="BX8256" s="214" t="e">
        <f t="shared" si="272"/>
        <v>#DIV/0!</v>
      </c>
      <c r="BY8256" s="215">
        <f t="shared" si="273"/>
        <v>0</v>
      </c>
    </row>
    <row r="8257" spans="76:77" x14ac:dyDescent="0.2">
      <c r="BX8257" s="214" t="e">
        <f t="shared" si="272"/>
        <v>#DIV/0!</v>
      </c>
      <c r="BY8257" s="215">
        <f t="shared" si="273"/>
        <v>0</v>
      </c>
    </row>
    <row r="8258" spans="76:77" x14ac:dyDescent="0.2">
      <c r="BX8258" s="214" t="e">
        <f t="shared" si="272"/>
        <v>#DIV/0!</v>
      </c>
      <c r="BY8258" s="215">
        <f t="shared" si="273"/>
        <v>0</v>
      </c>
    </row>
    <row r="8259" spans="76:77" x14ac:dyDescent="0.2">
      <c r="BX8259" s="214" t="e">
        <f t="shared" si="272"/>
        <v>#DIV/0!</v>
      </c>
      <c r="BY8259" s="215">
        <f t="shared" si="273"/>
        <v>0</v>
      </c>
    </row>
    <row r="8260" spans="76:77" x14ac:dyDescent="0.2">
      <c r="BX8260" s="214" t="e">
        <f t="shared" si="272"/>
        <v>#DIV/0!</v>
      </c>
      <c r="BY8260" s="215">
        <f t="shared" si="273"/>
        <v>0</v>
      </c>
    </row>
    <row r="8261" spans="76:77" x14ac:dyDescent="0.2">
      <c r="BX8261" s="214" t="e">
        <f t="shared" si="272"/>
        <v>#DIV/0!</v>
      </c>
      <c r="BY8261" s="215">
        <f t="shared" si="273"/>
        <v>0</v>
      </c>
    </row>
    <row r="8262" spans="76:77" x14ac:dyDescent="0.2">
      <c r="BX8262" s="214" t="e">
        <f t="shared" si="272"/>
        <v>#DIV/0!</v>
      </c>
      <c r="BY8262" s="215">
        <f t="shared" si="273"/>
        <v>0</v>
      </c>
    </row>
    <row r="8263" spans="76:77" x14ac:dyDescent="0.2">
      <c r="BX8263" s="214" t="e">
        <f t="shared" si="272"/>
        <v>#DIV/0!</v>
      </c>
      <c r="BY8263" s="215">
        <f t="shared" si="273"/>
        <v>0</v>
      </c>
    </row>
    <row r="8264" spans="76:77" x14ac:dyDescent="0.2">
      <c r="BX8264" s="214" t="e">
        <f t="shared" si="272"/>
        <v>#DIV/0!</v>
      </c>
      <c r="BY8264" s="215">
        <f t="shared" si="273"/>
        <v>0</v>
      </c>
    </row>
    <row r="8265" spans="76:77" x14ac:dyDescent="0.2">
      <c r="BX8265" s="214" t="e">
        <f t="shared" si="272"/>
        <v>#DIV/0!</v>
      </c>
      <c r="BY8265" s="215">
        <f t="shared" si="273"/>
        <v>0</v>
      </c>
    </row>
    <row r="8266" spans="76:77" x14ac:dyDescent="0.2">
      <c r="BX8266" s="214" t="e">
        <f t="shared" si="272"/>
        <v>#DIV/0!</v>
      </c>
      <c r="BY8266" s="215">
        <f t="shared" si="273"/>
        <v>0</v>
      </c>
    </row>
    <row r="8267" spans="76:77" x14ac:dyDescent="0.2">
      <c r="BX8267" s="214" t="e">
        <f t="shared" si="272"/>
        <v>#DIV/0!</v>
      </c>
      <c r="BY8267" s="215">
        <f t="shared" si="273"/>
        <v>0</v>
      </c>
    </row>
    <row r="8268" spans="76:77" x14ac:dyDescent="0.2">
      <c r="BX8268" s="214" t="e">
        <f t="shared" si="272"/>
        <v>#DIV/0!</v>
      </c>
      <c r="BY8268" s="215">
        <f t="shared" si="273"/>
        <v>0</v>
      </c>
    </row>
    <row r="8269" spans="76:77" x14ac:dyDescent="0.2">
      <c r="BX8269" s="214" t="e">
        <f t="shared" ref="BX8269:BX8332" si="274">BY8269/BV8269</f>
        <v>#DIV/0!</v>
      </c>
      <c r="BY8269" s="215">
        <f t="shared" si="273"/>
        <v>0</v>
      </c>
    </row>
    <row r="8270" spans="76:77" x14ac:dyDescent="0.2">
      <c r="BX8270" s="214" t="e">
        <f t="shared" si="274"/>
        <v>#DIV/0!</v>
      </c>
      <c r="BY8270" s="215">
        <f t="shared" ref="BY8270:BY8333" si="275">BY8269+BW8270*(BV8270-BV8269)</f>
        <v>0</v>
      </c>
    </row>
    <row r="8271" spans="76:77" x14ac:dyDescent="0.2">
      <c r="BX8271" s="214" t="e">
        <f t="shared" si="274"/>
        <v>#DIV/0!</v>
      </c>
      <c r="BY8271" s="215">
        <f t="shared" si="275"/>
        <v>0</v>
      </c>
    </row>
    <row r="8272" spans="76:77" x14ac:dyDescent="0.2">
      <c r="BX8272" s="214" t="e">
        <f t="shared" si="274"/>
        <v>#DIV/0!</v>
      </c>
      <c r="BY8272" s="215">
        <f t="shared" si="275"/>
        <v>0</v>
      </c>
    </row>
    <row r="8273" spans="76:77" x14ac:dyDescent="0.2">
      <c r="BX8273" s="214" t="e">
        <f t="shared" si="274"/>
        <v>#DIV/0!</v>
      </c>
      <c r="BY8273" s="215">
        <f t="shared" si="275"/>
        <v>0</v>
      </c>
    </row>
    <row r="8274" spans="76:77" x14ac:dyDescent="0.2">
      <c r="BX8274" s="214" t="e">
        <f t="shared" si="274"/>
        <v>#DIV/0!</v>
      </c>
      <c r="BY8274" s="215">
        <f t="shared" si="275"/>
        <v>0</v>
      </c>
    </row>
    <row r="8275" spans="76:77" x14ac:dyDescent="0.2">
      <c r="BX8275" s="214" t="e">
        <f t="shared" si="274"/>
        <v>#DIV/0!</v>
      </c>
      <c r="BY8275" s="215">
        <f t="shared" si="275"/>
        <v>0</v>
      </c>
    </row>
    <row r="8276" spans="76:77" x14ac:dyDescent="0.2">
      <c r="BX8276" s="214" t="e">
        <f t="shared" si="274"/>
        <v>#DIV/0!</v>
      </c>
      <c r="BY8276" s="215">
        <f t="shared" si="275"/>
        <v>0</v>
      </c>
    </row>
    <row r="8277" spans="76:77" x14ac:dyDescent="0.2">
      <c r="BX8277" s="214" t="e">
        <f t="shared" si="274"/>
        <v>#DIV/0!</v>
      </c>
      <c r="BY8277" s="215">
        <f t="shared" si="275"/>
        <v>0</v>
      </c>
    </row>
    <row r="8278" spans="76:77" x14ac:dyDescent="0.2">
      <c r="BX8278" s="214" t="e">
        <f t="shared" si="274"/>
        <v>#DIV/0!</v>
      </c>
      <c r="BY8278" s="215">
        <f t="shared" si="275"/>
        <v>0</v>
      </c>
    </row>
    <row r="8279" spans="76:77" x14ac:dyDescent="0.2">
      <c r="BX8279" s="214" t="e">
        <f t="shared" si="274"/>
        <v>#DIV/0!</v>
      </c>
      <c r="BY8279" s="215">
        <f t="shared" si="275"/>
        <v>0</v>
      </c>
    </row>
    <row r="8280" spans="76:77" x14ac:dyDescent="0.2">
      <c r="BX8280" s="214" t="e">
        <f t="shared" si="274"/>
        <v>#DIV/0!</v>
      </c>
      <c r="BY8280" s="215">
        <f t="shared" si="275"/>
        <v>0</v>
      </c>
    </row>
    <row r="8281" spans="76:77" x14ac:dyDescent="0.2">
      <c r="BX8281" s="214" t="e">
        <f t="shared" si="274"/>
        <v>#DIV/0!</v>
      </c>
      <c r="BY8281" s="215">
        <f t="shared" si="275"/>
        <v>0</v>
      </c>
    </row>
    <row r="8282" spans="76:77" x14ac:dyDescent="0.2">
      <c r="BX8282" s="214" t="e">
        <f t="shared" si="274"/>
        <v>#DIV/0!</v>
      </c>
      <c r="BY8282" s="215">
        <f t="shared" si="275"/>
        <v>0</v>
      </c>
    </row>
    <row r="8283" spans="76:77" x14ac:dyDescent="0.2">
      <c r="BX8283" s="214" t="e">
        <f t="shared" si="274"/>
        <v>#DIV/0!</v>
      </c>
      <c r="BY8283" s="215">
        <f t="shared" si="275"/>
        <v>0</v>
      </c>
    </row>
    <row r="8284" spans="76:77" x14ac:dyDescent="0.2">
      <c r="BX8284" s="214" t="e">
        <f t="shared" si="274"/>
        <v>#DIV/0!</v>
      </c>
      <c r="BY8284" s="215">
        <f t="shared" si="275"/>
        <v>0</v>
      </c>
    </row>
    <row r="8285" spans="76:77" x14ac:dyDescent="0.2">
      <c r="BX8285" s="214" t="e">
        <f t="shared" si="274"/>
        <v>#DIV/0!</v>
      </c>
      <c r="BY8285" s="215">
        <f t="shared" si="275"/>
        <v>0</v>
      </c>
    </row>
    <row r="8286" spans="76:77" x14ac:dyDescent="0.2">
      <c r="BX8286" s="214" t="e">
        <f t="shared" si="274"/>
        <v>#DIV/0!</v>
      </c>
      <c r="BY8286" s="215">
        <f t="shared" si="275"/>
        <v>0</v>
      </c>
    </row>
    <row r="8287" spans="76:77" x14ac:dyDescent="0.2">
      <c r="BX8287" s="214" t="e">
        <f t="shared" si="274"/>
        <v>#DIV/0!</v>
      </c>
      <c r="BY8287" s="215">
        <f t="shared" si="275"/>
        <v>0</v>
      </c>
    </row>
    <row r="8288" spans="76:77" x14ac:dyDescent="0.2">
      <c r="BX8288" s="214" t="e">
        <f t="shared" si="274"/>
        <v>#DIV/0!</v>
      </c>
      <c r="BY8288" s="215">
        <f t="shared" si="275"/>
        <v>0</v>
      </c>
    </row>
    <row r="8289" spans="76:77" x14ac:dyDescent="0.2">
      <c r="BX8289" s="214" t="e">
        <f t="shared" si="274"/>
        <v>#DIV/0!</v>
      </c>
      <c r="BY8289" s="215">
        <f t="shared" si="275"/>
        <v>0</v>
      </c>
    </row>
    <row r="8290" spans="76:77" x14ac:dyDescent="0.2">
      <c r="BX8290" s="214" t="e">
        <f t="shared" si="274"/>
        <v>#DIV/0!</v>
      </c>
      <c r="BY8290" s="215">
        <f t="shared" si="275"/>
        <v>0</v>
      </c>
    </row>
    <row r="8291" spans="76:77" x14ac:dyDescent="0.2">
      <c r="BX8291" s="214" t="e">
        <f t="shared" si="274"/>
        <v>#DIV/0!</v>
      </c>
      <c r="BY8291" s="215">
        <f t="shared" si="275"/>
        <v>0</v>
      </c>
    </row>
    <row r="8292" spans="76:77" x14ac:dyDescent="0.2">
      <c r="BX8292" s="214" t="e">
        <f t="shared" si="274"/>
        <v>#DIV/0!</v>
      </c>
      <c r="BY8292" s="215">
        <f t="shared" si="275"/>
        <v>0</v>
      </c>
    </row>
    <row r="8293" spans="76:77" x14ac:dyDescent="0.2">
      <c r="BX8293" s="214" t="e">
        <f t="shared" si="274"/>
        <v>#DIV/0!</v>
      </c>
      <c r="BY8293" s="215">
        <f t="shared" si="275"/>
        <v>0</v>
      </c>
    </row>
    <row r="8294" spans="76:77" x14ac:dyDescent="0.2">
      <c r="BX8294" s="214" t="e">
        <f t="shared" si="274"/>
        <v>#DIV/0!</v>
      </c>
      <c r="BY8294" s="215">
        <f t="shared" si="275"/>
        <v>0</v>
      </c>
    </row>
    <row r="8295" spans="76:77" x14ac:dyDescent="0.2">
      <c r="BX8295" s="214" t="e">
        <f t="shared" si="274"/>
        <v>#DIV/0!</v>
      </c>
      <c r="BY8295" s="215">
        <f t="shared" si="275"/>
        <v>0</v>
      </c>
    </row>
    <row r="8296" spans="76:77" x14ac:dyDescent="0.2">
      <c r="BX8296" s="214" t="e">
        <f t="shared" si="274"/>
        <v>#DIV/0!</v>
      </c>
      <c r="BY8296" s="215">
        <f t="shared" si="275"/>
        <v>0</v>
      </c>
    </row>
    <row r="8297" spans="76:77" x14ac:dyDescent="0.2">
      <c r="BX8297" s="214" t="e">
        <f t="shared" si="274"/>
        <v>#DIV/0!</v>
      </c>
      <c r="BY8297" s="215">
        <f t="shared" si="275"/>
        <v>0</v>
      </c>
    </row>
    <row r="8298" spans="76:77" x14ac:dyDescent="0.2">
      <c r="BX8298" s="214" t="e">
        <f t="shared" si="274"/>
        <v>#DIV/0!</v>
      </c>
      <c r="BY8298" s="215">
        <f t="shared" si="275"/>
        <v>0</v>
      </c>
    </row>
    <row r="8299" spans="76:77" x14ac:dyDescent="0.2">
      <c r="BX8299" s="214" t="e">
        <f t="shared" si="274"/>
        <v>#DIV/0!</v>
      </c>
      <c r="BY8299" s="215">
        <f t="shared" si="275"/>
        <v>0</v>
      </c>
    </row>
    <row r="8300" spans="76:77" x14ac:dyDescent="0.2">
      <c r="BX8300" s="214" t="e">
        <f t="shared" si="274"/>
        <v>#DIV/0!</v>
      </c>
      <c r="BY8300" s="215">
        <f t="shared" si="275"/>
        <v>0</v>
      </c>
    </row>
    <row r="8301" spans="76:77" x14ac:dyDescent="0.2">
      <c r="BX8301" s="214" t="e">
        <f t="shared" si="274"/>
        <v>#DIV/0!</v>
      </c>
      <c r="BY8301" s="215">
        <f t="shared" si="275"/>
        <v>0</v>
      </c>
    </row>
    <row r="8302" spans="76:77" x14ac:dyDescent="0.2">
      <c r="BX8302" s="214" t="e">
        <f t="shared" si="274"/>
        <v>#DIV/0!</v>
      </c>
      <c r="BY8302" s="215">
        <f t="shared" si="275"/>
        <v>0</v>
      </c>
    </row>
    <row r="8303" spans="76:77" x14ac:dyDescent="0.2">
      <c r="BX8303" s="214" t="e">
        <f t="shared" si="274"/>
        <v>#DIV/0!</v>
      </c>
      <c r="BY8303" s="215">
        <f t="shared" si="275"/>
        <v>0</v>
      </c>
    </row>
    <row r="8304" spans="76:77" x14ac:dyDescent="0.2">
      <c r="BX8304" s="214" t="e">
        <f t="shared" si="274"/>
        <v>#DIV/0!</v>
      </c>
      <c r="BY8304" s="215">
        <f t="shared" si="275"/>
        <v>0</v>
      </c>
    </row>
    <row r="8305" spans="76:77" x14ac:dyDescent="0.2">
      <c r="BX8305" s="214" t="e">
        <f t="shared" si="274"/>
        <v>#DIV/0!</v>
      </c>
      <c r="BY8305" s="215">
        <f t="shared" si="275"/>
        <v>0</v>
      </c>
    </row>
    <row r="8306" spans="76:77" x14ac:dyDescent="0.2">
      <c r="BX8306" s="214" t="e">
        <f t="shared" si="274"/>
        <v>#DIV/0!</v>
      </c>
      <c r="BY8306" s="215">
        <f t="shared" si="275"/>
        <v>0</v>
      </c>
    </row>
    <row r="8307" spans="76:77" x14ac:dyDescent="0.2">
      <c r="BX8307" s="214" t="e">
        <f t="shared" si="274"/>
        <v>#DIV/0!</v>
      </c>
      <c r="BY8307" s="215">
        <f t="shared" si="275"/>
        <v>0</v>
      </c>
    </row>
    <row r="8308" spans="76:77" x14ac:dyDescent="0.2">
      <c r="BX8308" s="214" t="e">
        <f t="shared" si="274"/>
        <v>#DIV/0!</v>
      </c>
      <c r="BY8308" s="215">
        <f t="shared" si="275"/>
        <v>0</v>
      </c>
    </row>
    <row r="8309" spans="76:77" x14ac:dyDescent="0.2">
      <c r="BX8309" s="214" t="e">
        <f t="shared" si="274"/>
        <v>#DIV/0!</v>
      </c>
      <c r="BY8309" s="215">
        <f t="shared" si="275"/>
        <v>0</v>
      </c>
    </row>
    <row r="8310" spans="76:77" x14ac:dyDescent="0.2">
      <c r="BX8310" s="214" t="e">
        <f t="shared" si="274"/>
        <v>#DIV/0!</v>
      </c>
      <c r="BY8310" s="215">
        <f t="shared" si="275"/>
        <v>0</v>
      </c>
    </row>
    <row r="8311" spans="76:77" x14ac:dyDescent="0.2">
      <c r="BX8311" s="214" t="e">
        <f t="shared" si="274"/>
        <v>#DIV/0!</v>
      </c>
      <c r="BY8311" s="215">
        <f t="shared" si="275"/>
        <v>0</v>
      </c>
    </row>
    <row r="8312" spans="76:77" x14ac:dyDescent="0.2">
      <c r="BX8312" s="214" t="e">
        <f t="shared" si="274"/>
        <v>#DIV/0!</v>
      </c>
      <c r="BY8312" s="215">
        <f t="shared" si="275"/>
        <v>0</v>
      </c>
    </row>
    <row r="8313" spans="76:77" x14ac:dyDescent="0.2">
      <c r="BX8313" s="214" t="e">
        <f t="shared" si="274"/>
        <v>#DIV/0!</v>
      </c>
      <c r="BY8313" s="215">
        <f t="shared" si="275"/>
        <v>0</v>
      </c>
    </row>
    <row r="8314" spans="76:77" x14ac:dyDescent="0.2">
      <c r="BX8314" s="214" t="e">
        <f t="shared" si="274"/>
        <v>#DIV/0!</v>
      </c>
      <c r="BY8314" s="215">
        <f t="shared" si="275"/>
        <v>0</v>
      </c>
    </row>
    <row r="8315" spans="76:77" x14ac:dyDescent="0.2">
      <c r="BX8315" s="214" t="e">
        <f t="shared" si="274"/>
        <v>#DIV/0!</v>
      </c>
      <c r="BY8315" s="215">
        <f t="shared" si="275"/>
        <v>0</v>
      </c>
    </row>
    <row r="8316" spans="76:77" x14ac:dyDescent="0.2">
      <c r="BX8316" s="214" t="e">
        <f t="shared" si="274"/>
        <v>#DIV/0!</v>
      </c>
      <c r="BY8316" s="215">
        <f t="shared" si="275"/>
        <v>0</v>
      </c>
    </row>
    <row r="8317" spans="76:77" x14ac:dyDescent="0.2">
      <c r="BX8317" s="214" t="e">
        <f t="shared" si="274"/>
        <v>#DIV/0!</v>
      </c>
      <c r="BY8317" s="215">
        <f t="shared" si="275"/>
        <v>0</v>
      </c>
    </row>
    <row r="8318" spans="76:77" x14ac:dyDescent="0.2">
      <c r="BX8318" s="214" t="e">
        <f t="shared" si="274"/>
        <v>#DIV/0!</v>
      </c>
      <c r="BY8318" s="215">
        <f t="shared" si="275"/>
        <v>0</v>
      </c>
    </row>
    <row r="8319" spans="76:77" x14ac:dyDescent="0.2">
      <c r="BX8319" s="214" t="e">
        <f t="shared" si="274"/>
        <v>#DIV/0!</v>
      </c>
      <c r="BY8319" s="215">
        <f t="shared" si="275"/>
        <v>0</v>
      </c>
    </row>
    <row r="8320" spans="76:77" x14ac:dyDescent="0.2">
      <c r="BX8320" s="214" t="e">
        <f t="shared" si="274"/>
        <v>#DIV/0!</v>
      </c>
      <c r="BY8320" s="215">
        <f t="shared" si="275"/>
        <v>0</v>
      </c>
    </row>
    <row r="8321" spans="76:77" x14ac:dyDescent="0.2">
      <c r="BX8321" s="214" t="e">
        <f t="shared" si="274"/>
        <v>#DIV/0!</v>
      </c>
      <c r="BY8321" s="215">
        <f t="shared" si="275"/>
        <v>0</v>
      </c>
    </row>
    <row r="8322" spans="76:77" x14ac:dyDescent="0.2">
      <c r="BX8322" s="214" t="e">
        <f t="shared" si="274"/>
        <v>#DIV/0!</v>
      </c>
      <c r="BY8322" s="215">
        <f t="shared" si="275"/>
        <v>0</v>
      </c>
    </row>
    <row r="8323" spans="76:77" x14ac:dyDescent="0.2">
      <c r="BX8323" s="214" t="e">
        <f t="shared" si="274"/>
        <v>#DIV/0!</v>
      </c>
      <c r="BY8323" s="215">
        <f t="shared" si="275"/>
        <v>0</v>
      </c>
    </row>
    <row r="8324" spans="76:77" x14ac:dyDescent="0.2">
      <c r="BX8324" s="214" t="e">
        <f t="shared" si="274"/>
        <v>#DIV/0!</v>
      </c>
      <c r="BY8324" s="215">
        <f t="shared" si="275"/>
        <v>0</v>
      </c>
    </row>
    <row r="8325" spans="76:77" x14ac:dyDescent="0.2">
      <c r="BX8325" s="214" t="e">
        <f t="shared" si="274"/>
        <v>#DIV/0!</v>
      </c>
      <c r="BY8325" s="215">
        <f t="shared" si="275"/>
        <v>0</v>
      </c>
    </row>
    <row r="8326" spans="76:77" x14ac:dyDescent="0.2">
      <c r="BX8326" s="214" t="e">
        <f t="shared" si="274"/>
        <v>#DIV/0!</v>
      </c>
      <c r="BY8326" s="215">
        <f t="shared" si="275"/>
        <v>0</v>
      </c>
    </row>
    <row r="8327" spans="76:77" x14ac:dyDescent="0.2">
      <c r="BX8327" s="214" t="e">
        <f t="shared" si="274"/>
        <v>#DIV/0!</v>
      </c>
      <c r="BY8327" s="215">
        <f t="shared" si="275"/>
        <v>0</v>
      </c>
    </row>
    <row r="8328" spans="76:77" x14ac:dyDescent="0.2">
      <c r="BX8328" s="214" t="e">
        <f t="shared" si="274"/>
        <v>#DIV/0!</v>
      </c>
      <c r="BY8328" s="215">
        <f t="shared" si="275"/>
        <v>0</v>
      </c>
    </row>
    <row r="8329" spans="76:77" x14ac:dyDescent="0.2">
      <c r="BX8329" s="214" t="e">
        <f t="shared" si="274"/>
        <v>#DIV/0!</v>
      </c>
      <c r="BY8329" s="215">
        <f t="shared" si="275"/>
        <v>0</v>
      </c>
    </row>
    <row r="8330" spans="76:77" x14ac:dyDescent="0.2">
      <c r="BX8330" s="214" t="e">
        <f t="shared" si="274"/>
        <v>#DIV/0!</v>
      </c>
      <c r="BY8330" s="215">
        <f t="shared" si="275"/>
        <v>0</v>
      </c>
    </row>
    <row r="8331" spans="76:77" x14ac:dyDescent="0.2">
      <c r="BX8331" s="214" t="e">
        <f t="shared" si="274"/>
        <v>#DIV/0!</v>
      </c>
      <c r="BY8331" s="215">
        <f t="shared" si="275"/>
        <v>0</v>
      </c>
    </row>
    <row r="8332" spans="76:77" x14ac:dyDescent="0.2">
      <c r="BX8332" s="214" t="e">
        <f t="shared" si="274"/>
        <v>#DIV/0!</v>
      </c>
      <c r="BY8332" s="215">
        <f t="shared" si="275"/>
        <v>0</v>
      </c>
    </row>
    <row r="8333" spans="76:77" x14ac:dyDescent="0.2">
      <c r="BX8333" s="214" t="e">
        <f t="shared" ref="BX8333:BX8396" si="276">BY8333/BV8333</f>
        <v>#DIV/0!</v>
      </c>
      <c r="BY8333" s="215">
        <f t="shared" si="275"/>
        <v>0</v>
      </c>
    </row>
    <row r="8334" spans="76:77" x14ac:dyDescent="0.2">
      <c r="BX8334" s="214" t="e">
        <f t="shared" si="276"/>
        <v>#DIV/0!</v>
      </c>
      <c r="BY8334" s="215">
        <f t="shared" ref="BY8334:BY8397" si="277">BY8333+BW8334*(BV8334-BV8333)</f>
        <v>0</v>
      </c>
    </row>
    <row r="8335" spans="76:77" x14ac:dyDescent="0.2">
      <c r="BX8335" s="214" t="e">
        <f t="shared" si="276"/>
        <v>#DIV/0!</v>
      </c>
      <c r="BY8335" s="215">
        <f t="shared" si="277"/>
        <v>0</v>
      </c>
    </row>
    <row r="8336" spans="76:77" x14ac:dyDescent="0.2">
      <c r="BX8336" s="214" t="e">
        <f t="shared" si="276"/>
        <v>#DIV/0!</v>
      </c>
      <c r="BY8336" s="215">
        <f t="shared" si="277"/>
        <v>0</v>
      </c>
    </row>
    <row r="8337" spans="76:77" x14ac:dyDescent="0.2">
      <c r="BX8337" s="214" t="e">
        <f t="shared" si="276"/>
        <v>#DIV/0!</v>
      </c>
      <c r="BY8337" s="215">
        <f t="shared" si="277"/>
        <v>0</v>
      </c>
    </row>
    <row r="8338" spans="76:77" x14ac:dyDescent="0.2">
      <c r="BX8338" s="214" t="e">
        <f t="shared" si="276"/>
        <v>#DIV/0!</v>
      </c>
      <c r="BY8338" s="215">
        <f t="shared" si="277"/>
        <v>0</v>
      </c>
    </row>
    <row r="8339" spans="76:77" x14ac:dyDescent="0.2">
      <c r="BX8339" s="214" t="e">
        <f t="shared" si="276"/>
        <v>#DIV/0!</v>
      </c>
      <c r="BY8339" s="215">
        <f t="shared" si="277"/>
        <v>0</v>
      </c>
    </row>
    <row r="8340" spans="76:77" x14ac:dyDescent="0.2">
      <c r="BX8340" s="214" t="e">
        <f t="shared" si="276"/>
        <v>#DIV/0!</v>
      </c>
      <c r="BY8340" s="215">
        <f t="shared" si="277"/>
        <v>0</v>
      </c>
    </row>
    <row r="8341" spans="76:77" x14ac:dyDescent="0.2">
      <c r="BX8341" s="214" t="e">
        <f t="shared" si="276"/>
        <v>#DIV/0!</v>
      </c>
      <c r="BY8341" s="215">
        <f t="shared" si="277"/>
        <v>0</v>
      </c>
    </row>
    <row r="8342" spans="76:77" x14ac:dyDescent="0.2">
      <c r="BX8342" s="214" t="e">
        <f t="shared" si="276"/>
        <v>#DIV/0!</v>
      </c>
      <c r="BY8342" s="215">
        <f t="shared" si="277"/>
        <v>0</v>
      </c>
    </row>
    <row r="8343" spans="76:77" x14ac:dyDescent="0.2">
      <c r="BX8343" s="214" t="e">
        <f t="shared" si="276"/>
        <v>#DIV/0!</v>
      </c>
      <c r="BY8343" s="215">
        <f t="shared" si="277"/>
        <v>0</v>
      </c>
    </row>
    <row r="8344" spans="76:77" x14ac:dyDescent="0.2">
      <c r="BX8344" s="214" t="e">
        <f t="shared" si="276"/>
        <v>#DIV/0!</v>
      </c>
      <c r="BY8344" s="215">
        <f t="shared" si="277"/>
        <v>0</v>
      </c>
    </row>
    <row r="8345" spans="76:77" x14ac:dyDescent="0.2">
      <c r="BX8345" s="214" t="e">
        <f t="shared" si="276"/>
        <v>#DIV/0!</v>
      </c>
      <c r="BY8345" s="215">
        <f t="shared" si="277"/>
        <v>0</v>
      </c>
    </row>
    <row r="8346" spans="76:77" x14ac:dyDescent="0.2">
      <c r="BX8346" s="214" t="e">
        <f t="shared" si="276"/>
        <v>#DIV/0!</v>
      </c>
      <c r="BY8346" s="215">
        <f t="shared" si="277"/>
        <v>0</v>
      </c>
    </row>
    <row r="8347" spans="76:77" x14ac:dyDescent="0.2">
      <c r="BX8347" s="214" t="e">
        <f t="shared" si="276"/>
        <v>#DIV/0!</v>
      </c>
      <c r="BY8347" s="215">
        <f t="shared" si="277"/>
        <v>0</v>
      </c>
    </row>
    <row r="8348" spans="76:77" x14ac:dyDescent="0.2">
      <c r="BX8348" s="214" t="e">
        <f t="shared" si="276"/>
        <v>#DIV/0!</v>
      </c>
      <c r="BY8348" s="215">
        <f t="shared" si="277"/>
        <v>0</v>
      </c>
    </row>
    <row r="8349" spans="76:77" x14ac:dyDescent="0.2">
      <c r="BX8349" s="214" t="e">
        <f t="shared" si="276"/>
        <v>#DIV/0!</v>
      </c>
      <c r="BY8349" s="215">
        <f t="shared" si="277"/>
        <v>0</v>
      </c>
    </row>
    <row r="8350" spans="76:77" x14ac:dyDescent="0.2">
      <c r="BX8350" s="214" t="e">
        <f t="shared" si="276"/>
        <v>#DIV/0!</v>
      </c>
      <c r="BY8350" s="215">
        <f t="shared" si="277"/>
        <v>0</v>
      </c>
    </row>
    <row r="8351" spans="76:77" x14ac:dyDescent="0.2">
      <c r="BX8351" s="214" t="e">
        <f t="shared" si="276"/>
        <v>#DIV/0!</v>
      </c>
      <c r="BY8351" s="215">
        <f t="shared" si="277"/>
        <v>0</v>
      </c>
    </row>
    <row r="8352" spans="76:77" x14ac:dyDescent="0.2">
      <c r="BX8352" s="214" t="e">
        <f t="shared" si="276"/>
        <v>#DIV/0!</v>
      </c>
      <c r="BY8352" s="215">
        <f t="shared" si="277"/>
        <v>0</v>
      </c>
    </row>
    <row r="8353" spans="76:77" x14ac:dyDescent="0.2">
      <c r="BX8353" s="214" t="e">
        <f t="shared" si="276"/>
        <v>#DIV/0!</v>
      </c>
      <c r="BY8353" s="215">
        <f t="shared" si="277"/>
        <v>0</v>
      </c>
    </row>
    <row r="8354" spans="76:77" x14ac:dyDescent="0.2">
      <c r="BX8354" s="214" t="e">
        <f t="shared" si="276"/>
        <v>#DIV/0!</v>
      </c>
      <c r="BY8354" s="215">
        <f t="shared" si="277"/>
        <v>0</v>
      </c>
    </row>
    <row r="8355" spans="76:77" x14ac:dyDescent="0.2">
      <c r="BX8355" s="214" t="e">
        <f t="shared" si="276"/>
        <v>#DIV/0!</v>
      </c>
      <c r="BY8355" s="215">
        <f t="shared" si="277"/>
        <v>0</v>
      </c>
    </row>
    <row r="8356" spans="76:77" x14ac:dyDescent="0.2">
      <c r="BX8356" s="214" t="e">
        <f t="shared" si="276"/>
        <v>#DIV/0!</v>
      </c>
      <c r="BY8356" s="215">
        <f t="shared" si="277"/>
        <v>0</v>
      </c>
    </row>
    <row r="8357" spans="76:77" x14ac:dyDescent="0.2">
      <c r="BX8357" s="214" t="e">
        <f t="shared" si="276"/>
        <v>#DIV/0!</v>
      </c>
      <c r="BY8357" s="215">
        <f t="shared" si="277"/>
        <v>0</v>
      </c>
    </row>
    <row r="8358" spans="76:77" x14ac:dyDescent="0.2">
      <c r="BX8358" s="214" t="e">
        <f t="shared" si="276"/>
        <v>#DIV/0!</v>
      </c>
      <c r="BY8358" s="215">
        <f t="shared" si="277"/>
        <v>0</v>
      </c>
    </row>
    <row r="8359" spans="76:77" x14ac:dyDescent="0.2">
      <c r="BX8359" s="214" t="e">
        <f t="shared" si="276"/>
        <v>#DIV/0!</v>
      </c>
      <c r="BY8359" s="215">
        <f t="shared" si="277"/>
        <v>0</v>
      </c>
    </row>
    <row r="8360" spans="76:77" x14ac:dyDescent="0.2">
      <c r="BX8360" s="214" t="e">
        <f t="shared" si="276"/>
        <v>#DIV/0!</v>
      </c>
      <c r="BY8360" s="215">
        <f t="shared" si="277"/>
        <v>0</v>
      </c>
    </row>
    <row r="8361" spans="76:77" x14ac:dyDescent="0.2">
      <c r="BX8361" s="214" t="e">
        <f t="shared" si="276"/>
        <v>#DIV/0!</v>
      </c>
      <c r="BY8361" s="215">
        <f t="shared" si="277"/>
        <v>0</v>
      </c>
    </row>
    <row r="8362" spans="76:77" x14ac:dyDescent="0.2">
      <c r="BX8362" s="214" t="e">
        <f t="shared" si="276"/>
        <v>#DIV/0!</v>
      </c>
      <c r="BY8362" s="215">
        <f t="shared" si="277"/>
        <v>0</v>
      </c>
    </row>
    <row r="8363" spans="76:77" x14ac:dyDescent="0.2">
      <c r="BX8363" s="214" t="e">
        <f t="shared" si="276"/>
        <v>#DIV/0!</v>
      </c>
      <c r="BY8363" s="215">
        <f t="shared" si="277"/>
        <v>0</v>
      </c>
    </row>
    <row r="8364" spans="76:77" x14ac:dyDescent="0.2">
      <c r="BX8364" s="214" t="e">
        <f t="shared" si="276"/>
        <v>#DIV/0!</v>
      </c>
      <c r="BY8364" s="215">
        <f t="shared" si="277"/>
        <v>0</v>
      </c>
    </row>
    <row r="8365" spans="76:77" x14ac:dyDescent="0.2">
      <c r="BX8365" s="214" t="e">
        <f t="shared" si="276"/>
        <v>#DIV/0!</v>
      </c>
      <c r="BY8365" s="215">
        <f t="shared" si="277"/>
        <v>0</v>
      </c>
    </row>
    <row r="8366" spans="76:77" x14ac:dyDescent="0.2">
      <c r="BX8366" s="214" t="e">
        <f t="shared" si="276"/>
        <v>#DIV/0!</v>
      </c>
      <c r="BY8366" s="215">
        <f t="shared" si="277"/>
        <v>0</v>
      </c>
    </row>
    <row r="8367" spans="76:77" x14ac:dyDescent="0.2">
      <c r="BX8367" s="214" t="e">
        <f t="shared" si="276"/>
        <v>#DIV/0!</v>
      </c>
      <c r="BY8367" s="215">
        <f t="shared" si="277"/>
        <v>0</v>
      </c>
    </row>
    <row r="8368" spans="76:77" x14ac:dyDescent="0.2">
      <c r="BX8368" s="214" t="e">
        <f t="shared" si="276"/>
        <v>#DIV/0!</v>
      </c>
      <c r="BY8368" s="215">
        <f t="shared" si="277"/>
        <v>0</v>
      </c>
    </row>
    <row r="8369" spans="76:77" x14ac:dyDescent="0.2">
      <c r="BX8369" s="214" t="e">
        <f t="shared" si="276"/>
        <v>#DIV/0!</v>
      </c>
      <c r="BY8369" s="215">
        <f t="shared" si="277"/>
        <v>0</v>
      </c>
    </row>
    <row r="8370" spans="76:77" x14ac:dyDescent="0.2">
      <c r="BX8370" s="214" t="e">
        <f t="shared" si="276"/>
        <v>#DIV/0!</v>
      </c>
      <c r="BY8370" s="215">
        <f t="shared" si="277"/>
        <v>0</v>
      </c>
    </row>
    <row r="8371" spans="76:77" x14ac:dyDescent="0.2">
      <c r="BX8371" s="214" t="e">
        <f t="shared" si="276"/>
        <v>#DIV/0!</v>
      </c>
      <c r="BY8371" s="215">
        <f t="shared" si="277"/>
        <v>0</v>
      </c>
    </row>
    <row r="8372" spans="76:77" x14ac:dyDescent="0.2">
      <c r="BX8372" s="214" t="e">
        <f t="shared" si="276"/>
        <v>#DIV/0!</v>
      </c>
      <c r="BY8372" s="215">
        <f t="shared" si="277"/>
        <v>0</v>
      </c>
    </row>
    <row r="8373" spans="76:77" x14ac:dyDescent="0.2">
      <c r="BX8373" s="214" t="e">
        <f t="shared" si="276"/>
        <v>#DIV/0!</v>
      </c>
      <c r="BY8373" s="215">
        <f t="shared" si="277"/>
        <v>0</v>
      </c>
    </row>
    <row r="8374" spans="76:77" x14ac:dyDescent="0.2">
      <c r="BX8374" s="214" t="e">
        <f t="shared" si="276"/>
        <v>#DIV/0!</v>
      </c>
      <c r="BY8374" s="215">
        <f t="shared" si="277"/>
        <v>0</v>
      </c>
    </row>
    <row r="8375" spans="76:77" x14ac:dyDescent="0.2">
      <c r="BX8375" s="214" t="e">
        <f t="shared" si="276"/>
        <v>#DIV/0!</v>
      </c>
      <c r="BY8375" s="215">
        <f t="shared" si="277"/>
        <v>0</v>
      </c>
    </row>
    <row r="8376" spans="76:77" x14ac:dyDescent="0.2">
      <c r="BX8376" s="214" t="e">
        <f t="shared" si="276"/>
        <v>#DIV/0!</v>
      </c>
      <c r="BY8376" s="215">
        <f t="shared" si="277"/>
        <v>0</v>
      </c>
    </row>
    <row r="8377" spans="76:77" x14ac:dyDescent="0.2">
      <c r="BX8377" s="214" t="e">
        <f t="shared" si="276"/>
        <v>#DIV/0!</v>
      </c>
      <c r="BY8377" s="215">
        <f t="shared" si="277"/>
        <v>0</v>
      </c>
    </row>
    <row r="8378" spans="76:77" x14ac:dyDescent="0.2">
      <c r="BX8378" s="214" t="e">
        <f t="shared" si="276"/>
        <v>#DIV/0!</v>
      </c>
      <c r="BY8378" s="215">
        <f t="shared" si="277"/>
        <v>0</v>
      </c>
    </row>
    <row r="8379" spans="76:77" x14ac:dyDescent="0.2">
      <c r="BX8379" s="214" t="e">
        <f t="shared" si="276"/>
        <v>#DIV/0!</v>
      </c>
      <c r="BY8379" s="215">
        <f t="shared" si="277"/>
        <v>0</v>
      </c>
    </row>
    <row r="8380" spans="76:77" x14ac:dyDescent="0.2">
      <c r="BX8380" s="214" t="e">
        <f t="shared" si="276"/>
        <v>#DIV/0!</v>
      </c>
      <c r="BY8380" s="215">
        <f t="shared" si="277"/>
        <v>0</v>
      </c>
    </row>
    <row r="8381" spans="76:77" x14ac:dyDescent="0.2">
      <c r="BX8381" s="214" t="e">
        <f t="shared" si="276"/>
        <v>#DIV/0!</v>
      </c>
      <c r="BY8381" s="215">
        <f t="shared" si="277"/>
        <v>0</v>
      </c>
    </row>
    <row r="8382" spans="76:77" x14ac:dyDescent="0.2">
      <c r="BX8382" s="214" t="e">
        <f t="shared" si="276"/>
        <v>#DIV/0!</v>
      </c>
      <c r="BY8382" s="215">
        <f t="shared" si="277"/>
        <v>0</v>
      </c>
    </row>
    <row r="8383" spans="76:77" x14ac:dyDescent="0.2">
      <c r="BX8383" s="214" t="e">
        <f t="shared" si="276"/>
        <v>#DIV/0!</v>
      </c>
      <c r="BY8383" s="215">
        <f t="shared" si="277"/>
        <v>0</v>
      </c>
    </row>
    <row r="8384" spans="76:77" x14ac:dyDescent="0.2">
      <c r="BX8384" s="214" t="e">
        <f t="shared" si="276"/>
        <v>#DIV/0!</v>
      </c>
      <c r="BY8384" s="215">
        <f t="shared" si="277"/>
        <v>0</v>
      </c>
    </row>
    <row r="8385" spans="76:77" x14ac:dyDescent="0.2">
      <c r="BX8385" s="214" t="e">
        <f t="shared" si="276"/>
        <v>#DIV/0!</v>
      </c>
      <c r="BY8385" s="215">
        <f t="shared" si="277"/>
        <v>0</v>
      </c>
    </row>
    <row r="8386" spans="76:77" x14ac:dyDescent="0.2">
      <c r="BX8386" s="214" t="e">
        <f t="shared" si="276"/>
        <v>#DIV/0!</v>
      </c>
      <c r="BY8386" s="215">
        <f t="shared" si="277"/>
        <v>0</v>
      </c>
    </row>
    <row r="8387" spans="76:77" x14ac:dyDescent="0.2">
      <c r="BX8387" s="214" t="e">
        <f t="shared" si="276"/>
        <v>#DIV/0!</v>
      </c>
      <c r="BY8387" s="215">
        <f t="shared" si="277"/>
        <v>0</v>
      </c>
    </row>
    <row r="8388" spans="76:77" x14ac:dyDescent="0.2">
      <c r="BX8388" s="214" t="e">
        <f t="shared" si="276"/>
        <v>#DIV/0!</v>
      </c>
      <c r="BY8388" s="215">
        <f t="shared" si="277"/>
        <v>0</v>
      </c>
    </row>
    <row r="8389" spans="76:77" x14ac:dyDescent="0.2">
      <c r="BX8389" s="214" t="e">
        <f t="shared" si="276"/>
        <v>#DIV/0!</v>
      </c>
      <c r="BY8389" s="215">
        <f t="shared" si="277"/>
        <v>0</v>
      </c>
    </row>
    <row r="8390" spans="76:77" x14ac:dyDescent="0.2">
      <c r="BX8390" s="214" t="e">
        <f t="shared" si="276"/>
        <v>#DIV/0!</v>
      </c>
      <c r="BY8390" s="215">
        <f t="shared" si="277"/>
        <v>0</v>
      </c>
    </row>
    <row r="8391" spans="76:77" x14ac:dyDescent="0.2">
      <c r="BX8391" s="214" t="e">
        <f t="shared" si="276"/>
        <v>#DIV/0!</v>
      </c>
      <c r="BY8391" s="215">
        <f t="shared" si="277"/>
        <v>0</v>
      </c>
    </row>
    <row r="8392" spans="76:77" x14ac:dyDescent="0.2">
      <c r="BX8392" s="214" t="e">
        <f t="shared" si="276"/>
        <v>#DIV/0!</v>
      </c>
      <c r="BY8392" s="215">
        <f t="shared" si="277"/>
        <v>0</v>
      </c>
    </row>
    <row r="8393" spans="76:77" x14ac:dyDescent="0.2">
      <c r="BX8393" s="214" t="e">
        <f t="shared" si="276"/>
        <v>#DIV/0!</v>
      </c>
      <c r="BY8393" s="215">
        <f t="shared" si="277"/>
        <v>0</v>
      </c>
    </row>
    <row r="8394" spans="76:77" x14ac:dyDescent="0.2">
      <c r="BX8394" s="214" t="e">
        <f t="shared" si="276"/>
        <v>#DIV/0!</v>
      </c>
      <c r="BY8394" s="215">
        <f t="shared" si="277"/>
        <v>0</v>
      </c>
    </row>
    <row r="8395" spans="76:77" x14ac:dyDescent="0.2">
      <c r="BX8395" s="214" t="e">
        <f t="shared" si="276"/>
        <v>#DIV/0!</v>
      </c>
      <c r="BY8395" s="215">
        <f t="shared" si="277"/>
        <v>0</v>
      </c>
    </row>
    <row r="8396" spans="76:77" x14ac:dyDescent="0.2">
      <c r="BX8396" s="214" t="e">
        <f t="shared" si="276"/>
        <v>#DIV/0!</v>
      </c>
      <c r="BY8396" s="215">
        <f t="shared" si="277"/>
        <v>0</v>
      </c>
    </row>
    <row r="8397" spans="76:77" x14ac:dyDescent="0.2">
      <c r="BX8397" s="214" t="e">
        <f t="shared" ref="BX8397:BX8460" si="278">BY8397/BV8397</f>
        <v>#DIV/0!</v>
      </c>
      <c r="BY8397" s="215">
        <f t="shared" si="277"/>
        <v>0</v>
      </c>
    </row>
    <row r="8398" spans="76:77" x14ac:dyDescent="0.2">
      <c r="BX8398" s="214" t="e">
        <f t="shared" si="278"/>
        <v>#DIV/0!</v>
      </c>
      <c r="BY8398" s="215">
        <f t="shared" ref="BY8398:BY8461" si="279">BY8397+BW8398*(BV8398-BV8397)</f>
        <v>0</v>
      </c>
    </row>
    <row r="8399" spans="76:77" x14ac:dyDescent="0.2">
      <c r="BX8399" s="214" t="e">
        <f t="shared" si="278"/>
        <v>#DIV/0!</v>
      </c>
      <c r="BY8399" s="215">
        <f t="shared" si="279"/>
        <v>0</v>
      </c>
    </row>
    <row r="8400" spans="76:77" x14ac:dyDescent="0.2">
      <c r="BX8400" s="214" t="e">
        <f t="shared" si="278"/>
        <v>#DIV/0!</v>
      </c>
      <c r="BY8400" s="215">
        <f t="shared" si="279"/>
        <v>0</v>
      </c>
    </row>
    <row r="8401" spans="76:77" x14ac:dyDescent="0.2">
      <c r="BX8401" s="214" t="e">
        <f t="shared" si="278"/>
        <v>#DIV/0!</v>
      </c>
      <c r="BY8401" s="215">
        <f t="shared" si="279"/>
        <v>0</v>
      </c>
    </row>
    <row r="8402" spans="76:77" x14ac:dyDescent="0.2">
      <c r="BX8402" s="214" t="e">
        <f t="shared" si="278"/>
        <v>#DIV/0!</v>
      </c>
      <c r="BY8402" s="215">
        <f t="shared" si="279"/>
        <v>0</v>
      </c>
    </row>
    <row r="8403" spans="76:77" x14ac:dyDescent="0.2">
      <c r="BX8403" s="214" t="e">
        <f t="shared" si="278"/>
        <v>#DIV/0!</v>
      </c>
      <c r="BY8403" s="215">
        <f t="shared" si="279"/>
        <v>0</v>
      </c>
    </row>
    <row r="8404" spans="76:77" x14ac:dyDescent="0.2">
      <c r="BX8404" s="214" t="e">
        <f t="shared" si="278"/>
        <v>#DIV/0!</v>
      </c>
      <c r="BY8404" s="215">
        <f t="shared" si="279"/>
        <v>0</v>
      </c>
    </row>
    <row r="8405" spans="76:77" x14ac:dyDescent="0.2">
      <c r="BX8405" s="214" t="e">
        <f t="shared" si="278"/>
        <v>#DIV/0!</v>
      </c>
      <c r="BY8405" s="215">
        <f t="shared" si="279"/>
        <v>0</v>
      </c>
    </row>
    <row r="8406" spans="76:77" x14ac:dyDescent="0.2">
      <c r="BX8406" s="214" t="e">
        <f t="shared" si="278"/>
        <v>#DIV/0!</v>
      </c>
      <c r="BY8406" s="215">
        <f t="shared" si="279"/>
        <v>0</v>
      </c>
    </row>
    <row r="8407" spans="76:77" x14ac:dyDescent="0.2">
      <c r="BX8407" s="214" t="e">
        <f t="shared" si="278"/>
        <v>#DIV/0!</v>
      </c>
      <c r="BY8407" s="215">
        <f t="shared" si="279"/>
        <v>0</v>
      </c>
    </row>
    <row r="8408" spans="76:77" x14ac:dyDescent="0.2">
      <c r="BX8408" s="214" t="e">
        <f t="shared" si="278"/>
        <v>#DIV/0!</v>
      </c>
      <c r="BY8408" s="215">
        <f t="shared" si="279"/>
        <v>0</v>
      </c>
    </row>
    <row r="8409" spans="76:77" x14ac:dyDescent="0.2">
      <c r="BX8409" s="214" t="e">
        <f t="shared" si="278"/>
        <v>#DIV/0!</v>
      </c>
      <c r="BY8409" s="215">
        <f t="shared" si="279"/>
        <v>0</v>
      </c>
    </row>
    <row r="8410" spans="76:77" x14ac:dyDescent="0.2">
      <c r="BX8410" s="214" t="e">
        <f t="shared" si="278"/>
        <v>#DIV/0!</v>
      </c>
      <c r="BY8410" s="215">
        <f t="shared" si="279"/>
        <v>0</v>
      </c>
    </row>
    <row r="8411" spans="76:77" x14ac:dyDescent="0.2">
      <c r="BX8411" s="214" t="e">
        <f t="shared" si="278"/>
        <v>#DIV/0!</v>
      </c>
      <c r="BY8411" s="215">
        <f t="shared" si="279"/>
        <v>0</v>
      </c>
    </row>
    <row r="8412" spans="76:77" x14ac:dyDescent="0.2">
      <c r="BX8412" s="214" t="e">
        <f t="shared" si="278"/>
        <v>#DIV/0!</v>
      </c>
      <c r="BY8412" s="215">
        <f t="shared" si="279"/>
        <v>0</v>
      </c>
    </row>
    <row r="8413" spans="76:77" x14ac:dyDescent="0.2">
      <c r="BX8413" s="214" t="e">
        <f t="shared" si="278"/>
        <v>#DIV/0!</v>
      </c>
      <c r="BY8413" s="215">
        <f t="shared" si="279"/>
        <v>0</v>
      </c>
    </row>
    <row r="8414" spans="76:77" x14ac:dyDescent="0.2">
      <c r="BX8414" s="214" t="e">
        <f t="shared" si="278"/>
        <v>#DIV/0!</v>
      </c>
      <c r="BY8414" s="215">
        <f t="shared" si="279"/>
        <v>0</v>
      </c>
    </row>
    <row r="8415" spans="76:77" x14ac:dyDescent="0.2">
      <c r="BX8415" s="214" t="e">
        <f t="shared" si="278"/>
        <v>#DIV/0!</v>
      </c>
      <c r="BY8415" s="215">
        <f t="shared" si="279"/>
        <v>0</v>
      </c>
    </row>
    <row r="8416" spans="76:77" x14ac:dyDescent="0.2">
      <c r="BX8416" s="214" t="e">
        <f t="shared" si="278"/>
        <v>#DIV/0!</v>
      </c>
      <c r="BY8416" s="215">
        <f t="shared" si="279"/>
        <v>0</v>
      </c>
    </row>
    <row r="8417" spans="76:77" x14ac:dyDescent="0.2">
      <c r="BX8417" s="214" t="e">
        <f t="shared" si="278"/>
        <v>#DIV/0!</v>
      </c>
      <c r="BY8417" s="215">
        <f t="shared" si="279"/>
        <v>0</v>
      </c>
    </row>
    <row r="8418" spans="76:77" x14ac:dyDescent="0.2">
      <c r="BX8418" s="214" t="e">
        <f t="shared" si="278"/>
        <v>#DIV/0!</v>
      </c>
      <c r="BY8418" s="215">
        <f t="shared" si="279"/>
        <v>0</v>
      </c>
    </row>
    <row r="8419" spans="76:77" x14ac:dyDescent="0.2">
      <c r="BX8419" s="214" t="e">
        <f t="shared" si="278"/>
        <v>#DIV/0!</v>
      </c>
      <c r="BY8419" s="215">
        <f t="shared" si="279"/>
        <v>0</v>
      </c>
    </row>
    <row r="8420" spans="76:77" x14ac:dyDescent="0.2">
      <c r="BX8420" s="214" t="e">
        <f t="shared" si="278"/>
        <v>#DIV/0!</v>
      </c>
      <c r="BY8420" s="215">
        <f t="shared" si="279"/>
        <v>0</v>
      </c>
    </row>
    <row r="8421" spans="76:77" x14ac:dyDescent="0.2">
      <c r="BX8421" s="214" t="e">
        <f t="shared" si="278"/>
        <v>#DIV/0!</v>
      </c>
      <c r="BY8421" s="215">
        <f t="shared" si="279"/>
        <v>0</v>
      </c>
    </row>
    <row r="8422" spans="76:77" x14ac:dyDescent="0.2">
      <c r="BX8422" s="214" t="e">
        <f t="shared" si="278"/>
        <v>#DIV/0!</v>
      </c>
      <c r="BY8422" s="215">
        <f t="shared" si="279"/>
        <v>0</v>
      </c>
    </row>
    <row r="8423" spans="76:77" x14ac:dyDescent="0.2">
      <c r="BX8423" s="214" t="e">
        <f t="shared" si="278"/>
        <v>#DIV/0!</v>
      </c>
      <c r="BY8423" s="215">
        <f t="shared" si="279"/>
        <v>0</v>
      </c>
    </row>
    <row r="8424" spans="76:77" x14ac:dyDescent="0.2">
      <c r="BX8424" s="214" t="e">
        <f t="shared" si="278"/>
        <v>#DIV/0!</v>
      </c>
      <c r="BY8424" s="215">
        <f t="shared" si="279"/>
        <v>0</v>
      </c>
    </row>
    <row r="8425" spans="76:77" x14ac:dyDescent="0.2">
      <c r="BX8425" s="214" t="e">
        <f t="shared" si="278"/>
        <v>#DIV/0!</v>
      </c>
      <c r="BY8425" s="215">
        <f t="shared" si="279"/>
        <v>0</v>
      </c>
    </row>
    <row r="8426" spans="76:77" x14ac:dyDescent="0.2">
      <c r="BX8426" s="214" t="e">
        <f t="shared" si="278"/>
        <v>#DIV/0!</v>
      </c>
      <c r="BY8426" s="215">
        <f t="shared" si="279"/>
        <v>0</v>
      </c>
    </row>
    <row r="8427" spans="76:77" x14ac:dyDescent="0.2">
      <c r="BX8427" s="214" t="e">
        <f t="shared" si="278"/>
        <v>#DIV/0!</v>
      </c>
      <c r="BY8427" s="215">
        <f t="shared" si="279"/>
        <v>0</v>
      </c>
    </row>
    <row r="8428" spans="76:77" x14ac:dyDescent="0.2">
      <c r="BX8428" s="214" t="e">
        <f t="shared" si="278"/>
        <v>#DIV/0!</v>
      </c>
      <c r="BY8428" s="215">
        <f t="shared" si="279"/>
        <v>0</v>
      </c>
    </row>
    <row r="8429" spans="76:77" x14ac:dyDescent="0.2">
      <c r="BX8429" s="214" t="e">
        <f t="shared" si="278"/>
        <v>#DIV/0!</v>
      </c>
      <c r="BY8429" s="215">
        <f t="shared" si="279"/>
        <v>0</v>
      </c>
    </row>
    <row r="8430" spans="76:77" x14ac:dyDescent="0.2">
      <c r="BX8430" s="214" t="e">
        <f t="shared" si="278"/>
        <v>#DIV/0!</v>
      </c>
      <c r="BY8430" s="215">
        <f t="shared" si="279"/>
        <v>0</v>
      </c>
    </row>
    <row r="8431" spans="76:77" x14ac:dyDescent="0.2">
      <c r="BX8431" s="214" t="e">
        <f t="shared" si="278"/>
        <v>#DIV/0!</v>
      </c>
      <c r="BY8431" s="215">
        <f t="shared" si="279"/>
        <v>0</v>
      </c>
    </row>
    <row r="8432" spans="76:77" x14ac:dyDescent="0.2">
      <c r="BX8432" s="214" t="e">
        <f t="shared" si="278"/>
        <v>#DIV/0!</v>
      </c>
      <c r="BY8432" s="215">
        <f t="shared" si="279"/>
        <v>0</v>
      </c>
    </row>
    <row r="8433" spans="76:77" x14ac:dyDescent="0.2">
      <c r="BX8433" s="214" t="e">
        <f t="shared" si="278"/>
        <v>#DIV/0!</v>
      </c>
      <c r="BY8433" s="215">
        <f t="shared" si="279"/>
        <v>0</v>
      </c>
    </row>
    <row r="8434" spans="76:77" x14ac:dyDescent="0.2">
      <c r="BX8434" s="214" t="e">
        <f t="shared" si="278"/>
        <v>#DIV/0!</v>
      </c>
      <c r="BY8434" s="215">
        <f t="shared" si="279"/>
        <v>0</v>
      </c>
    </row>
    <row r="8435" spans="76:77" x14ac:dyDescent="0.2">
      <c r="BX8435" s="214" t="e">
        <f t="shared" si="278"/>
        <v>#DIV/0!</v>
      </c>
      <c r="BY8435" s="215">
        <f t="shared" si="279"/>
        <v>0</v>
      </c>
    </row>
    <row r="8436" spans="76:77" x14ac:dyDescent="0.2">
      <c r="BX8436" s="214" t="e">
        <f t="shared" si="278"/>
        <v>#DIV/0!</v>
      </c>
      <c r="BY8436" s="215">
        <f t="shared" si="279"/>
        <v>0</v>
      </c>
    </row>
    <row r="8437" spans="76:77" x14ac:dyDescent="0.2">
      <c r="BX8437" s="214" t="e">
        <f t="shared" si="278"/>
        <v>#DIV/0!</v>
      </c>
      <c r="BY8437" s="215">
        <f t="shared" si="279"/>
        <v>0</v>
      </c>
    </row>
    <row r="8438" spans="76:77" x14ac:dyDescent="0.2">
      <c r="BX8438" s="214" t="e">
        <f t="shared" si="278"/>
        <v>#DIV/0!</v>
      </c>
      <c r="BY8438" s="215">
        <f t="shared" si="279"/>
        <v>0</v>
      </c>
    </row>
    <row r="8439" spans="76:77" x14ac:dyDescent="0.2">
      <c r="BX8439" s="214" t="e">
        <f t="shared" si="278"/>
        <v>#DIV/0!</v>
      </c>
      <c r="BY8439" s="215">
        <f t="shared" si="279"/>
        <v>0</v>
      </c>
    </row>
    <row r="8440" spans="76:77" x14ac:dyDescent="0.2">
      <c r="BX8440" s="214" t="e">
        <f t="shared" si="278"/>
        <v>#DIV/0!</v>
      </c>
      <c r="BY8440" s="215">
        <f t="shared" si="279"/>
        <v>0</v>
      </c>
    </row>
    <row r="8441" spans="76:77" x14ac:dyDescent="0.2">
      <c r="BX8441" s="214" t="e">
        <f t="shared" si="278"/>
        <v>#DIV/0!</v>
      </c>
      <c r="BY8441" s="215">
        <f t="shared" si="279"/>
        <v>0</v>
      </c>
    </row>
    <row r="8442" spans="76:77" x14ac:dyDescent="0.2">
      <c r="BX8442" s="214" t="e">
        <f t="shared" si="278"/>
        <v>#DIV/0!</v>
      </c>
      <c r="BY8442" s="215">
        <f t="shared" si="279"/>
        <v>0</v>
      </c>
    </row>
    <row r="8443" spans="76:77" x14ac:dyDescent="0.2">
      <c r="BX8443" s="214" t="e">
        <f t="shared" si="278"/>
        <v>#DIV/0!</v>
      </c>
      <c r="BY8443" s="215">
        <f t="shared" si="279"/>
        <v>0</v>
      </c>
    </row>
    <row r="8444" spans="76:77" x14ac:dyDescent="0.2">
      <c r="BX8444" s="214" t="e">
        <f t="shared" si="278"/>
        <v>#DIV/0!</v>
      </c>
      <c r="BY8444" s="215">
        <f t="shared" si="279"/>
        <v>0</v>
      </c>
    </row>
    <row r="8445" spans="76:77" x14ac:dyDescent="0.2">
      <c r="BX8445" s="214" t="e">
        <f t="shared" si="278"/>
        <v>#DIV/0!</v>
      </c>
      <c r="BY8445" s="215">
        <f t="shared" si="279"/>
        <v>0</v>
      </c>
    </row>
    <row r="8446" spans="76:77" x14ac:dyDescent="0.2">
      <c r="BX8446" s="214" t="e">
        <f t="shared" si="278"/>
        <v>#DIV/0!</v>
      </c>
      <c r="BY8446" s="215">
        <f t="shared" si="279"/>
        <v>0</v>
      </c>
    </row>
    <row r="8447" spans="76:77" x14ac:dyDescent="0.2">
      <c r="BX8447" s="214" t="e">
        <f t="shared" si="278"/>
        <v>#DIV/0!</v>
      </c>
      <c r="BY8447" s="215">
        <f t="shared" si="279"/>
        <v>0</v>
      </c>
    </row>
    <row r="8448" spans="76:77" x14ac:dyDescent="0.2">
      <c r="BX8448" s="214" t="e">
        <f t="shared" si="278"/>
        <v>#DIV/0!</v>
      </c>
      <c r="BY8448" s="215">
        <f t="shared" si="279"/>
        <v>0</v>
      </c>
    </row>
    <row r="8449" spans="76:77" x14ac:dyDescent="0.2">
      <c r="BX8449" s="214" t="e">
        <f t="shared" si="278"/>
        <v>#DIV/0!</v>
      </c>
      <c r="BY8449" s="215">
        <f t="shared" si="279"/>
        <v>0</v>
      </c>
    </row>
    <row r="8450" spans="76:77" x14ac:dyDescent="0.2">
      <c r="BX8450" s="214" t="e">
        <f t="shared" si="278"/>
        <v>#DIV/0!</v>
      </c>
      <c r="BY8450" s="215">
        <f t="shared" si="279"/>
        <v>0</v>
      </c>
    </row>
    <row r="8451" spans="76:77" x14ac:dyDescent="0.2">
      <c r="BX8451" s="214" t="e">
        <f t="shared" si="278"/>
        <v>#DIV/0!</v>
      </c>
      <c r="BY8451" s="215">
        <f t="shared" si="279"/>
        <v>0</v>
      </c>
    </row>
    <row r="8452" spans="76:77" x14ac:dyDescent="0.2">
      <c r="BX8452" s="214" t="e">
        <f t="shared" si="278"/>
        <v>#DIV/0!</v>
      </c>
      <c r="BY8452" s="215">
        <f t="shared" si="279"/>
        <v>0</v>
      </c>
    </row>
    <row r="8453" spans="76:77" x14ac:dyDescent="0.2">
      <c r="BX8453" s="214" t="e">
        <f t="shared" si="278"/>
        <v>#DIV/0!</v>
      </c>
      <c r="BY8453" s="215">
        <f t="shared" si="279"/>
        <v>0</v>
      </c>
    </row>
    <row r="8454" spans="76:77" x14ac:dyDescent="0.2">
      <c r="BX8454" s="214" t="e">
        <f t="shared" si="278"/>
        <v>#DIV/0!</v>
      </c>
      <c r="BY8454" s="215">
        <f t="shared" si="279"/>
        <v>0</v>
      </c>
    </row>
    <row r="8455" spans="76:77" x14ac:dyDescent="0.2">
      <c r="BX8455" s="214" t="e">
        <f t="shared" si="278"/>
        <v>#DIV/0!</v>
      </c>
      <c r="BY8455" s="215">
        <f t="shared" si="279"/>
        <v>0</v>
      </c>
    </row>
    <row r="8456" spans="76:77" x14ac:dyDescent="0.2">
      <c r="BX8456" s="214" t="e">
        <f t="shared" si="278"/>
        <v>#DIV/0!</v>
      </c>
      <c r="BY8456" s="215">
        <f t="shared" si="279"/>
        <v>0</v>
      </c>
    </row>
    <row r="8457" spans="76:77" x14ac:dyDescent="0.2">
      <c r="BX8457" s="214" t="e">
        <f t="shared" si="278"/>
        <v>#DIV/0!</v>
      </c>
      <c r="BY8457" s="215">
        <f t="shared" si="279"/>
        <v>0</v>
      </c>
    </row>
    <row r="8458" spans="76:77" x14ac:dyDescent="0.2">
      <c r="BX8458" s="214" t="e">
        <f t="shared" si="278"/>
        <v>#DIV/0!</v>
      </c>
      <c r="BY8458" s="215">
        <f t="shared" si="279"/>
        <v>0</v>
      </c>
    </row>
    <row r="8459" spans="76:77" x14ac:dyDescent="0.2">
      <c r="BX8459" s="214" t="e">
        <f t="shared" si="278"/>
        <v>#DIV/0!</v>
      </c>
      <c r="BY8459" s="215">
        <f t="shared" si="279"/>
        <v>0</v>
      </c>
    </row>
    <row r="8460" spans="76:77" x14ac:dyDescent="0.2">
      <c r="BX8460" s="214" t="e">
        <f t="shared" si="278"/>
        <v>#DIV/0!</v>
      </c>
      <c r="BY8460" s="215">
        <f t="shared" si="279"/>
        <v>0</v>
      </c>
    </row>
    <row r="8461" spans="76:77" x14ac:dyDescent="0.2">
      <c r="BX8461" s="214" t="e">
        <f t="shared" ref="BX8461:BX8524" si="280">BY8461/BV8461</f>
        <v>#DIV/0!</v>
      </c>
      <c r="BY8461" s="215">
        <f t="shared" si="279"/>
        <v>0</v>
      </c>
    </row>
    <row r="8462" spans="76:77" x14ac:dyDescent="0.2">
      <c r="BX8462" s="214" t="e">
        <f t="shared" si="280"/>
        <v>#DIV/0!</v>
      </c>
      <c r="BY8462" s="215">
        <f t="shared" ref="BY8462:BY8525" si="281">BY8461+BW8462*(BV8462-BV8461)</f>
        <v>0</v>
      </c>
    </row>
    <row r="8463" spans="76:77" x14ac:dyDescent="0.2">
      <c r="BX8463" s="214" t="e">
        <f t="shared" si="280"/>
        <v>#DIV/0!</v>
      </c>
      <c r="BY8463" s="215">
        <f t="shared" si="281"/>
        <v>0</v>
      </c>
    </row>
    <row r="8464" spans="76:77" x14ac:dyDescent="0.2">
      <c r="BX8464" s="214" t="e">
        <f t="shared" si="280"/>
        <v>#DIV/0!</v>
      </c>
      <c r="BY8464" s="215">
        <f t="shared" si="281"/>
        <v>0</v>
      </c>
    </row>
    <row r="8465" spans="76:77" x14ac:dyDescent="0.2">
      <c r="BX8465" s="214" t="e">
        <f t="shared" si="280"/>
        <v>#DIV/0!</v>
      </c>
      <c r="BY8465" s="215">
        <f t="shared" si="281"/>
        <v>0</v>
      </c>
    </row>
    <row r="8466" spans="76:77" x14ac:dyDescent="0.2">
      <c r="BX8466" s="214" t="e">
        <f t="shared" si="280"/>
        <v>#DIV/0!</v>
      </c>
      <c r="BY8466" s="215">
        <f t="shared" si="281"/>
        <v>0</v>
      </c>
    </row>
    <row r="8467" spans="76:77" x14ac:dyDescent="0.2">
      <c r="BX8467" s="214" t="e">
        <f t="shared" si="280"/>
        <v>#DIV/0!</v>
      </c>
      <c r="BY8467" s="215">
        <f t="shared" si="281"/>
        <v>0</v>
      </c>
    </row>
    <row r="8468" spans="76:77" x14ac:dyDescent="0.2">
      <c r="BX8468" s="214" t="e">
        <f t="shared" si="280"/>
        <v>#DIV/0!</v>
      </c>
      <c r="BY8468" s="215">
        <f t="shared" si="281"/>
        <v>0</v>
      </c>
    </row>
    <row r="8469" spans="76:77" x14ac:dyDescent="0.2">
      <c r="BX8469" s="214" t="e">
        <f t="shared" si="280"/>
        <v>#DIV/0!</v>
      </c>
      <c r="BY8469" s="215">
        <f t="shared" si="281"/>
        <v>0</v>
      </c>
    </row>
    <row r="8470" spans="76:77" x14ac:dyDescent="0.2">
      <c r="BX8470" s="214" t="e">
        <f t="shared" si="280"/>
        <v>#DIV/0!</v>
      </c>
      <c r="BY8470" s="215">
        <f t="shared" si="281"/>
        <v>0</v>
      </c>
    </row>
    <row r="8471" spans="76:77" x14ac:dyDescent="0.2">
      <c r="BX8471" s="214" t="e">
        <f t="shared" si="280"/>
        <v>#DIV/0!</v>
      </c>
      <c r="BY8471" s="215">
        <f t="shared" si="281"/>
        <v>0</v>
      </c>
    </row>
    <row r="8472" spans="76:77" x14ac:dyDescent="0.2">
      <c r="BX8472" s="214" t="e">
        <f t="shared" si="280"/>
        <v>#DIV/0!</v>
      </c>
      <c r="BY8472" s="215">
        <f t="shared" si="281"/>
        <v>0</v>
      </c>
    </row>
    <row r="8473" spans="76:77" x14ac:dyDescent="0.2">
      <c r="BX8473" s="214" t="e">
        <f t="shared" si="280"/>
        <v>#DIV/0!</v>
      </c>
      <c r="BY8473" s="215">
        <f t="shared" si="281"/>
        <v>0</v>
      </c>
    </row>
    <row r="8474" spans="76:77" x14ac:dyDescent="0.2">
      <c r="BX8474" s="214" t="e">
        <f t="shared" si="280"/>
        <v>#DIV/0!</v>
      </c>
      <c r="BY8474" s="215">
        <f t="shared" si="281"/>
        <v>0</v>
      </c>
    </row>
    <row r="8475" spans="76:77" x14ac:dyDescent="0.2">
      <c r="BX8475" s="214" t="e">
        <f t="shared" si="280"/>
        <v>#DIV/0!</v>
      </c>
      <c r="BY8475" s="215">
        <f t="shared" si="281"/>
        <v>0</v>
      </c>
    </row>
    <row r="8476" spans="76:77" x14ac:dyDescent="0.2">
      <c r="BX8476" s="214" t="e">
        <f t="shared" si="280"/>
        <v>#DIV/0!</v>
      </c>
      <c r="BY8476" s="215">
        <f t="shared" si="281"/>
        <v>0</v>
      </c>
    </row>
    <row r="8477" spans="76:77" x14ac:dyDescent="0.2">
      <c r="BX8477" s="214" t="e">
        <f t="shared" si="280"/>
        <v>#DIV/0!</v>
      </c>
      <c r="BY8477" s="215">
        <f t="shared" si="281"/>
        <v>0</v>
      </c>
    </row>
    <row r="8478" spans="76:77" x14ac:dyDescent="0.2">
      <c r="BX8478" s="214" t="e">
        <f t="shared" si="280"/>
        <v>#DIV/0!</v>
      </c>
      <c r="BY8478" s="215">
        <f t="shared" si="281"/>
        <v>0</v>
      </c>
    </row>
    <row r="8479" spans="76:77" x14ac:dyDescent="0.2">
      <c r="BX8479" s="214" t="e">
        <f t="shared" si="280"/>
        <v>#DIV/0!</v>
      </c>
      <c r="BY8479" s="215">
        <f t="shared" si="281"/>
        <v>0</v>
      </c>
    </row>
    <row r="8480" spans="76:77" x14ac:dyDescent="0.2">
      <c r="BX8480" s="214" t="e">
        <f t="shared" si="280"/>
        <v>#DIV/0!</v>
      </c>
      <c r="BY8480" s="215">
        <f t="shared" si="281"/>
        <v>0</v>
      </c>
    </row>
    <row r="8481" spans="76:77" x14ac:dyDescent="0.2">
      <c r="BX8481" s="214" t="e">
        <f t="shared" si="280"/>
        <v>#DIV/0!</v>
      </c>
      <c r="BY8481" s="215">
        <f t="shared" si="281"/>
        <v>0</v>
      </c>
    </row>
    <row r="8482" spans="76:77" x14ac:dyDescent="0.2">
      <c r="BX8482" s="214" t="e">
        <f t="shared" si="280"/>
        <v>#DIV/0!</v>
      </c>
      <c r="BY8482" s="215">
        <f t="shared" si="281"/>
        <v>0</v>
      </c>
    </row>
    <row r="8483" spans="76:77" x14ac:dyDescent="0.2">
      <c r="BX8483" s="214" t="e">
        <f t="shared" si="280"/>
        <v>#DIV/0!</v>
      </c>
      <c r="BY8483" s="215">
        <f t="shared" si="281"/>
        <v>0</v>
      </c>
    </row>
    <row r="8484" spans="76:77" x14ac:dyDescent="0.2">
      <c r="BX8484" s="214" t="e">
        <f t="shared" si="280"/>
        <v>#DIV/0!</v>
      </c>
      <c r="BY8484" s="215">
        <f t="shared" si="281"/>
        <v>0</v>
      </c>
    </row>
    <row r="8485" spans="76:77" x14ac:dyDescent="0.2">
      <c r="BX8485" s="214" t="e">
        <f t="shared" si="280"/>
        <v>#DIV/0!</v>
      </c>
      <c r="BY8485" s="215">
        <f t="shared" si="281"/>
        <v>0</v>
      </c>
    </row>
    <row r="8486" spans="76:77" x14ac:dyDescent="0.2">
      <c r="BX8486" s="214" t="e">
        <f t="shared" si="280"/>
        <v>#DIV/0!</v>
      </c>
      <c r="BY8486" s="215">
        <f t="shared" si="281"/>
        <v>0</v>
      </c>
    </row>
    <row r="8487" spans="76:77" x14ac:dyDescent="0.2">
      <c r="BX8487" s="214" t="e">
        <f t="shared" si="280"/>
        <v>#DIV/0!</v>
      </c>
      <c r="BY8487" s="215">
        <f t="shared" si="281"/>
        <v>0</v>
      </c>
    </row>
    <row r="8488" spans="76:77" x14ac:dyDescent="0.2">
      <c r="BX8488" s="214" t="e">
        <f t="shared" si="280"/>
        <v>#DIV/0!</v>
      </c>
      <c r="BY8488" s="215">
        <f t="shared" si="281"/>
        <v>0</v>
      </c>
    </row>
    <row r="8489" spans="76:77" x14ac:dyDescent="0.2">
      <c r="BX8489" s="214" t="e">
        <f t="shared" si="280"/>
        <v>#DIV/0!</v>
      </c>
      <c r="BY8489" s="215">
        <f t="shared" si="281"/>
        <v>0</v>
      </c>
    </row>
    <row r="8490" spans="76:77" x14ac:dyDescent="0.2">
      <c r="BX8490" s="214" t="e">
        <f t="shared" si="280"/>
        <v>#DIV/0!</v>
      </c>
      <c r="BY8490" s="215">
        <f t="shared" si="281"/>
        <v>0</v>
      </c>
    </row>
    <row r="8491" spans="76:77" x14ac:dyDescent="0.2">
      <c r="BX8491" s="214" t="e">
        <f t="shared" si="280"/>
        <v>#DIV/0!</v>
      </c>
      <c r="BY8491" s="215">
        <f t="shared" si="281"/>
        <v>0</v>
      </c>
    </row>
    <row r="8492" spans="76:77" x14ac:dyDescent="0.2">
      <c r="BX8492" s="214" t="e">
        <f t="shared" si="280"/>
        <v>#DIV/0!</v>
      </c>
      <c r="BY8492" s="215">
        <f t="shared" si="281"/>
        <v>0</v>
      </c>
    </row>
    <row r="8493" spans="76:77" x14ac:dyDescent="0.2">
      <c r="BX8493" s="214" t="e">
        <f t="shared" si="280"/>
        <v>#DIV/0!</v>
      </c>
      <c r="BY8493" s="215">
        <f t="shared" si="281"/>
        <v>0</v>
      </c>
    </row>
    <row r="8494" spans="76:77" x14ac:dyDescent="0.2">
      <c r="BX8494" s="214" t="e">
        <f t="shared" si="280"/>
        <v>#DIV/0!</v>
      </c>
      <c r="BY8494" s="215">
        <f t="shared" si="281"/>
        <v>0</v>
      </c>
    </row>
    <row r="8495" spans="76:77" x14ac:dyDescent="0.2">
      <c r="BX8495" s="214" t="e">
        <f t="shared" si="280"/>
        <v>#DIV/0!</v>
      </c>
      <c r="BY8495" s="215">
        <f t="shared" si="281"/>
        <v>0</v>
      </c>
    </row>
    <row r="8496" spans="76:77" x14ac:dyDescent="0.2">
      <c r="BX8496" s="214" t="e">
        <f t="shared" si="280"/>
        <v>#DIV/0!</v>
      </c>
      <c r="BY8496" s="215">
        <f t="shared" si="281"/>
        <v>0</v>
      </c>
    </row>
    <row r="8497" spans="76:77" x14ac:dyDescent="0.2">
      <c r="BX8497" s="214" t="e">
        <f t="shared" si="280"/>
        <v>#DIV/0!</v>
      </c>
      <c r="BY8497" s="215">
        <f t="shared" si="281"/>
        <v>0</v>
      </c>
    </row>
    <row r="8498" spans="76:77" x14ac:dyDescent="0.2">
      <c r="BX8498" s="214" t="e">
        <f t="shared" si="280"/>
        <v>#DIV/0!</v>
      </c>
      <c r="BY8498" s="215">
        <f t="shared" si="281"/>
        <v>0</v>
      </c>
    </row>
    <row r="8499" spans="76:77" x14ac:dyDescent="0.2">
      <c r="BX8499" s="214" t="e">
        <f t="shared" si="280"/>
        <v>#DIV/0!</v>
      </c>
      <c r="BY8499" s="215">
        <f t="shared" si="281"/>
        <v>0</v>
      </c>
    </row>
    <row r="8500" spans="76:77" x14ac:dyDescent="0.2">
      <c r="BX8500" s="214" t="e">
        <f t="shared" si="280"/>
        <v>#DIV/0!</v>
      </c>
      <c r="BY8500" s="215">
        <f t="shared" si="281"/>
        <v>0</v>
      </c>
    </row>
    <row r="8501" spans="76:77" x14ac:dyDescent="0.2">
      <c r="BX8501" s="214" t="e">
        <f t="shared" si="280"/>
        <v>#DIV/0!</v>
      </c>
      <c r="BY8501" s="215">
        <f t="shared" si="281"/>
        <v>0</v>
      </c>
    </row>
    <row r="8502" spans="76:77" x14ac:dyDescent="0.2">
      <c r="BX8502" s="214" t="e">
        <f t="shared" si="280"/>
        <v>#DIV/0!</v>
      </c>
      <c r="BY8502" s="215">
        <f t="shared" si="281"/>
        <v>0</v>
      </c>
    </row>
    <row r="8503" spans="76:77" x14ac:dyDescent="0.2">
      <c r="BX8503" s="214" t="e">
        <f t="shared" si="280"/>
        <v>#DIV/0!</v>
      </c>
      <c r="BY8503" s="215">
        <f t="shared" si="281"/>
        <v>0</v>
      </c>
    </row>
    <row r="8504" spans="76:77" x14ac:dyDescent="0.2">
      <c r="BX8504" s="214" t="e">
        <f t="shared" si="280"/>
        <v>#DIV/0!</v>
      </c>
      <c r="BY8504" s="215">
        <f t="shared" si="281"/>
        <v>0</v>
      </c>
    </row>
    <row r="8505" spans="76:77" x14ac:dyDescent="0.2">
      <c r="BX8505" s="214" t="e">
        <f t="shared" si="280"/>
        <v>#DIV/0!</v>
      </c>
      <c r="BY8505" s="215">
        <f t="shared" si="281"/>
        <v>0</v>
      </c>
    </row>
    <row r="8506" spans="76:77" x14ac:dyDescent="0.2">
      <c r="BX8506" s="214" t="e">
        <f t="shared" si="280"/>
        <v>#DIV/0!</v>
      </c>
      <c r="BY8506" s="215">
        <f t="shared" si="281"/>
        <v>0</v>
      </c>
    </row>
    <row r="8507" spans="76:77" x14ac:dyDescent="0.2">
      <c r="BX8507" s="214" t="e">
        <f t="shared" si="280"/>
        <v>#DIV/0!</v>
      </c>
      <c r="BY8507" s="215">
        <f t="shared" si="281"/>
        <v>0</v>
      </c>
    </row>
    <row r="8508" spans="76:77" x14ac:dyDescent="0.2">
      <c r="BX8508" s="214" t="e">
        <f t="shared" si="280"/>
        <v>#DIV/0!</v>
      </c>
      <c r="BY8508" s="215">
        <f t="shared" si="281"/>
        <v>0</v>
      </c>
    </row>
    <row r="8509" spans="76:77" x14ac:dyDescent="0.2">
      <c r="BX8509" s="214" t="e">
        <f t="shared" si="280"/>
        <v>#DIV/0!</v>
      </c>
      <c r="BY8509" s="215">
        <f t="shared" si="281"/>
        <v>0</v>
      </c>
    </row>
    <row r="8510" spans="76:77" x14ac:dyDescent="0.2">
      <c r="BX8510" s="214" t="e">
        <f t="shared" si="280"/>
        <v>#DIV/0!</v>
      </c>
      <c r="BY8510" s="215">
        <f t="shared" si="281"/>
        <v>0</v>
      </c>
    </row>
    <row r="8511" spans="76:77" x14ac:dyDescent="0.2">
      <c r="BX8511" s="214" t="e">
        <f t="shared" si="280"/>
        <v>#DIV/0!</v>
      </c>
      <c r="BY8511" s="215">
        <f t="shared" si="281"/>
        <v>0</v>
      </c>
    </row>
    <row r="8512" spans="76:77" x14ac:dyDescent="0.2">
      <c r="BX8512" s="214" t="e">
        <f t="shared" si="280"/>
        <v>#DIV/0!</v>
      </c>
      <c r="BY8512" s="215">
        <f t="shared" si="281"/>
        <v>0</v>
      </c>
    </row>
    <row r="8513" spans="76:77" x14ac:dyDescent="0.2">
      <c r="BX8513" s="214" t="e">
        <f t="shared" si="280"/>
        <v>#DIV/0!</v>
      </c>
      <c r="BY8513" s="215">
        <f t="shared" si="281"/>
        <v>0</v>
      </c>
    </row>
    <row r="8514" spans="76:77" x14ac:dyDescent="0.2">
      <c r="BX8514" s="214" t="e">
        <f t="shared" si="280"/>
        <v>#DIV/0!</v>
      </c>
      <c r="BY8514" s="215">
        <f t="shared" si="281"/>
        <v>0</v>
      </c>
    </row>
    <row r="8515" spans="76:77" x14ac:dyDescent="0.2">
      <c r="BX8515" s="214" t="e">
        <f t="shared" si="280"/>
        <v>#DIV/0!</v>
      </c>
      <c r="BY8515" s="215">
        <f t="shared" si="281"/>
        <v>0</v>
      </c>
    </row>
    <row r="8516" spans="76:77" x14ac:dyDescent="0.2">
      <c r="BX8516" s="214" t="e">
        <f t="shared" si="280"/>
        <v>#DIV/0!</v>
      </c>
      <c r="BY8516" s="215">
        <f t="shared" si="281"/>
        <v>0</v>
      </c>
    </row>
    <row r="8517" spans="76:77" x14ac:dyDescent="0.2">
      <c r="BX8517" s="214" t="e">
        <f t="shared" si="280"/>
        <v>#DIV/0!</v>
      </c>
      <c r="BY8517" s="215">
        <f t="shared" si="281"/>
        <v>0</v>
      </c>
    </row>
    <row r="8518" spans="76:77" x14ac:dyDescent="0.2">
      <c r="BX8518" s="214" t="e">
        <f t="shared" si="280"/>
        <v>#DIV/0!</v>
      </c>
      <c r="BY8518" s="215">
        <f t="shared" si="281"/>
        <v>0</v>
      </c>
    </row>
    <row r="8519" spans="76:77" x14ac:dyDescent="0.2">
      <c r="BX8519" s="214" t="e">
        <f t="shared" si="280"/>
        <v>#DIV/0!</v>
      </c>
      <c r="BY8519" s="215">
        <f t="shared" si="281"/>
        <v>0</v>
      </c>
    </row>
    <row r="8520" spans="76:77" x14ac:dyDescent="0.2">
      <c r="BX8520" s="214" t="e">
        <f t="shared" si="280"/>
        <v>#DIV/0!</v>
      </c>
      <c r="BY8520" s="215">
        <f t="shared" si="281"/>
        <v>0</v>
      </c>
    </row>
    <row r="8521" spans="76:77" x14ac:dyDescent="0.2">
      <c r="BX8521" s="214" t="e">
        <f t="shared" si="280"/>
        <v>#DIV/0!</v>
      </c>
      <c r="BY8521" s="215">
        <f t="shared" si="281"/>
        <v>0</v>
      </c>
    </row>
    <row r="8522" spans="76:77" x14ac:dyDescent="0.2">
      <c r="BX8522" s="214" t="e">
        <f t="shared" si="280"/>
        <v>#DIV/0!</v>
      </c>
      <c r="BY8522" s="215">
        <f t="shared" si="281"/>
        <v>0</v>
      </c>
    </row>
    <row r="8523" spans="76:77" x14ac:dyDescent="0.2">
      <c r="BX8523" s="214" t="e">
        <f t="shared" si="280"/>
        <v>#DIV/0!</v>
      </c>
      <c r="BY8523" s="215">
        <f t="shared" si="281"/>
        <v>0</v>
      </c>
    </row>
    <row r="8524" spans="76:77" x14ac:dyDescent="0.2">
      <c r="BX8524" s="214" t="e">
        <f t="shared" si="280"/>
        <v>#DIV/0!</v>
      </c>
      <c r="BY8524" s="215">
        <f t="shared" si="281"/>
        <v>0</v>
      </c>
    </row>
    <row r="8525" spans="76:77" x14ac:dyDescent="0.2">
      <c r="BX8525" s="214" t="e">
        <f t="shared" ref="BX8525:BX8588" si="282">BY8525/BV8525</f>
        <v>#DIV/0!</v>
      </c>
      <c r="BY8525" s="215">
        <f t="shared" si="281"/>
        <v>0</v>
      </c>
    </row>
    <row r="8526" spans="76:77" x14ac:dyDescent="0.2">
      <c r="BX8526" s="214" t="e">
        <f t="shared" si="282"/>
        <v>#DIV/0!</v>
      </c>
      <c r="BY8526" s="215">
        <f t="shared" ref="BY8526:BY8589" si="283">BY8525+BW8526*(BV8526-BV8525)</f>
        <v>0</v>
      </c>
    </row>
    <row r="8527" spans="76:77" x14ac:dyDescent="0.2">
      <c r="BX8527" s="214" t="e">
        <f t="shared" si="282"/>
        <v>#DIV/0!</v>
      </c>
      <c r="BY8527" s="215">
        <f t="shared" si="283"/>
        <v>0</v>
      </c>
    </row>
    <row r="8528" spans="76:77" x14ac:dyDescent="0.2">
      <c r="BX8528" s="214" t="e">
        <f t="shared" si="282"/>
        <v>#DIV/0!</v>
      </c>
      <c r="BY8528" s="215">
        <f t="shared" si="283"/>
        <v>0</v>
      </c>
    </row>
    <row r="8529" spans="76:77" x14ac:dyDescent="0.2">
      <c r="BX8529" s="214" t="e">
        <f t="shared" si="282"/>
        <v>#DIV/0!</v>
      </c>
      <c r="BY8529" s="215">
        <f t="shared" si="283"/>
        <v>0</v>
      </c>
    </row>
    <row r="8530" spans="76:77" x14ac:dyDescent="0.2">
      <c r="BX8530" s="214" t="e">
        <f t="shared" si="282"/>
        <v>#DIV/0!</v>
      </c>
      <c r="BY8530" s="215">
        <f t="shared" si="283"/>
        <v>0</v>
      </c>
    </row>
    <row r="8531" spans="76:77" x14ac:dyDescent="0.2">
      <c r="BX8531" s="214" t="e">
        <f t="shared" si="282"/>
        <v>#DIV/0!</v>
      </c>
      <c r="BY8531" s="215">
        <f t="shared" si="283"/>
        <v>0</v>
      </c>
    </row>
    <row r="8532" spans="76:77" x14ac:dyDescent="0.2">
      <c r="BX8532" s="214" t="e">
        <f t="shared" si="282"/>
        <v>#DIV/0!</v>
      </c>
      <c r="BY8532" s="215">
        <f t="shared" si="283"/>
        <v>0</v>
      </c>
    </row>
    <row r="8533" spans="76:77" x14ac:dyDescent="0.2">
      <c r="BX8533" s="214" t="e">
        <f t="shared" si="282"/>
        <v>#DIV/0!</v>
      </c>
      <c r="BY8533" s="215">
        <f t="shared" si="283"/>
        <v>0</v>
      </c>
    </row>
    <row r="8534" spans="76:77" x14ac:dyDescent="0.2">
      <c r="BX8534" s="214" t="e">
        <f t="shared" si="282"/>
        <v>#DIV/0!</v>
      </c>
      <c r="BY8534" s="215">
        <f t="shared" si="283"/>
        <v>0</v>
      </c>
    </row>
    <row r="8535" spans="76:77" x14ac:dyDescent="0.2">
      <c r="BX8535" s="214" t="e">
        <f t="shared" si="282"/>
        <v>#DIV/0!</v>
      </c>
      <c r="BY8535" s="215">
        <f t="shared" si="283"/>
        <v>0</v>
      </c>
    </row>
    <row r="8536" spans="76:77" x14ac:dyDescent="0.2">
      <c r="BX8536" s="214" t="e">
        <f t="shared" si="282"/>
        <v>#DIV/0!</v>
      </c>
      <c r="BY8536" s="215">
        <f t="shared" si="283"/>
        <v>0</v>
      </c>
    </row>
    <row r="8537" spans="76:77" x14ac:dyDescent="0.2">
      <c r="BX8537" s="214" t="e">
        <f t="shared" si="282"/>
        <v>#DIV/0!</v>
      </c>
      <c r="BY8537" s="215">
        <f t="shared" si="283"/>
        <v>0</v>
      </c>
    </row>
    <row r="8538" spans="76:77" x14ac:dyDescent="0.2">
      <c r="BX8538" s="214" t="e">
        <f t="shared" si="282"/>
        <v>#DIV/0!</v>
      </c>
      <c r="BY8538" s="215">
        <f t="shared" si="283"/>
        <v>0</v>
      </c>
    </row>
    <row r="8539" spans="76:77" x14ac:dyDescent="0.2">
      <c r="BX8539" s="214" t="e">
        <f t="shared" si="282"/>
        <v>#DIV/0!</v>
      </c>
      <c r="BY8539" s="215">
        <f t="shared" si="283"/>
        <v>0</v>
      </c>
    </row>
    <row r="8540" spans="76:77" x14ac:dyDescent="0.2">
      <c r="BX8540" s="214" t="e">
        <f t="shared" si="282"/>
        <v>#DIV/0!</v>
      </c>
      <c r="BY8540" s="215">
        <f t="shared" si="283"/>
        <v>0</v>
      </c>
    </row>
    <row r="8541" spans="76:77" x14ac:dyDescent="0.2">
      <c r="BX8541" s="214" t="e">
        <f t="shared" si="282"/>
        <v>#DIV/0!</v>
      </c>
      <c r="BY8541" s="215">
        <f t="shared" si="283"/>
        <v>0</v>
      </c>
    </row>
    <row r="8542" spans="76:77" x14ac:dyDescent="0.2">
      <c r="BX8542" s="214" t="e">
        <f t="shared" si="282"/>
        <v>#DIV/0!</v>
      </c>
      <c r="BY8542" s="215">
        <f t="shared" si="283"/>
        <v>0</v>
      </c>
    </row>
    <row r="8543" spans="76:77" x14ac:dyDescent="0.2">
      <c r="BX8543" s="214" t="e">
        <f t="shared" si="282"/>
        <v>#DIV/0!</v>
      </c>
      <c r="BY8543" s="215">
        <f t="shared" si="283"/>
        <v>0</v>
      </c>
    </row>
    <row r="8544" spans="76:77" x14ac:dyDescent="0.2">
      <c r="BX8544" s="214" t="e">
        <f t="shared" si="282"/>
        <v>#DIV/0!</v>
      </c>
      <c r="BY8544" s="215">
        <f t="shared" si="283"/>
        <v>0</v>
      </c>
    </row>
    <row r="8545" spans="76:77" x14ac:dyDescent="0.2">
      <c r="BX8545" s="214" t="e">
        <f t="shared" si="282"/>
        <v>#DIV/0!</v>
      </c>
      <c r="BY8545" s="215">
        <f t="shared" si="283"/>
        <v>0</v>
      </c>
    </row>
    <row r="8546" spans="76:77" x14ac:dyDescent="0.2">
      <c r="BX8546" s="214" t="e">
        <f t="shared" si="282"/>
        <v>#DIV/0!</v>
      </c>
      <c r="BY8546" s="215">
        <f t="shared" si="283"/>
        <v>0</v>
      </c>
    </row>
    <row r="8547" spans="76:77" x14ac:dyDescent="0.2">
      <c r="BX8547" s="214" t="e">
        <f t="shared" si="282"/>
        <v>#DIV/0!</v>
      </c>
      <c r="BY8547" s="215">
        <f t="shared" si="283"/>
        <v>0</v>
      </c>
    </row>
    <row r="8548" spans="76:77" x14ac:dyDescent="0.2">
      <c r="BX8548" s="214" t="e">
        <f t="shared" si="282"/>
        <v>#DIV/0!</v>
      </c>
      <c r="BY8548" s="215">
        <f t="shared" si="283"/>
        <v>0</v>
      </c>
    </row>
    <row r="8549" spans="76:77" x14ac:dyDescent="0.2">
      <c r="BX8549" s="214" t="e">
        <f t="shared" si="282"/>
        <v>#DIV/0!</v>
      </c>
      <c r="BY8549" s="215">
        <f t="shared" si="283"/>
        <v>0</v>
      </c>
    </row>
    <row r="8550" spans="76:77" x14ac:dyDescent="0.2">
      <c r="BX8550" s="214" t="e">
        <f t="shared" si="282"/>
        <v>#DIV/0!</v>
      </c>
      <c r="BY8550" s="215">
        <f t="shared" si="283"/>
        <v>0</v>
      </c>
    </row>
    <row r="8551" spans="76:77" x14ac:dyDescent="0.2">
      <c r="BX8551" s="214" t="e">
        <f t="shared" si="282"/>
        <v>#DIV/0!</v>
      </c>
      <c r="BY8551" s="215">
        <f t="shared" si="283"/>
        <v>0</v>
      </c>
    </row>
    <row r="8552" spans="76:77" x14ac:dyDescent="0.2">
      <c r="BX8552" s="214" t="e">
        <f t="shared" si="282"/>
        <v>#DIV/0!</v>
      </c>
      <c r="BY8552" s="215">
        <f t="shared" si="283"/>
        <v>0</v>
      </c>
    </row>
    <row r="8553" spans="76:77" x14ac:dyDescent="0.2">
      <c r="BX8553" s="214" t="e">
        <f t="shared" si="282"/>
        <v>#DIV/0!</v>
      </c>
      <c r="BY8553" s="215">
        <f t="shared" si="283"/>
        <v>0</v>
      </c>
    </row>
    <row r="8554" spans="76:77" x14ac:dyDescent="0.2">
      <c r="BX8554" s="214" t="e">
        <f t="shared" si="282"/>
        <v>#DIV/0!</v>
      </c>
      <c r="BY8554" s="215">
        <f t="shared" si="283"/>
        <v>0</v>
      </c>
    </row>
    <row r="8555" spans="76:77" x14ac:dyDescent="0.2">
      <c r="BX8555" s="214" t="e">
        <f t="shared" si="282"/>
        <v>#DIV/0!</v>
      </c>
      <c r="BY8555" s="215">
        <f t="shared" si="283"/>
        <v>0</v>
      </c>
    </row>
    <row r="8556" spans="76:77" x14ac:dyDescent="0.2">
      <c r="BX8556" s="214" t="e">
        <f t="shared" si="282"/>
        <v>#DIV/0!</v>
      </c>
      <c r="BY8556" s="215">
        <f t="shared" si="283"/>
        <v>0</v>
      </c>
    </row>
    <row r="8557" spans="76:77" x14ac:dyDescent="0.2">
      <c r="BX8557" s="214" t="e">
        <f t="shared" si="282"/>
        <v>#DIV/0!</v>
      </c>
      <c r="BY8557" s="215">
        <f t="shared" si="283"/>
        <v>0</v>
      </c>
    </row>
    <row r="8558" spans="76:77" x14ac:dyDescent="0.2">
      <c r="BX8558" s="214" t="e">
        <f t="shared" si="282"/>
        <v>#DIV/0!</v>
      </c>
      <c r="BY8558" s="215">
        <f t="shared" si="283"/>
        <v>0</v>
      </c>
    </row>
    <row r="8559" spans="76:77" x14ac:dyDescent="0.2">
      <c r="BX8559" s="214" t="e">
        <f t="shared" si="282"/>
        <v>#DIV/0!</v>
      </c>
      <c r="BY8559" s="215">
        <f t="shared" si="283"/>
        <v>0</v>
      </c>
    </row>
    <row r="8560" spans="76:77" x14ac:dyDescent="0.2">
      <c r="BX8560" s="214" t="e">
        <f t="shared" si="282"/>
        <v>#DIV/0!</v>
      </c>
      <c r="BY8560" s="215">
        <f t="shared" si="283"/>
        <v>0</v>
      </c>
    </row>
    <row r="8561" spans="76:77" x14ac:dyDescent="0.2">
      <c r="BX8561" s="214" t="e">
        <f t="shared" si="282"/>
        <v>#DIV/0!</v>
      </c>
      <c r="BY8561" s="215">
        <f t="shared" si="283"/>
        <v>0</v>
      </c>
    </row>
    <row r="8562" spans="76:77" x14ac:dyDescent="0.2">
      <c r="BX8562" s="214" t="e">
        <f t="shared" si="282"/>
        <v>#DIV/0!</v>
      </c>
      <c r="BY8562" s="215">
        <f t="shared" si="283"/>
        <v>0</v>
      </c>
    </row>
    <row r="8563" spans="76:77" x14ac:dyDescent="0.2">
      <c r="BX8563" s="214" t="e">
        <f t="shared" si="282"/>
        <v>#DIV/0!</v>
      </c>
      <c r="BY8563" s="215">
        <f t="shared" si="283"/>
        <v>0</v>
      </c>
    </row>
    <row r="8564" spans="76:77" x14ac:dyDescent="0.2">
      <c r="BX8564" s="214" t="e">
        <f t="shared" si="282"/>
        <v>#DIV/0!</v>
      </c>
      <c r="BY8564" s="215">
        <f t="shared" si="283"/>
        <v>0</v>
      </c>
    </row>
    <row r="8565" spans="76:77" x14ac:dyDescent="0.2">
      <c r="BX8565" s="214" t="e">
        <f t="shared" si="282"/>
        <v>#DIV/0!</v>
      </c>
      <c r="BY8565" s="215">
        <f t="shared" si="283"/>
        <v>0</v>
      </c>
    </row>
    <row r="8566" spans="76:77" x14ac:dyDescent="0.2">
      <c r="BX8566" s="214" t="e">
        <f t="shared" si="282"/>
        <v>#DIV/0!</v>
      </c>
      <c r="BY8566" s="215">
        <f t="shared" si="283"/>
        <v>0</v>
      </c>
    </row>
    <row r="8567" spans="76:77" x14ac:dyDescent="0.2">
      <c r="BX8567" s="214" t="e">
        <f t="shared" si="282"/>
        <v>#DIV/0!</v>
      </c>
      <c r="BY8567" s="215">
        <f t="shared" si="283"/>
        <v>0</v>
      </c>
    </row>
    <row r="8568" spans="76:77" x14ac:dyDescent="0.2">
      <c r="BX8568" s="214" t="e">
        <f t="shared" si="282"/>
        <v>#DIV/0!</v>
      </c>
      <c r="BY8568" s="215">
        <f t="shared" si="283"/>
        <v>0</v>
      </c>
    </row>
    <row r="8569" spans="76:77" x14ac:dyDescent="0.2">
      <c r="BX8569" s="214" t="e">
        <f t="shared" si="282"/>
        <v>#DIV/0!</v>
      </c>
      <c r="BY8569" s="215">
        <f t="shared" si="283"/>
        <v>0</v>
      </c>
    </row>
    <row r="8570" spans="76:77" x14ac:dyDescent="0.2">
      <c r="BX8570" s="214" t="e">
        <f t="shared" si="282"/>
        <v>#DIV/0!</v>
      </c>
      <c r="BY8570" s="215">
        <f t="shared" si="283"/>
        <v>0</v>
      </c>
    </row>
    <row r="8571" spans="76:77" x14ac:dyDescent="0.2">
      <c r="BX8571" s="214" t="e">
        <f t="shared" si="282"/>
        <v>#DIV/0!</v>
      </c>
      <c r="BY8571" s="215">
        <f t="shared" si="283"/>
        <v>0</v>
      </c>
    </row>
    <row r="8572" spans="76:77" x14ac:dyDescent="0.2">
      <c r="BX8572" s="214" t="e">
        <f t="shared" si="282"/>
        <v>#DIV/0!</v>
      </c>
      <c r="BY8572" s="215">
        <f t="shared" si="283"/>
        <v>0</v>
      </c>
    </row>
    <row r="8573" spans="76:77" x14ac:dyDescent="0.2">
      <c r="BX8573" s="214" t="e">
        <f t="shared" si="282"/>
        <v>#DIV/0!</v>
      </c>
      <c r="BY8573" s="215">
        <f t="shared" si="283"/>
        <v>0</v>
      </c>
    </row>
    <row r="8574" spans="76:77" x14ac:dyDescent="0.2">
      <c r="BX8574" s="214" t="e">
        <f t="shared" si="282"/>
        <v>#DIV/0!</v>
      </c>
      <c r="BY8574" s="215">
        <f t="shared" si="283"/>
        <v>0</v>
      </c>
    </row>
    <row r="8575" spans="76:77" x14ac:dyDescent="0.2">
      <c r="BX8575" s="214" t="e">
        <f t="shared" si="282"/>
        <v>#DIV/0!</v>
      </c>
      <c r="BY8575" s="215">
        <f t="shared" si="283"/>
        <v>0</v>
      </c>
    </row>
    <row r="8576" spans="76:77" x14ac:dyDescent="0.2">
      <c r="BX8576" s="214" t="e">
        <f t="shared" si="282"/>
        <v>#DIV/0!</v>
      </c>
      <c r="BY8576" s="215">
        <f t="shared" si="283"/>
        <v>0</v>
      </c>
    </row>
    <row r="8577" spans="76:77" x14ac:dyDescent="0.2">
      <c r="BX8577" s="214" t="e">
        <f t="shared" si="282"/>
        <v>#DIV/0!</v>
      </c>
      <c r="BY8577" s="215">
        <f t="shared" si="283"/>
        <v>0</v>
      </c>
    </row>
    <row r="8578" spans="76:77" x14ac:dyDescent="0.2">
      <c r="BX8578" s="214" t="e">
        <f t="shared" si="282"/>
        <v>#DIV/0!</v>
      </c>
      <c r="BY8578" s="215">
        <f t="shared" si="283"/>
        <v>0</v>
      </c>
    </row>
    <row r="8579" spans="76:77" x14ac:dyDescent="0.2">
      <c r="BX8579" s="214" t="e">
        <f t="shared" si="282"/>
        <v>#DIV/0!</v>
      </c>
      <c r="BY8579" s="215">
        <f t="shared" si="283"/>
        <v>0</v>
      </c>
    </row>
    <row r="8580" spans="76:77" x14ac:dyDescent="0.2">
      <c r="BX8580" s="214" t="e">
        <f t="shared" si="282"/>
        <v>#DIV/0!</v>
      </c>
      <c r="BY8580" s="215">
        <f t="shared" si="283"/>
        <v>0</v>
      </c>
    </row>
    <row r="8581" spans="76:77" x14ac:dyDescent="0.2">
      <c r="BX8581" s="214" t="e">
        <f t="shared" si="282"/>
        <v>#DIV/0!</v>
      </c>
      <c r="BY8581" s="215">
        <f t="shared" si="283"/>
        <v>0</v>
      </c>
    </row>
    <row r="8582" spans="76:77" x14ac:dyDescent="0.2">
      <c r="BX8582" s="214" t="e">
        <f t="shared" si="282"/>
        <v>#DIV/0!</v>
      </c>
      <c r="BY8582" s="215">
        <f t="shared" si="283"/>
        <v>0</v>
      </c>
    </row>
    <row r="8583" spans="76:77" x14ac:dyDescent="0.2">
      <c r="BX8583" s="214" t="e">
        <f t="shared" si="282"/>
        <v>#DIV/0!</v>
      </c>
      <c r="BY8583" s="215">
        <f t="shared" si="283"/>
        <v>0</v>
      </c>
    </row>
    <row r="8584" spans="76:77" x14ac:dyDescent="0.2">
      <c r="BX8584" s="214" t="e">
        <f t="shared" si="282"/>
        <v>#DIV/0!</v>
      </c>
      <c r="BY8584" s="215">
        <f t="shared" si="283"/>
        <v>0</v>
      </c>
    </row>
    <row r="8585" spans="76:77" x14ac:dyDescent="0.2">
      <c r="BX8585" s="214" t="e">
        <f t="shared" si="282"/>
        <v>#DIV/0!</v>
      </c>
      <c r="BY8585" s="215">
        <f t="shared" si="283"/>
        <v>0</v>
      </c>
    </row>
    <row r="8586" spans="76:77" x14ac:dyDescent="0.2">
      <c r="BX8586" s="214" t="e">
        <f t="shared" si="282"/>
        <v>#DIV/0!</v>
      </c>
      <c r="BY8586" s="215">
        <f t="shared" si="283"/>
        <v>0</v>
      </c>
    </row>
    <row r="8587" spans="76:77" x14ac:dyDescent="0.2">
      <c r="BX8587" s="214" t="e">
        <f t="shared" si="282"/>
        <v>#DIV/0!</v>
      </c>
      <c r="BY8587" s="215">
        <f t="shared" si="283"/>
        <v>0</v>
      </c>
    </row>
    <row r="8588" spans="76:77" x14ac:dyDescent="0.2">
      <c r="BX8588" s="214" t="e">
        <f t="shared" si="282"/>
        <v>#DIV/0!</v>
      </c>
      <c r="BY8588" s="215">
        <f t="shared" si="283"/>
        <v>0</v>
      </c>
    </row>
    <row r="8589" spans="76:77" x14ac:dyDescent="0.2">
      <c r="BX8589" s="214" t="e">
        <f t="shared" ref="BX8589:BX8652" si="284">BY8589/BV8589</f>
        <v>#DIV/0!</v>
      </c>
      <c r="BY8589" s="215">
        <f t="shared" si="283"/>
        <v>0</v>
      </c>
    </row>
    <row r="8590" spans="76:77" x14ac:dyDescent="0.2">
      <c r="BX8590" s="214" t="e">
        <f t="shared" si="284"/>
        <v>#DIV/0!</v>
      </c>
      <c r="BY8590" s="215">
        <f t="shared" ref="BY8590:BY8653" si="285">BY8589+BW8590*(BV8590-BV8589)</f>
        <v>0</v>
      </c>
    </row>
    <row r="8591" spans="76:77" x14ac:dyDescent="0.2">
      <c r="BX8591" s="214" t="e">
        <f t="shared" si="284"/>
        <v>#DIV/0!</v>
      </c>
      <c r="BY8591" s="215">
        <f t="shared" si="285"/>
        <v>0</v>
      </c>
    </row>
    <row r="8592" spans="76:77" x14ac:dyDescent="0.2">
      <c r="BX8592" s="214" t="e">
        <f t="shared" si="284"/>
        <v>#DIV/0!</v>
      </c>
      <c r="BY8592" s="215">
        <f t="shared" si="285"/>
        <v>0</v>
      </c>
    </row>
    <row r="8593" spans="76:77" x14ac:dyDescent="0.2">
      <c r="BX8593" s="214" t="e">
        <f t="shared" si="284"/>
        <v>#DIV/0!</v>
      </c>
      <c r="BY8593" s="215">
        <f t="shared" si="285"/>
        <v>0</v>
      </c>
    </row>
    <row r="8594" spans="76:77" x14ac:dyDescent="0.2">
      <c r="BX8594" s="214" t="e">
        <f t="shared" si="284"/>
        <v>#DIV/0!</v>
      </c>
      <c r="BY8594" s="215">
        <f t="shared" si="285"/>
        <v>0</v>
      </c>
    </row>
    <row r="8595" spans="76:77" x14ac:dyDescent="0.2">
      <c r="BX8595" s="214" t="e">
        <f t="shared" si="284"/>
        <v>#DIV/0!</v>
      </c>
      <c r="BY8595" s="215">
        <f t="shared" si="285"/>
        <v>0</v>
      </c>
    </row>
    <row r="8596" spans="76:77" x14ac:dyDescent="0.2">
      <c r="BX8596" s="214" t="e">
        <f t="shared" si="284"/>
        <v>#DIV/0!</v>
      </c>
      <c r="BY8596" s="215">
        <f t="shared" si="285"/>
        <v>0</v>
      </c>
    </row>
    <row r="8597" spans="76:77" x14ac:dyDescent="0.2">
      <c r="BX8597" s="214" t="e">
        <f t="shared" si="284"/>
        <v>#DIV/0!</v>
      </c>
      <c r="BY8597" s="215">
        <f t="shared" si="285"/>
        <v>0</v>
      </c>
    </row>
    <row r="8598" spans="76:77" x14ac:dyDescent="0.2">
      <c r="BX8598" s="214" t="e">
        <f t="shared" si="284"/>
        <v>#DIV/0!</v>
      </c>
      <c r="BY8598" s="215">
        <f t="shared" si="285"/>
        <v>0</v>
      </c>
    </row>
    <row r="8599" spans="76:77" x14ac:dyDescent="0.2">
      <c r="BX8599" s="214" t="e">
        <f t="shared" si="284"/>
        <v>#DIV/0!</v>
      </c>
      <c r="BY8599" s="215">
        <f t="shared" si="285"/>
        <v>0</v>
      </c>
    </row>
    <row r="8600" spans="76:77" x14ac:dyDescent="0.2">
      <c r="BX8600" s="214" t="e">
        <f t="shared" si="284"/>
        <v>#DIV/0!</v>
      </c>
      <c r="BY8600" s="215">
        <f t="shared" si="285"/>
        <v>0</v>
      </c>
    </row>
    <row r="8601" spans="76:77" x14ac:dyDescent="0.2">
      <c r="BX8601" s="214" t="e">
        <f t="shared" si="284"/>
        <v>#DIV/0!</v>
      </c>
      <c r="BY8601" s="215">
        <f t="shared" si="285"/>
        <v>0</v>
      </c>
    </row>
    <row r="8602" spans="76:77" x14ac:dyDescent="0.2">
      <c r="BX8602" s="214" t="e">
        <f t="shared" si="284"/>
        <v>#DIV/0!</v>
      </c>
      <c r="BY8602" s="215">
        <f t="shared" si="285"/>
        <v>0</v>
      </c>
    </row>
    <row r="8603" spans="76:77" x14ac:dyDescent="0.2">
      <c r="BX8603" s="214" t="e">
        <f t="shared" si="284"/>
        <v>#DIV/0!</v>
      </c>
      <c r="BY8603" s="215">
        <f t="shared" si="285"/>
        <v>0</v>
      </c>
    </row>
    <row r="8604" spans="76:77" x14ac:dyDescent="0.2">
      <c r="BX8604" s="214" t="e">
        <f t="shared" si="284"/>
        <v>#DIV/0!</v>
      </c>
      <c r="BY8604" s="215">
        <f t="shared" si="285"/>
        <v>0</v>
      </c>
    </row>
    <row r="8605" spans="76:77" x14ac:dyDescent="0.2">
      <c r="BX8605" s="214" t="e">
        <f t="shared" si="284"/>
        <v>#DIV/0!</v>
      </c>
      <c r="BY8605" s="215">
        <f t="shared" si="285"/>
        <v>0</v>
      </c>
    </row>
    <row r="8606" spans="76:77" x14ac:dyDescent="0.2">
      <c r="BX8606" s="214" t="e">
        <f t="shared" si="284"/>
        <v>#DIV/0!</v>
      </c>
      <c r="BY8606" s="215">
        <f t="shared" si="285"/>
        <v>0</v>
      </c>
    </row>
    <row r="8607" spans="76:77" x14ac:dyDescent="0.2">
      <c r="BX8607" s="214" t="e">
        <f t="shared" si="284"/>
        <v>#DIV/0!</v>
      </c>
      <c r="BY8607" s="215">
        <f t="shared" si="285"/>
        <v>0</v>
      </c>
    </row>
    <row r="8608" spans="76:77" x14ac:dyDescent="0.2">
      <c r="BX8608" s="214" t="e">
        <f t="shared" si="284"/>
        <v>#DIV/0!</v>
      </c>
      <c r="BY8608" s="215">
        <f t="shared" si="285"/>
        <v>0</v>
      </c>
    </row>
    <row r="8609" spans="76:77" x14ac:dyDescent="0.2">
      <c r="BX8609" s="214" t="e">
        <f t="shared" si="284"/>
        <v>#DIV/0!</v>
      </c>
      <c r="BY8609" s="215">
        <f t="shared" si="285"/>
        <v>0</v>
      </c>
    </row>
    <row r="8610" spans="76:77" x14ac:dyDescent="0.2">
      <c r="BX8610" s="214" t="e">
        <f t="shared" si="284"/>
        <v>#DIV/0!</v>
      </c>
      <c r="BY8610" s="215">
        <f t="shared" si="285"/>
        <v>0</v>
      </c>
    </row>
    <row r="8611" spans="76:77" x14ac:dyDescent="0.2">
      <c r="BX8611" s="214" t="e">
        <f t="shared" si="284"/>
        <v>#DIV/0!</v>
      </c>
      <c r="BY8611" s="215">
        <f t="shared" si="285"/>
        <v>0</v>
      </c>
    </row>
    <row r="8612" spans="76:77" x14ac:dyDescent="0.2">
      <c r="BX8612" s="214" t="e">
        <f t="shared" si="284"/>
        <v>#DIV/0!</v>
      </c>
      <c r="BY8612" s="215">
        <f t="shared" si="285"/>
        <v>0</v>
      </c>
    </row>
    <row r="8613" spans="76:77" x14ac:dyDescent="0.2">
      <c r="BX8613" s="214" t="e">
        <f t="shared" si="284"/>
        <v>#DIV/0!</v>
      </c>
      <c r="BY8613" s="215">
        <f t="shared" si="285"/>
        <v>0</v>
      </c>
    </row>
    <row r="8614" spans="76:77" x14ac:dyDescent="0.2">
      <c r="BX8614" s="214" t="e">
        <f t="shared" si="284"/>
        <v>#DIV/0!</v>
      </c>
      <c r="BY8614" s="215">
        <f t="shared" si="285"/>
        <v>0</v>
      </c>
    </row>
    <row r="8615" spans="76:77" x14ac:dyDescent="0.2">
      <c r="BX8615" s="214" t="e">
        <f t="shared" si="284"/>
        <v>#DIV/0!</v>
      </c>
      <c r="BY8615" s="215">
        <f t="shared" si="285"/>
        <v>0</v>
      </c>
    </row>
    <row r="8616" spans="76:77" x14ac:dyDescent="0.2">
      <c r="BX8616" s="214" t="e">
        <f t="shared" si="284"/>
        <v>#DIV/0!</v>
      </c>
      <c r="BY8616" s="215">
        <f t="shared" si="285"/>
        <v>0</v>
      </c>
    </row>
    <row r="8617" spans="76:77" x14ac:dyDescent="0.2">
      <c r="BX8617" s="214" t="e">
        <f t="shared" si="284"/>
        <v>#DIV/0!</v>
      </c>
      <c r="BY8617" s="215">
        <f t="shared" si="285"/>
        <v>0</v>
      </c>
    </row>
    <row r="8618" spans="76:77" x14ac:dyDescent="0.2">
      <c r="BX8618" s="214" t="e">
        <f t="shared" si="284"/>
        <v>#DIV/0!</v>
      </c>
      <c r="BY8618" s="215">
        <f t="shared" si="285"/>
        <v>0</v>
      </c>
    </row>
    <row r="8619" spans="76:77" x14ac:dyDescent="0.2">
      <c r="BX8619" s="214" t="e">
        <f t="shared" si="284"/>
        <v>#DIV/0!</v>
      </c>
      <c r="BY8619" s="215">
        <f t="shared" si="285"/>
        <v>0</v>
      </c>
    </row>
    <row r="8620" spans="76:77" x14ac:dyDescent="0.2">
      <c r="BX8620" s="214" t="e">
        <f t="shared" si="284"/>
        <v>#DIV/0!</v>
      </c>
      <c r="BY8620" s="215">
        <f t="shared" si="285"/>
        <v>0</v>
      </c>
    </row>
    <row r="8621" spans="76:77" x14ac:dyDescent="0.2">
      <c r="BX8621" s="214" t="e">
        <f t="shared" si="284"/>
        <v>#DIV/0!</v>
      </c>
      <c r="BY8621" s="215">
        <f t="shared" si="285"/>
        <v>0</v>
      </c>
    </row>
    <row r="8622" spans="76:77" x14ac:dyDescent="0.2">
      <c r="BX8622" s="214" t="e">
        <f t="shared" si="284"/>
        <v>#DIV/0!</v>
      </c>
      <c r="BY8622" s="215">
        <f t="shared" si="285"/>
        <v>0</v>
      </c>
    </row>
    <row r="8623" spans="76:77" x14ac:dyDescent="0.2">
      <c r="BX8623" s="214" t="e">
        <f t="shared" si="284"/>
        <v>#DIV/0!</v>
      </c>
      <c r="BY8623" s="215">
        <f t="shared" si="285"/>
        <v>0</v>
      </c>
    </row>
    <row r="8624" spans="76:77" x14ac:dyDescent="0.2">
      <c r="BX8624" s="214" t="e">
        <f t="shared" si="284"/>
        <v>#DIV/0!</v>
      </c>
      <c r="BY8624" s="215">
        <f t="shared" si="285"/>
        <v>0</v>
      </c>
    </row>
    <row r="8625" spans="76:77" x14ac:dyDescent="0.2">
      <c r="BX8625" s="214" t="e">
        <f t="shared" si="284"/>
        <v>#DIV/0!</v>
      </c>
      <c r="BY8625" s="215">
        <f t="shared" si="285"/>
        <v>0</v>
      </c>
    </row>
    <row r="8626" spans="76:77" x14ac:dyDescent="0.2">
      <c r="BX8626" s="214" t="e">
        <f t="shared" si="284"/>
        <v>#DIV/0!</v>
      </c>
      <c r="BY8626" s="215">
        <f t="shared" si="285"/>
        <v>0</v>
      </c>
    </row>
    <row r="8627" spans="76:77" x14ac:dyDescent="0.2">
      <c r="BX8627" s="214" t="e">
        <f t="shared" si="284"/>
        <v>#DIV/0!</v>
      </c>
      <c r="BY8627" s="215">
        <f t="shared" si="285"/>
        <v>0</v>
      </c>
    </row>
    <row r="8628" spans="76:77" x14ac:dyDescent="0.2">
      <c r="BX8628" s="214" t="e">
        <f t="shared" si="284"/>
        <v>#DIV/0!</v>
      </c>
      <c r="BY8628" s="215">
        <f t="shared" si="285"/>
        <v>0</v>
      </c>
    </row>
    <row r="8629" spans="76:77" x14ac:dyDescent="0.2">
      <c r="BX8629" s="214" t="e">
        <f t="shared" si="284"/>
        <v>#DIV/0!</v>
      </c>
      <c r="BY8629" s="215">
        <f t="shared" si="285"/>
        <v>0</v>
      </c>
    </row>
    <row r="8630" spans="76:77" x14ac:dyDescent="0.2">
      <c r="BX8630" s="214" t="e">
        <f t="shared" si="284"/>
        <v>#DIV/0!</v>
      </c>
      <c r="BY8630" s="215">
        <f t="shared" si="285"/>
        <v>0</v>
      </c>
    </row>
    <row r="8631" spans="76:77" x14ac:dyDescent="0.2">
      <c r="BX8631" s="214" t="e">
        <f t="shared" si="284"/>
        <v>#DIV/0!</v>
      </c>
      <c r="BY8631" s="215">
        <f t="shared" si="285"/>
        <v>0</v>
      </c>
    </row>
    <row r="8632" spans="76:77" x14ac:dyDescent="0.2">
      <c r="BX8632" s="214" t="e">
        <f t="shared" si="284"/>
        <v>#DIV/0!</v>
      </c>
      <c r="BY8632" s="215">
        <f t="shared" si="285"/>
        <v>0</v>
      </c>
    </row>
    <row r="8633" spans="76:77" x14ac:dyDescent="0.2">
      <c r="BX8633" s="214" t="e">
        <f t="shared" si="284"/>
        <v>#DIV/0!</v>
      </c>
      <c r="BY8633" s="215">
        <f t="shared" si="285"/>
        <v>0</v>
      </c>
    </row>
    <row r="8634" spans="76:77" x14ac:dyDescent="0.2">
      <c r="BX8634" s="214" t="e">
        <f t="shared" si="284"/>
        <v>#DIV/0!</v>
      </c>
      <c r="BY8634" s="215">
        <f t="shared" si="285"/>
        <v>0</v>
      </c>
    </row>
    <row r="8635" spans="76:77" x14ac:dyDescent="0.2">
      <c r="BX8635" s="214" t="e">
        <f t="shared" si="284"/>
        <v>#DIV/0!</v>
      </c>
      <c r="BY8635" s="215">
        <f t="shared" si="285"/>
        <v>0</v>
      </c>
    </row>
    <row r="8636" spans="76:77" x14ac:dyDescent="0.2">
      <c r="BX8636" s="214" t="e">
        <f t="shared" si="284"/>
        <v>#DIV/0!</v>
      </c>
      <c r="BY8636" s="215">
        <f t="shared" si="285"/>
        <v>0</v>
      </c>
    </row>
    <row r="8637" spans="76:77" x14ac:dyDescent="0.2">
      <c r="BX8637" s="214" t="e">
        <f t="shared" si="284"/>
        <v>#DIV/0!</v>
      </c>
      <c r="BY8637" s="215">
        <f t="shared" si="285"/>
        <v>0</v>
      </c>
    </row>
    <row r="8638" spans="76:77" x14ac:dyDescent="0.2">
      <c r="BX8638" s="214" t="e">
        <f t="shared" si="284"/>
        <v>#DIV/0!</v>
      </c>
      <c r="BY8638" s="215">
        <f t="shared" si="285"/>
        <v>0</v>
      </c>
    </row>
    <row r="8639" spans="76:77" x14ac:dyDescent="0.2">
      <c r="BX8639" s="214" t="e">
        <f t="shared" si="284"/>
        <v>#DIV/0!</v>
      </c>
      <c r="BY8639" s="215">
        <f t="shared" si="285"/>
        <v>0</v>
      </c>
    </row>
    <row r="8640" spans="76:77" x14ac:dyDescent="0.2">
      <c r="BX8640" s="214" t="e">
        <f t="shared" si="284"/>
        <v>#DIV/0!</v>
      </c>
      <c r="BY8640" s="215">
        <f t="shared" si="285"/>
        <v>0</v>
      </c>
    </row>
    <row r="8641" spans="76:77" x14ac:dyDescent="0.2">
      <c r="BX8641" s="214" t="e">
        <f t="shared" si="284"/>
        <v>#DIV/0!</v>
      </c>
      <c r="BY8641" s="215">
        <f t="shared" si="285"/>
        <v>0</v>
      </c>
    </row>
    <row r="8642" spans="76:77" x14ac:dyDescent="0.2">
      <c r="BX8642" s="214" t="e">
        <f t="shared" si="284"/>
        <v>#DIV/0!</v>
      </c>
      <c r="BY8642" s="215">
        <f t="shared" si="285"/>
        <v>0</v>
      </c>
    </row>
    <row r="8643" spans="76:77" x14ac:dyDescent="0.2">
      <c r="BX8643" s="214" t="e">
        <f t="shared" si="284"/>
        <v>#DIV/0!</v>
      </c>
      <c r="BY8643" s="215">
        <f t="shared" si="285"/>
        <v>0</v>
      </c>
    </row>
    <row r="8644" spans="76:77" x14ac:dyDescent="0.2">
      <c r="BX8644" s="214" t="e">
        <f t="shared" si="284"/>
        <v>#DIV/0!</v>
      </c>
      <c r="BY8644" s="215">
        <f t="shared" si="285"/>
        <v>0</v>
      </c>
    </row>
    <row r="8645" spans="76:77" x14ac:dyDescent="0.2">
      <c r="BX8645" s="214" t="e">
        <f t="shared" si="284"/>
        <v>#DIV/0!</v>
      </c>
      <c r="BY8645" s="215">
        <f t="shared" si="285"/>
        <v>0</v>
      </c>
    </row>
    <row r="8646" spans="76:77" x14ac:dyDescent="0.2">
      <c r="BX8646" s="214" t="e">
        <f t="shared" si="284"/>
        <v>#DIV/0!</v>
      </c>
      <c r="BY8646" s="215">
        <f t="shared" si="285"/>
        <v>0</v>
      </c>
    </row>
    <row r="8647" spans="76:77" x14ac:dyDescent="0.2">
      <c r="BX8647" s="214" t="e">
        <f t="shared" si="284"/>
        <v>#DIV/0!</v>
      </c>
      <c r="BY8647" s="215">
        <f t="shared" si="285"/>
        <v>0</v>
      </c>
    </row>
    <row r="8648" spans="76:77" x14ac:dyDescent="0.2">
      <c r="BX8648" s="214" t="e">
        <f t="shared" si="284"/>
        <v>#DIV/0!</v>
      </c>
      <c r="BY8648" s="215">
        <f t="shared" si="285"/>
        <v>0</v>
      </c>
    </row>
    <row r="8649" spans="76:77" x14ac:dyDescent="0.2">
      <c r="BX8649" s="214" t="e">
        <f t="shared" si="284"/>
        <v>#DIV/0!</v>
      </c>
      <c r="BY8649" s="215">
        <f t="shared" si="285"/>
        <v>0</v>
      </c>
    </row>
    <row r="8650" spans="76:77" x14ac:dyDescent="0.2">
      <c r="BX8650" s="214" t="e">
        <f t="shared" si="284"/>
        <v>#DIV/0!</v>
      </c>
      <c r="BY8650" s="215">
        <f t="shared" si="285"/>
        <v>0</v>
      </c>
    </row>
    <row r="8651" spans="76:77" x14ac:dyDescent="0.2">
      <c r="BX8651" s="214" t="e">
        <f t="shared" si="284"/>
        <v>#DIV/0!</v>
      </c>
      <c r="BY8651" s="215">
        <f t="shared" si="285"/>
        <v>0</v>
      </c>
    </row>
    <row r="8652" spans="76:77" x14ac:dyDescent="0.2">
      <c r="BX8652" s="214" t="e">
        <f t="shared" si="284"/>
        <v>#DIV/0!</v>
      </c>
      <c r="BY8652" s="215">
        <f t="shared" si="285"/>
        <v>0</v>
      </c>
    </row>
    <row r="8653" spans="76:77" x14ac:dyDescent="0.2">
      <c r="BX8653" s="214" t="e">
        <f t="shared" ref="BX8653:BX8716" si="286">BY8653/BV8653</f>
        <v>#DIV/0!</v>
      </c>
      <c r="BY8653" s="215">
        <f t="shared" si="285"/>
        <v>0</v>
      </c>
    </row>
    <row r="8654" spans="76:77" x14ac:dyDescent="0.2">
      <c r="BX8654" s="214" t="e">
        <f t="shared" si="286"/>
        <v>#DIV/0!</v>
      </c>
      <c r="BY8654" s="215">
        <f t="shared" ref="BY8654:BY8717" si="287">BY8653+BW8654*(BV8654-BV8653)</f>
        <v>0</v>
      </c>
    </row>
    <row r="8655" spans="76:77" x14ac:dyDescent="0.2">
      <c r="BX8655" s="214" t="e">
        <f t="shared" si="286"/>
        <v>#DIV/0!</v>
      </c>
      <c r="BY8655" s="215">
        <f t="shared" si="287"/>
        <v>0</v>
      </c>
    </row>
    <row r="8656" spans="76:77" x14ac:dyDescent="0.2">
      <c r="BX8656" s="214" t="e">
        <f t="shared" si="286"/>
        <v>#DIV/0!</v>
      </c>
      <c r="BY8656" s="215">
        <f t="shared" si="287"/>
        <v>0</v>
      </c>
    </row>
    <row r="8657" spans="76:77" x14ac:dyDescent="0.2">
      <c r="BX8657" s="214" t="e">
        <f t="shared" si="286"/>
        <v>#DIV/0!</v>
      </c>
      <c r="BY8657" s="215">
        <f t="shared" si="287"/>
        <v>0</v>
      </c>
    </row>
    <row r="8658" spans="76:77" x14ac:dyDescent="0.2">
      <c r="BX8658" s="214" t="e">
        <f t="shared" si="286"/>
        <v>#DIV/0!</v>
      </c>
      <c r="BY8658" s="215">
        <f t="shared" si="287"/>
        <v>0</v>
      </c>
    </row>
    <row r="8659" spans="76:77" x14ac:dyDescent="0.2">
      <c r="BX8659" s="214" t="e">
        <f t="shared" si="286"/>
        <v>#DIV/0!</v>
      </c>
      <c r="BY8659" s="215">
        <f t="shared" si="287"/>
        <v>0</v>
      </c>
    </row>
    <row r="8660" spans="76:77" x14ac:dyDescent="0.2">
      <c r="BX8660" s="214" t="e">
        <f t="shared" si="286"/>
        <v>#DIV/0!</v>
      </c>
      <c r="BY8660" s="215">
        <f t="shared" si="287"/>
        <v>0</v>
      </c>
    </row>
    <row r="8661" spans="76:77" x14ac:dyDescent="0.2">
      <c r="BX8661" s="214" t="e">
        <f t="shared" si="286"/>
        <v>#DIV/0!</v>
      </c>
      <c r="BY8661" s="215">
        <f t="shared" si="287"/>
        <v>0</v>
      </c>
    </row>
    <row r="8662" spans="76:77" x14ac:dyDescent="0.2">
      <c r="BX8662" s="214" t="e">
        <f t="shared" si="286"/>
        <v>#DIV/0!</v>
      </c>
      <c r="BY8662" s="215">
        <f t="shared" si="287"/>
        <v>0</v>
      </c>
    </row>
    <row r="8663" spans="76:77" x14ac:dyDescent="0.2">
      <c r="BX8663" s="214" t="e">
        <f t="shared" si="286"/>
        <v>#DIV/0!</v>
      </c>
      <c r="BY8663" s="215">
        <f t="shared" si="287"/>
        <v>0</v>
      </c>
    </row>
    <row r="8664" spans="76:77" x14ac:dyDescent="0.2">
      <c r="BX8664" s="214" t="e">
        <f t="shared" si="286"/>
        <v>#DIV/0!</v>
      </c>
      <c r="BY8664" s="215">
        <f t="shared" si="287"/>
        <v>0</v>
      </c>
    </row>
    <row r="8665" spans="76:77" x14ac:dyDescent="0.2">
      <c r="BX8665" s="214" t="e">
        <f t="shared" si="286"/>
        <v>#DIV/0!</v>
      </c>
      <c r="BY8665" s="215">
        <f t="shared" si="287"/>
        <v>0</v>
      </c>
    </row>
    <row r="8666" spans="76:77" x14ac:dyDescent="0.2">
      <c r="BX8666" s="214" t="e">
        <f t="shared" si="286"/>
        <v>#DIV/0!</v>
      </c>
      <c r="BY8666" s="215">
        <f t="shared" si="287"/>
        <v>0</v>
      </c>
    </row>
    <row r="8667" spans="76:77" x14ac:dyDescent="0.2">
      <c r="BX8667" s="214" t="e">
        <f t="shared" si="286"/>
        <v>#DIV/0!</v>
      </c>
      <c r="BY8667" s="215">
        <f t="shared" si="287"/>
        <v>0</v>
      </c>
    </row>
    <row r="8668" spans="76:77" x14ac:dyDescent="0.2">
      <c r="BX8668" s="214" t="e">
        <f t="shared" si="286"/>
        <v>#DIV/0!</v>
      </c>
      <c r="BY8668" s="215">
        <f t="shared" si="287"/>
        <v>0</v>
      </c>
    </row>
    <row r="8669" spans="76:77" x14ac:dyDescent="0.2">
      <c r="BX8669" s="214" t="e">
        <f t="shared" si="286"/>
        <v>#DIV/0!</v>
      </c>
      <c r="BY8669" s="215">
        <f t="shared" si="287"/>
        <v>0</v>
      </c>
    </row>
    <row r="8670" spans="76:77" x14ac:dyDescent="0.2">
      <c r="BX8670" s="214" t="e">
        <f t="shared" si="286"/>
        <v>#DIV/0!</v>
      </c>
      <c r="BY8670" s="215">
        <f t="shared" si="287"/>
        <v>0</v>
      </c>
    </row>
    <row r="8671" spans="76:77" x14ac:dyDescent="0.2">
      <c r="BX8671" s="214" t="e">
        <f t="shared" si="286"/>
        <v>#DIV/0!</v>
      </c>
      <c r="BY8671" s="215">
        <f t="shared" si="287"/>
        <v>0</v>
      </c>
    </row>
    <row r="8672" spans="76:77" x14ac:dyDescent="0.2">
      <c r="BX8672" s="214" t="e">
        <f t="shared" si="286"/>
        <v>#DIV/0!</v>
      </c>
      <c r="BY8672" s="215">
        <f t="shared" si="287"/>
        <v>0</v>
      </c>
    </row>
    <row r="8673" spans="76:77" x14ac:dyDescent="0.2">
      <c r="BX8673" s="214" t="e">
        <f t="shared" si="286"/>
        <v>#DIV/0!</v>
      </c>
      <c r="BY8673" s="215">
        <f t="shared" si="287"/>
        <v>0</v>
      </c>
    </row>
    <row r="8674" spans="76:77" x14ac:dyDescent="0.2">
      <c r="BX8674" s="214" t="e">
        <f t="shared" si="286"/>
        <v>#DIV/0!</v>
      </c>
      <c r="BY8674" s="215">
        <f t="shared" si="287"/>
        <v>0</v>
      </c>
    </row>
    <row r="8675" spans="76:77" x14ac:dyDescent="0.2">
      <c r="BX8675" s="214" t="e">
        <f t="shared" si="286"/>
        <v>#DIV/0!</v>
      </c>
      <c r="BY8675" s="215">
        <f t="shared" si="287"/>
        <v>0</v>
      </c>
    </row>
    <row r="8676" spans="76:77" x14ac:dyDescent="0.2">
      <c r="BX8676" s="214" t="e">
        <f t="shared" si="286"/>
        <v>#DIV/0!</v>
      </c>
      <c r="BY8676" s="215">
        <f t="shared" si="287"/>
        <v>0</v>
      </c>
    </row>
    <row r="8677" spans="76:77" x14ac:dyDescent="0.2">
      <c r="BX8677" s="214" t="e">
        <f t="shared" si="286"/>
        <v>#DIV/0!</v>
      </c>
      <c r="BY8677" s="215">
        <f t="shared" si="287"/>
        <v>0</v>
      </c>
    </row>
    <row r="8678" spans="76:77" x14ac:dyDescent="0.2">
      <c r="BX8678" s="214" t="e">
        <f t="shared" si="286"/>
        <v>#DIV/0!</v>
      </c>
      <c r="BY8678" s="215">
        <f t="shared" si="287"/>
        <v>0</v>
      </c>
    </row>
    <row r="8679" spans="76:77" x14ac:dyDescent="0.2">
      <c r="BX8679" s="214" t="e">
        <f t="shared" si="286"/>
        <v>#DIV/0!</v>
      </c>
      <c r="BY8679" s="215">
        <f t="shared" si="287"/>
        <v>0</v>
      </c>
    </row>
    <row r="8680" spans="76:77" x14ac:dyDescent="0.2">
      <c r="BX8680" s="214" t="e">
        <f t="shared" si="286"/>
        <v>#DIV/0!</v>
      </c>
      <c r="BY8680" s="215">
        <f t="shared" si="287"/>
        <v>0</v>
      </c>
    </row>
    <row r="8681" spans="76:77" x14ac:dyDescent="0.2">
      <c r="BX8681" s="214" t="e">
        <f t="shared" si="286"/>
        <v>#DIV/0!</v>
      </c>
      <c r="BY8681" s="215">
        <f t="shared" si="287"/>
        <v>0</v>
      </c>
    </row>
    <row r="8682" spans="76:77" x14ac:dyDescent="0.2">
      <c r="BX8682" s="214" t="e">
        <f t="shared" si="286"/>
        <v>#DIV/0!</v>
      </c>
      <c r="BY8682" s="215">
        <f t="shared" si="287"/>
        <v>0</v>
      </c>
    </row>
    <row r="8683" spans="76:77" x14ac:dyDescent="0.2">
      <c r="BX8683" s="214" t="e">
        <f t="shared" si="286"/>
        <v>#DIV/0!</v>
      </c>
      <c r="BY8683" s="215">
        <f t="shared" si="287"/>
        <v>0</v>
      </c>
    </row>
    <row r="8684" spans="76:77" x14ac:dyDescent="0.2">
      <c r="BX8684" s="214" t="e">
        <f t="shared" si="286"/>
        <v>#DIV/0!</v>
      </c>
      <c r="BY8684" s="215">
        <f t="shared" si="287"/>
        <v>0</v>
      </c>
    </row>
    <row r="8685" spans="76:77" x14ac:dyDescent="0.2">
      <c r="BX8685" s="214" t="e">
        <f t="shared" si="286"/>
        <v>#DIV/0!</v>
      </c>
      <c r="BY8685" s="215">
        <f t="shared" si="287"/>
        <v>0</v>
      </c>
    </row>
    <row r="8686" spans="76:77" x14ac:dyDescent="0.2">
      <c r="BX8686" s="214" t="e">
        <f t="shared" si="286"/>
        <v>#DIV/0!</v>
      </c>
      <c r="BY8686" s="215">
        <f t="shared" si="287"/>
        <v>0</v>
      </c>
    </row>
    <row r="8687" spans="76:77" x14ac:dyDescent="0.2">
      <c r="BX8687" s="214" t="e">
        <f t="shared" si="286"/>
        <v>#DIV/0!</v>
      </c>
      <c r="BY8687" s="215">
        <f t="shared" si="287"/>
        <v>0</v>
      </c>
    </row>
    <row r="8688" spans="76:77" x14ac:dyDescent="0.2">
      <c r="BX8688" s="214" t="e">
        <f t="shared" si="286"/>
        <v>#DIV/0!</v>
      </c>
      <c r="BY8688" s="215">
        <f t="shared" si="287"/>
        <v>0</v>
      </c>
    </row>
    <row r="8689" spans="76:77" x14ac:dyDescent="0.2">
      <c r="BX8689" s="214" t="e">
        <f t="shared" si="286"/>
        <v>#DIV/0!</v>
      </c>
      <c r="BY8689" s="215">
        <f t="shared" si="287"/>
        <v>0</v>
      </c>
    </row>
    <row r="8690" spans="76:77" x14ac:dyDescent="0.2">
      <c r="BX8690" s="214" t="e">
        <f t="shared" si="286"/>
        <v>#DIV/0!</v>
      </c>
      <c r="BY8690" s="215">
        <f t="shared" si="287"/>
        <v>0</v>
      </c>
    </row>
    <row r="8691" spans="76:77" x14ac:dyDescent="0.2">
      <c r="BX8691" s="214" t="e">
        <f t="shared" si="286"/>
        <v>#DIV/0!</v>
      </c>
      <c r="BY8691" s="215">
        <f t="shared" si="287"/>
        <v>0</v>
      </c>
    </row>
    <row r="8692" spans="76:77" x14ac:dyDescent="0.2">
      <c r="BX8692" s="214" t="e">
        <f t="shared" si="286"/>
        <v>#DIV/0!</v>
      </c>
      <c r="BY8692" s="215">
        <f t="shared" si="287"/>
        <v>0</v>
      </c>
    </row>
    <row r="8693" spans="76:77" x14ac:dyDescent="0.2">
      <c r="BX8693" s="214" t="e">
        <f t="shared" si="286"/>
        <v>#DIV/0!</v>
      </c>
      <c r="BY8693" s="215">
        <f t="shared" si="287"/>
        <v>0</v>
      </c>
    </row>
    <row r="8694" spans="76:77" x14ac:dyDescent="0.2">
      <c r="BX8694" s="214" t="e">
        <f t="shared" si="286"/>
        <v>#DIV/0!</v>
      </c>
      <c r="BY8694" s="215">
        <f t="shared" si="287"/>
        <v>0</v>
      </c>
    </row>
    <row r="8695" spans="76:77" x14ac:dyDescent="0.2">
      <c r="BX8695" s="214" t="e">
        <f t="shared" si="286"/>
        <v>#DIV/0!</v>
      </c>
      <c r="BY8695" s="215">
        <f t="shared" si="287"/>
        <v>0</v>
      </c>
    </row>
    <row r="8696" spans="76:77" x14ac:dyDescent="0.2">
      <c r="BX8696" s="214" t="e">
        <f t="shared" si="286"/>
        <v>#DIV/0!</v>
      </c>
      <c r="BY8696" s="215">
        <f t="shared" si="287"/>
        <v>0</v>
      </c>
    </row>
    <row r="8697" spans="76:77" x14ac:dyDescent="0.2">
      <c r="BX8697" s="214" t="e">
        <f t="shared" si="286"/>
        <v>#DIV/0!</v>
      </c>
      <c r="BY8697" s="215">
        <f t="shared" si="287"/>
        <v>0</v>
      </c>
    </row>
    <row r="8698" spans="76:77" x14ac:dyDescent="0.2">
      <c r="BX8698" s="214" t="e">
        <f t="shared" si="286"/>
        <v>#DIV/0!</v>
      </c>
      <c r="BY8698" s="215">
        <f t="shared" si="287"/>
        <v>0</v>
      </c>
    </row>
    <row r="8699" spans="76:77" x14ac:dyDescent="0.2">
      <c r="BX8699" s="214" t="e">
        <f t="shared" si="286"/>
        <v>#DIV/0!</v>
      </c>
      <c r="BY8699" s="215">
        <f t="shared" si="287"/>
        <v>0</v>
      </c>
    </row>
    <row r="8700" spans="76:77" x14ac:dyDescent="0.2">
      <c r="BX8700" s="214" t="e">
        <f t="shared" si="286"/>
        <v>#DIV/0!</v>
      </c>
      <c r="BY8700" s="215">
        <f t="shared" si="287"/>
        <v>0</v>
      </c>
    </row>
    <row r="8701" spans="76:77" x14ac:dyDescent="0.2">
      <c r="BX8701" s="214" t="e">
        <f t="shared" si="286"/>
        <v>#DIV/0!</v>
      </c>
      <c r="BY8701" s="215">
        <f t="shared" si="287"/>
        <v>0</v>
      </c>
    </row>
    <row r="8702" spans="76:77" x14ac:dyDescent="0.2">
      <c r="BX8702" s="214" t="e">
        <f t="shared" si="286"/>
        <v>#DIV/0!</v>
      </c>
      <c r="BY8702" s="215">
        <f t="shared" si="287"/>
        <v>0</v>
      </c>
    </row>
    <row r="8703" spans="76:77" x14ac:dyDescent="0.2">
      <c r="BX8703" s="214" t="e">
        <f t="shared" si="286"/>
        <v>#DIV/0!</v>
      </c>
      <c r="BY8703" s="215">
        <f t="shared" si="287"/>
        <v>0</v>
      </c>
    </row>
    <row r="8704" spans="76:77" x14ac:dyDescent="0.2">
      <c r="BX8704" s="214" t="e">
        <f t="shared" si="286"/>
        <v>#DIV/0!</v>
      </c>
      <c r="BY8704" s="215">
        <f t="shared" si="287"/>
        <v>0</v>
      </c>
    </row>
    <row r="8705" spans="76:77" x14ac:dyDescent="0.2">
      <c r="BX8705" s="214" t="e">
        <f t="shared" si="286"/>
        <v>#DIV/0!</v>
      </c>
      <c r="BY8705" s="215">
        <f t="shared" si="287"/>
        <v>0</v>
      </c>
    </row>
    <row r="8706" spans="76:77" x14ac:dyDescent="0.2">
      <c r="BX8706" s="214" t="e">
        <f t="shared" si="286"/>
        <v>#DIV/0!</v>
      </c>
      <c r="BY8706" s="215">
        <f t="shared" si="287"/>
        <v>0</v>
      </c>
    </row>
    <row r="8707" spans="76:77" x14ac:dyDescent="0.2">
      <c r="BX8707" s="214" t="e">
        <f t="shared" si="286"/>
        <v>#DIV/0!</v>
      </c>
      <c r="BY8707" s="215">
        <f t="shared" si="287"/>
        <v>0</v>
      </c>
    </row>
    <row r="8708" spans="76:77" x14ac:dyDescent="0.2">
      <c r="BX8708" s="214" t="e">
        <f t="shared" si="286"/>
        <v>#DIV/0!</v>
      </c>
      <c r="BY8708" s="215">
        <f t="shared" si="287"/>
        <v>0</v>
      </c>
    </row>
    <row r="8709" spans="76:77" x14ac:dyDescent="0.2">
      <c r="BX8709" s="214" t="e">
        <f t="shared" si="286"/>
        <v>#DIV/0!</v>
      </c>
      <c r="BY8709" s="215">
        <f t="shared" si="287"/>
        <v>0</v>
      </c>
    </row>
    <row r="8710" spans="76:77" x14ac:dyDescent="0.2">
      <c r="BX8710" s="214" t="e">
        <f t="shared" si="286"/>
        <v>#DIV/0!</v>
      </c>
      <c r="BY8710" s="215">
        <f t="shared" si="287"/>
        <v>0</v>
      </c>
    </row>
    <row r="8711" spans="76:77" x14ac:dyDescent="0.2">
      <c r="BX8711" s="214" t="e">
        <f t="shared" si="286"/>
        <v>#DIV/0!</v>
      </c>
      <c r="BY8711" s="215">
        <f t="shared" si="287"/>
        <v>0</v>
      </c>
    </row>
    <row r="8712" spans="76:77" x14ac:dyDescent="0.2">
      <c r="BX8712" s="214" t="e">
        <f t="shared" si="286"/>
        <v>#DIV/0!</v>
      </c>
      <c r="BY8712" s="215">
        <f t="shared" si="287"/>
        <v>0</v>
      </c>
    </row>
    <row r="8713" spans="76:77" x14ac:dyDescent="0.2">
      <c r="BX8713" s="214" t="e">
        <f t="shared" si="286"/>
        <v>#DIV/0!</v>
      </c>
      <c r="BY8713" s="215">
        <f t="shared" si="287"/>
        <v>0</v>
      </c>
    </row>
    <row r="8714" spans="76:77" x14ac:dyDescent="0.2">
      <c r="BX8714" s="214" t="e">
        <f t="shared" si="286"/>
        <v>#DIV/0!</v>
      </c>
      <c r="BY8714" s="215">
        <f t="shared" si="287"/>
        <v>0</v>
      </c>
    </row>
    <row r="8715" spans="76:77" x14ac:dyDescent="0.2">
      <c r="BX8715" s="214" t="e">
        <f t="shared" si="286"/>
        <v>#DIV/0!</v>
      </c>
      <c r="BY8715" s="215">
        <f t="shared" si="287"/>
        <v>0</v>
      </c>
    </row>
    <row r="8716" spans="76:77" x14ac:dyDescent="0.2">
      <c r="BX8716" s="214" t="e">
        <f t="shared" si="286"/>
        <v>#DIV/0!</v>
      </c>
      <c r="BY8716" s="215">
        <f t="shared" si="287"/>
        <v>0</v>
      </c>
    </row>
    <row r="8717" spans="76:77" x14ac:dyDescent="0.2">
      <c r="BX8717" s="214" t="e">
        <f t="shared" ref="BX8717:BX8780" si="288">BY8717/BV8717</f>
        <v>#DIV/0!</v>
      </c>
      <c r="BY8717" s="215">
        <f t="shared" si="287"/>
        <v>0</v>
      </c>
    </row>
    <row r="8718" spans="76:77" x14ac:dyDescent="0.2">
      <c r="BX8718" s="214" t="e">
        <f t="shared" si="288"/>
        <v>#DIV/0!</v>
      </c>
      <c r="BY8718" s="215">
        <f t="shared" ref="BY8718:BY8781" si="289">BY8717+BW8718*(BV8718-BV8717)</f>
        <v>0</v>
      </c>
    </row>
    <row r="8719" spans="76:77" x14ac:dyDescent="0.2">
      <c r="BX8719" s="214" t="e">
        <f t="shared" si="288"/>
        <v>#DIV/0!</v>
      </c>
      <c r="BY8719" s="215">
        <f t="shared" si="289"/>
        <v>0</v>
      </c>
    </row>
    <row r="8720" spans="76:77" x14ac:dyDescent="0.2">
      <c r="BX8720" s="214" t="e">
        <f t="shared" si="288"/>
        <v>#DIV/0!</v>
      </c>
      <c r="BY8720" s="215">
        <f t="shared" si="289"/>
        <v>0</v>
      </c>
    </row>
    <row r="8721" spans="76:77" x14ac:dyDescent="0.2">
      <c r="BX8721" s="214" t="e">
        <f t="shared" si="288"/>
        <v>#DIV/0!</v>
      </c>
      <c r="BY8721" s="215">
        <f t="shared" si="289"/>
        <v>0</v>
      </c>
    </row>
    <row r="8722" spans="76:77" x14ac:dyDescent="0.2">
      <c r="BX8722" s="214" t="e">
        <f t="shared" si="288"/>
        <v>#DIV/0!</v>
      </c>
      <c r="BY8722" s="215">
        <f t="shared" si="289"/>
        <v>0</v>
      </c>
    </row>
    <row r="8723" spans="76:77" x14ac:dyDescent="0.2">
      <c r="BX8723" s="214" t="e">
        <f t="shared" si="288"/>
        <v>#DIV/0!</v>
      </c>
      <c r="BY8723" s="215">
        <f t="shared" si="289"/>
        <v>0</v>
      </c>
    </row>
    <row r="8724" spans="76:77" x14ac:dyDescent="0.2">
      <c r="BX8724" s="214" t="e">
        <f t="shared" si="288"/>
        <v>#DIV/0!</v>
      </c>
      <c r="BY8724" s="215">
        <f t="shared" si="289"/>
        <v>0</v>
      </c>
    </row>
    <row r="8725" spans="76:77" x14ac:dyDescent="0.2">
      <c r="BX8725" s="214" t="e">
        <f t="shared" si="288"/>
        <v>#DIV/0!</v>
      </c>
      <c r="BY8725" s="215">
        <f t="shared" si="289"/>
        <v>0</v>
      </c>
    </row>
    <row r="8726" spans="76:77" x14ac:dyDescent="0.2">
      <c r="BX8726" s="214" t="e">
        <f t="shared" si="288"/>
        <v>#DIV/0!</v>
      </c>
      <c r="BY8726" s="215">
        <f t="shared" si="289"/>
        <v>0</v>
      </c>
    </row>
    <row r="8727" spans="76:77" x14ac:dyDescent="0.2">
      <c r="BX8727" s="214" t="e">
        <f t="shared" si="288"/>
        <v>#DIV/0!</v>
      </c>
      <c r="BY8727" s="215">
        <f t="shared" si="289"/>
        <v>0</v>
      </c>
    </row>
    <row r="8728" spans="76:77" x14ac:dyDescent="0.2">
      <c r="BX8728" s="214" t="e">
        <f t="shared" si="288"/>
        <v>#DIV/0!</v>
      </c>
      <c r="BY8728" s="215">
        <f t="shared" si="289"/>
        <v>0</v>
      </c>
    </row>
    <row r="8729" spans="76:77" x14ac:dyDescent="0.2">
      <c r="BX8729" s="214" t="e">
        <f t="shared" si="288"/>
        <v>#DIV/0!</v>
      </c>
      <c r="BY8729" s="215">
        <f t="shared" si="289"/>
        <v>0</v>
      </c>
    </row>
    <row r="8730" spans="76:77" x14ac:dyDescent="0.2">
      <c r="BX8730" s="214" t="e">
        <f t="shared" si="288"/>
        <v>#DIV/0!</v>
      </c>
      <c r="BY8730" s="215">
        <f t="shared" si="289"/>
        <v>0</v>
      </c>
    </row>
    <row r="8731" spans="76:77" x14ac:dyDescent="0.2">
      <c r="BX8731" s="214" t="e">
        <f t="shared" si="288"/>
        <v>#DIV/0!</v>
      </c>
      <c r="BY8731" s="215">
        <f t="shared" si="289"/>
        <v>0</v>
      </c>
    </row>
    <row r="8732" spans="76:77" x14ac:dyDescent="0.2">
      <c r="BX8732" s="214" t="e">
        <f t="shared" si="288"/>
        <v>#DIV/0!</v>
      </c>
      <c r="BY8732" s="215">
        <f t="shared" si="289"/>
        <v>0</v>
      </c>
    </row>
    <row r="8733" spans="76:77" x14ac:dyDescent="0.2">
      <c r="BX8733" s="214" t="e">
        <f t="shared" si="288"/>
        <v>#DIV/0!</v>
      </c>
      <c r="BY8733" s="215">
        <f t="shared" si="289"/>
        <v>0</v>
      </c>
    </row>
    <row r="8734" spans="76:77" x14ac:dyDescent="0.2">
      <c r="BX8734" s="214" t="e">
        <f t="shared" si="288"/>
        <v>#DIV/0!</v>
      </c>
      <c r="BY8734" s="215">
        <f t="shared" si="289"/>
        <v>0</v>
      </c>
    </row>
    <row r="8735" spans="76:77" x14ac:dyDescent="0.2">
      <c r="BX8735" s="214" t="e">
        <f t="shared" si="288"/>
        <v>#DIV/0!</v>
      </c>
      <c r="BY8735" s="215">
        <f t="shared" si="289"/>
        <v>0</v>
      </c>
    </row>
    <row r="8736" spans="76:77" x14ac:dyDescent="0.2">
      <c r="BX8736" s="214" t="e">
        <f t="shared" si="288"/>
        <v>#DIV/0!</v>
      </c>
      <c r="BY8736" s="215">
        <f t="shared" si="289"/>
        <v>0</v>
      </c>
    </row>
    <row r="8737" spans="76:77" x14ac:dyDescent="0.2">
      <c r="BX8737" s="214" t="e">
        <f t="shared" si="288"/>
        <v>#DIV/0!</v>
      </c>
      <c r="BY8737" s="215">
        <f t="shared" si="289"/>
        <v>0</v>
      </c>
    </row>
    <row r="8738" spans="76:77" x14ac:dyDescent="0.2">
      <c r="BX8738" s="214" t="e">
        <f t="shared" si="288"/>
        <v>#DIV/0!</v>
      </c>
      <c r="BY8738" s="215">
        <f t="shared" si="289"/>
        <v>0</v>
      </c>
    </row>
    <row r="8739" spans="76:77" x14ac:dyDescent="0.2">
      <c r="BX8739" s="214" t="e">
        <f t="shared" si="288"/>
        <v>#DIV/0!</v>
      </c>
      <c r="BY8739" s="215">
        <f t="shared" si="289"/>
        <v>0</v>
      </c>
    </row>
    <row r="8740" spans="76:77" x14ac:dyDescent="0.2">
      <c r="BX8740" s="214" t="e">
        <f t="shared" si="288"/>
        <v>#DIV/0!</v>
      </c>
      <c r="BY8740" s="215">
        <f t="shared" si="289"/>
        <v>0</v>
      </c>
    </row>
    <row r="8741" spans="76:77" x14ac:dyDescent="0.2">
      <c r="BX8741" s="214" t="e">
        <f t="shared" si="288"/>
        <v>#DIV/0!</v>
      </c>
      <c r="BY8741" s="215">
        <f t="shared" si="289"/>
        <v>0</v>
      </c>
    </row>
    <row r="8742" spans="76:77" x14ac:dyDescent="0.2">
      <c r="BX8742" s="214" t="e">
        <f t="shared" si="288"/>
        <v>#DIV/0!</v>
      </c>
      <c r="BY8742" s="215">
        <f t="shared" si="289"/>
        <v>0</v>
      </c>
    </row>
    <row r="8743" spans="76:77" x14ac:dyDescent="0.2">
      <c r="BX8743" s="214" t="e">
        <f t="shared" si="288"/>
        <v>#DIV/0!</v>
      </c>
      <c r="BY8743" s="215">
        <f t="shared" si="289"/>
        <v>0</v>
      </c>
    </row>
    <row r="8744" spans="76:77" x14ac:dyDescent="0.2">
      <c r="BX8744" s="214" t="e">
        <f t="shared" si="288"/>
        <v>#DIV/0!</v>
      </c>
      <c r="BY8744" s="215">
        <f t="shared" si="289"/>
        <v>0</v>
      </c>
    </row>
    <row r="8745" spans="76:77" x14ac:dyDescent="0.2">
      <c r="BX8745" s="214" t="e">
        <f t="shared" si="288"/>
        <v>#DIV/0!</v>
      </c>
      <c r="BY8745" s="215">
        <f t="shared" si="289"/>
        <v>0</v>
      </c>
    </row>
    <row r="8746" spans="76:77" x14ac:dyDescent="0.2">
      <c r="BX8746" s="214" t="e">
        <f t="shared" si="288"/>
        <v>#DIV/0!</v>
      </c>
      <c r="BY8746" s="215">
        <f t="shared" si="289"/>
        <v>0</v>
      </c>
    </row>
    <row r="8747" spans="76:77" x14ac:dyDescent="0.2">
      <c r="BX8747" s="214" t="e">
        <f t="shared" si="288"/>
        <v>#DIV/0!</v>
      </c>
      <c r="BY8747" s="215">
        <f t="shared" si="289"/>
        <v>0</v>
      </c>
    </row>
    <row r="8748" spans="76:77" x14ac:dyDescent="0.2">
      <c r="BX8748" s="214" t="e">
        <f t="shared" si="288"/>
        <v>#DIV/0!</v>
      </c>
      <c r="BY8748" s="215">
        <f t="shared" si="289"/>
        <v>0</v>
      </c>
    </row>
    <row r="8749" spans="76:77" x14ac:dyDescent="0.2">
      <c r="BX8749" s="214" t="e">
        <f t="shared" si="288"/>
        <v>#DIV/0!</v>
      </c>
      <c r="BY8749" s="215">
        <f t="shared" si="289"/>
        <v>0</v>
      </c>
    </row>
    <row r="8750" spans="76:77" x14ac:dyDescent="0.2">
      <c r="BX8750" s="214" t="e">
        <f t="shared" si="288"/>
        <v>#DIV/0!</v>
      </c>
      <c r="BY8750" s="215">
        <f t="shared" si="289"/>
        <v>0</v>
      </c>
    </row>
    <row r="8751" spans="76:77" x14ac:dyDescent="0.2">
      <c r="BX8751" s="214" t="e">
        <f t="shared" si="288"/>
        <v>#DIV/0!</v>
      </c>
      <c r="BY8751" s="215">
        <f t="shared" si="289"/>
        <v>0</v>
      </c>
    </row>
    <row r="8752" spans="76:77" x14ac:dyDescent="0.2">
      <c r="BX8752" s="214" t="e">
        <f t="shared" si="288"/>
        <v>#DIV/0!</v>
      </c>
      <c r="BY8752" s="215">
        <f t="shared" si="289"/>
        <v>0</v>
      </c>
    </row>
    <row r="8753" spans="76:77" x14ac:dyDescent="0.2">
      <c r="BX8753" s="214" t="e">
        <f t="shared" si="288"/>
        <v>#DIV/0!</v>
      </c>
      <c r="BY8753" s="215">
        <f t="shared" si="289"/>
        <v>0</v>
      </c>
    </row>
    <row r="8754" spans="76:77" x14ac:dyDescent="0.2">
      <c r="BX8754" s="214" t="e">
        <f t="shared" si="288"/>
        <v>#DIV/0!</v>
      </c>
      <c r="BY8754" s="215">
        <f t="shared" si="289"/>
        <v>0</v>
      </c>
    </row>
    <row r="8755" spans="76:77" x14ac:dyDescent="0.2">
      <c r="BX8755" s="214" t="e">
        <f t="shared" si="288"/>
        <v>#DIV/0!</v>
      </c>
      <c r="BY8755" s="215">
        <f t="shared" si="289"/>
        <v>0</v>
      </c>
    </row>
    <row r="8756" spans="76:77" x14ac:dyDescent="0.2">
      <c r="BX8756" s="214" t="e">
        <f t="shared" si="288"/>
        <v>#DIV/0!</v>
      </c>
      <c r="BY8756" s="215">
        <f t="shared" si="289"/>
        <v>0</v>
      </c>
    </row>
    <row r="8757" spans="76:77" x14ac:dyDescent="0.2">
      <c r="BX8757" s="214" t="e">
        <f t="shared" si="288"/>
        <v>#DIV/0!</v>
      </c>
      <c r="BY8757" s="215">
        <f t="shared" si="289"/>
        <v>0</v>
      </c>
    </row>
    <row r="8758" spans="76:77" x14ac:dyDescent="0.2">
      <c r="BX8758" s="214" t="e">
        <f t="shared" si="288"/>
        <v>#DIV/0!</v>
      </c>
      <c r="BY8758" s="215">
        <f t="shared" si="289"/>
        <v>0</v>
      </c>
    </row>
    <row r="8759" spans="76:77" x14ac:dyDescent="0.2">
      <c r="BX8759" s="214" t="e">
        <f t="shared" si="288"/>
        <v>#DIV/0!</v>
      </c>
      <c r="BY8759" s="215">
        <f t="shared" si="289"/>
        <v>0</v>
      </c>
    </row>
    <row r="8760" spans="76:77" x14ac:dyDescent="0.2">
      <c r="BX8760" s="214" t="e">
        <f t="shared" si="288"/>
        <v>#DIV/0!</v>
      </c>
      <c r="BY8760" s="215">
        <f t="shared" si="289"/>
        <v>0</v>
      </c>
    </row>
    <row r="8761" spans="76:77" x14ac:dyDescent="0.2">
      <c r="BX8761" s="214" t="e">
        <f t="shared" si="288"/>
        <v>#DIV/0!</v>
      </c>
      <c r="BY8761" s="215">
        <f t="shared" si="289"/>
        <v>0</v>
      </c>
    </row>
    <row r="8762" spans="76:77" x14ac:dyDescent="0.2">
      <c r="BX8762" s="214" t="e">
        <f t="shared" si="288"/>
        <v>#DIV/0!</v>
      </c>
      <c r="BY8762" s="215">
        <f t="shared" si="289"/>
        <v>0</v>
      </c>
    </row>
    <row r="8763" spans="76:77" x14ac:dyDescent="0.2">
      <c r="BX8763" s="214" t="e">
        <f t="shared" si="288"/>
        <v>#DIV/0!</v>
      </c>
      <c r="BY8763" s="215">
        <f t="shared" si="289"/>
        <v>0</v>
      </c>
    </row>
    <row r="8764" spans="76:77" x14ac:dyDescent="0.2">
      <c r="BX8764" s="214" t="e">
        <f t="shared" si="288"/>
        <v>#DIV/0!</v>
      </c>
      <c r="BY8764" s="215">
        <f t="shared" si="289"/>
        <v>0</v>
      </c>
    </row>
    <row r="8765" spans="76:77" x14ac:dyDescent="0.2">
      <c r="BX8765" s="214" t="e">
        <f t="shared" si="288"/>
        <v>#DIV/0!</v>
      </c>
      <c r="BY8765" s="215">
        <f t="shared" si="289"/>
        <v>0</v>
      </c>
    </row>
    <row r="8766" spans="76:77" x14ac:dyDescent="0.2">
      <c r="BX8766" s="214" t="e">
        <f t="shared" si="288"/>
        <v>#DIV/0!</v>
      </c>
      <c r="BY8766" s="215">
        <f t="shared" si="289"/>
        <v>0</v>
      </c>
    </row>
    <row r="8767" spans="76:77" x14ac:dyDescent="0.2">
      <c r="BX8767" s="214" t="e">
        <f t="shared" si="288"/>
        <v>#DIV/0!</v>
      </c>
      <c r="BY8767" s="215">
        <f t="shared" si="289"/>
        <v>0</v>
      </c>
    </row>
    <row r="8768" spans="76:77" x14ac:dyDescent="0.2">
      <c r="BX8768" s="214" t="e">
        <f t="shared" si="288"/>
        <v>#DIV/0!</v>
      </c>
      <c r="BY8768" s="215">
        <f t="shared" si="289"/>
        <v>0</v>
      </c>
    </row>
    <row r="8769" spans="76:77" x14ac:dyDescent="0.2">
      <c r="BX8769" s="214" t="e">
        <f t="shared" si="288"/>
        <v>#DIV/0!</v>
      </c>
      <c r="BY8769" s="215">
        <f t="shared" si="289"/>
        <v>0</v>
      </c>
    </row>
    <row r="8770" spans="76:77" x14ac:dyDescent="0.2">
      <c r="BX8770" s="214" t="e">
        <f t="shared" si="288"/>
        <v>#DIV/0!</v>
      </c>
      <c r="BY8770" s="215">
        <f t="shared" si="289"/>
        <v>0</v>
      </c>
    </row>
    <row r="8771" spans="76:77" x14ac:dyDescent="0.2">
      <c r="BX8771" s="214" t="e">
        <f t="shared" si="288"/>
        <v>#DIV/0!</v>
      </c>
      <c r="BY8771" s="215">
        <f t="shared" si="289"/>
        <v>0</v>
      </c>
    </row>
    <row r="8772" spans="76:77" x14ac:dyDescent="0.2">
      <c r="BX8772" s="214" t="e">
        <f t="shared" si="288"/>
        <v>#DIV/0!</v>
      </c>
      <c r="BY8772" s="215">
        <f t="shared" si="289"/>
        <v>0</v>
      </c>
    </row>
    <row r="8773" spans="76:77" x14ac:dyDescent="0.2">
      <c r="BX8773" s="214" t="e">
        <f t="shared" si="288"/>
        <v>#DIV/0!</v>
      </c>
      <c r="BY8773" s="215">
        <f t="shared" si="289"/>
        <v>0</v>
      </c>
    </row>
    <row r="8774" spans="76:77" x14ac:dyDescent="0.2">
      <c r="BX8774" s="214" t="e">
        <f t="shared" si="288"/>
        <v>#DIV/0!</v>
      </c>
      <c r="BY8774" s="215">
        <f t="shared" si="289"/>
        <v>0</v>
      </c>
    </row>
    <row r="8775" spans="76:77" x14ac:dyDescent="0.2">
      <c r="BX8775" s="214" t="e">
        <f t="shared" si="288"/>
        <v>#DIV/0!</v>
      </c>
      <c r="BY8775" s="215">
        <f t="shared" si="289"/>
        <v>0</v>
      </c>
    </row>
    <row r="8776" spans="76:77" x14ac:dyDescent="0.2">
      <c r="BX8776" s="214" t="e">
        <f t="shared" si="288"/>
        <v>#DIV/0!</v>
      </c>
      <c r="BY8776" s="215">
        <f t="shared" si="289"/>
        <v>0</v>
      </c>
    </row>
    <row r="8777" spans="76:77" x14ac:dyDescent="0.2">
      <c r="BX8777" s="214" t="e">
        <f t="shared" si="288"/>
        <v>#DIV/0!</v>
      </c>
      <c r="BY8777" s="215">
        <f t="shared" si="289"/>
        <v>0</v>
      </c>
    </row>
    <row r="8778" spans="76:77" x14ac:dyDescent="0.2">
      <c r="BX8778" s="214" t="e">
        <f t="shared" si="288"/>
        <v>#DIV/0!</v>
      </c>
      <c r="BY8778" s="215">
        <f t="shared" si="289"/>
        <v>0</v>
      </c>
    </row>
    <row r="8779" spans="76:77" x14ac:dyDescent="0.2">
      <c r="BX8779" s="214" t="e">
        <f t="shared" si="288"/>
        <v>#DIV/0!</v>
      </c>
      <c r="BY8779" s="215">
        <f t="shared" si="289"/>
        <v>0</v>
      </c>
    </row>
    <row r="8780" spans="76:77" x14ac:dyDescent="0.2">
      <c r="BX8780" s="214" t="e">
        <f t="shared" si="288"/>
        <v>#DIV/0!</v>
      </c>
      <c r="BY8780" s="215">
        <f t="shared" si="289"/>
        <v>0</v>
      </c>
    </row>
    <row r="8781" spans="76:77" x14ac:dyDescent="0.2">
      <c r="BX8781" s="214" t="e">
        <f t="shared" ref="BX8781:BX8844" si="290">BY8781/BV8781</f>
        <v>#DIV/0!</v>
      </c>
      <c r="BY8781" s="215">
        <f t="shared" si="289"/>
        <v>0</v>
      </c>
    </row>
    <row r="8782" spans="76:77" x14ac:dyDescent="0.2">
      <c r="BX8782" s="214" t="e">
        <f t="shared" si="290"/>
        <v>#DIV/0!</v>
      </c>
      <c r="BY8782" s="215">
        <f t="shared" ref="BY8782:BY8845" si="291">BY8781+BW8782*(BV8782-BV8781)</f>
        <v>0</v>
      </c>
    </row>
    <row r="8783" spans="76:77" x14ac:dyDescent="0.2">
      <c r="BX8783" s="214" t="e">
        <f t="shared" si="290"/>
        <v>#DIV/0!</v>
      </c>
      <c r="BY8783" s="215">
        <f t="shared" si="291"/>
        <v>0</v>
      </c>
    </row>
    <row r="8784" spans="76:77" x14ac:dyDescent="0.2">
      <c r="BX8784" s="214" t="e">
        <f t="shared" si="290"/>
        <v>#DIV/0!</v>
      </c>
      <c r="BY8784" s="215">
        <f t="shared" si="291"/>
        <v>0</v>
      </c>
    </row>
    <row r="8785" spans="76:77" x14ac:dyDescent="0.2">
      <c r="BX8785" s="214" t="e">
        <f t="shared" si="290"/>
        <v>#DIV/0!</v>
      </c>
      <c r="BY8785" s="215">
        <f t="shared" si="291"/>
        <v>0</v>
      </c>
    </row>
    <row r="8786" spans="76:77" x14ac:dyDescent="0.2">
      <c r="BX8786" s="214" t="e">
        <f t="shared" si="290"/>
        <v>#DIV/0!</v>
      </c>
      <c r="BY8786" s="215">
        <f t="shared" si="291"/>
        <v>0</v>
      </c>
    </row>
    <row r="8787" spans="76:77" x14ac:dyDescent="0.2">
      <c r="BX8787" s="214" t="e">
        <f t="shared" si="290"/>
        <v>#DIV/0!</v>
      </c>
      <c r="BY8787" s="215">
        <f t="shared" si="291"/>
        <v>0</v>
      </c>
    </row>
    <row r="8788" spans="76:77" x14ac:dyDescent="0.2">
      <c r="BX8788" s="214" t="e">
        <f t="shared" si="290"/>
        <v>#DIV/0!</v>
      </c>
      <c r="BY8788" s="215">
        <f t="shared" si="291"/>
        <v>0</v>
      </c>
    </row>
    <row r="8789" spans="76:77" x14ac:dyDescent="0.2">
      <c r="BX8789" s="214" t="e">
        <f t="shared" si="290"/>
        <v>#DIV/0!</v>
      </c>
      <c r="BY8789" s="215">
        <f t="shared" si="291"/>
        <v>0</v>
      </c>
    </row>
    <row r="8790" spans="76:77" x14ac:dyDescent="0.2">
      <c r="BX8790" s="214" t="e">
        <f t="shared" si="290"/>
        <v>#DIV/0!</v>
      </c>
      <c r="BY8790" s="215">
        <f t="shared" si="291"/>
        <v>0</v>
      </c>
    </row>
    <row r="8791" spans="76:77" x14ac:dyDescent="0.2">
      <c r="BX8791" s="214" t="e">
        <f t="shared" si="290"/>
        <v>#DIV/0!</v>
      </c>
      <c r="BY8791" s="215">
        <f t="shared" si="291"/>
        <v>0</v>
      </c>
    </row>
    <row r="8792" spans="76:77" x14ac:dyDescent="0.2">
      <c r="BX8792" s="214" t="e">
        <f t="shared" si="290"/>
        <v>#DIV/0!</v>
      </c>
      <c r="BY8792" s="215">
        <f t="shared" si="291"/>
        <v>0</v>
      </c>
    </row>
    <row r="8793" spans="76:77" x14ac:dyDescent="0.2">
      <c r="BX8793" s="214" t="e">
        <f t="shared" si="290"/>
        <v>#DIV/0!</v>
      </c>
      <c r="BY8793" s="215">
        <f t="shared" si="291"/>
        <v>0</v>
      </c>
    </row>
    <row r="8794" spans="76:77" x14ac:dyDescent="0.2">
      <c r="BX8794" s="214" t="e">
        <f t="shared" si="290"/>
        <v>#DIV/0!</v>
      </c>
      <c r="BY8794" s="215">
        <f t="shared" si="291"/>
        <v>0</v>
      </c>
    </row>
    <row r="8795" spans="76:77" x14ac:dyDescent="0.2">
      <c r="BX8795" s="214" t="e">
        <f t="shared" si="290"/>
        <v>#DIV/0!</v>
      </c>
      <c r="BY8795" s="215">
        <f t="shared" si="291"/>
        <v>0</v>
      </c>
    </row>
    <row r="8796" spans="76:77" x14ac:dyDescent="0.2">
      <c r="BX8796" s="214" t="e">
        <f t="shared" si="290"/>
        <v>#DIV/0!</v>
      </c>
      <c r="BY8796" s="215">
        <f t="shared" si="291"/>
        <v>0</v>
      </c>
    </row>
    <row r="8797" spans="76:77" x14ac:dyDescent="0.2">
      <c r="BX8797" s="214" t="e">
        <f t="shared" si="290"/>
        <v>#DIV/0!</v>
      </c>
      <c r="BY8797" s="215">
        <f t="shared" si="291"/>
        <v>0</v>
      </c>
    </row>
    <row r="8798" spans="76:77" x14ac:dyDescent="0.2">
      <c r="BX8798" s="214" t="e">
        <f t="shared" si="290"/>
        <v>#DIV/0!</v>
      </c>
      <c r="BY8798" s="215">
        <f t="shared" si="291"/>
        <v>0</v>
      </c>
    </row>
    <row r="8799" spans="76:77" x14ac:dyDescent="0.2">
      <c r="BX8799" s="214" t="e">
        <f t="shared" si="290"/>
        <v>#DIV/0!</v>
      </c>
      <c r="BY8799" s="215">
        <f t="shared" si="291"/>
        <v>0</v>
      </c>
    </row>
    <row r="8800" spans="76:77" x14ac:dyDescent="0.2">
      <c r="BX8800" s="214" t="e">
        <f t="shared" si="290"/>
        <v>#DIV/0!</v>
      </c>
      <c r="BY8800" s="215">
        <f t="shared" si="291"/>
        <v>0</v>
      </c>
    </row>
    <row r="8801" spans="76:77" x14ac:dyDescent="0.2">
      <c r="BX8801" s="214" t="e">
        <f t="shared" si="290"/>
        <v>#DIV/0!</v>
      </c>
      <c r="BY8801" s="215">
        <f t="shared" si="291"/>
        <v>0</v>
      </c>
    </row>
    <row r="8802" spans="76:77" x14ac:dyDescent="0.2">
      <c r="BX8802" s="214" t="e">
        <f t="shared" si="290"/>
        <v>#DIV/0!</v>
      </c>
      <c r="BY8802" s="215">
        <f t="shared" si="291"/>
        <v>0</v>
      </c>
    </row>
    <row r="8803" spans="76:77" x14ac:dyDescent="0.2">
      <c r="BX8803" s="214" t="e">
        <f t="shared" si="290"/>
        <v>#DIV/0!</v>
      </c>
      <c r="BY8803" s="215">
        <f t="shared" si="291"/>
        <v>0</v>
      </c>
    </row>
    <row r="8804" spans="76:77" x14ac:dyDescent="0.2">
      <c r="BX8804" s="214" t="e">
        <f t="shared" si="290"/>
        <v>#DIV/0!</v>
      </c>
      <c r="BY8804" s="215">
        <f t="shared" si="291"/>
        <v>0</v>
      </c>
    </row>
    <row r="8805" spans="76:77" x14ac:dyDescent="0.2">
      <c r="BX8805" s="214" t="e">
        <f t="shared" si="290"/>
        <v>#DIV/0!</v>
      </c>
      <c r="BY8805" s="215">
        <f t="shared" si="291"/>
        <v>0</v>
      </c>
    </row>
    <row r="8806" spans="76:77" x14ac:dyDescent="0.2">
      <c r="BX8806" s="214" t="e">
        <f t="shared" si="290"/>
        <v>#DIV/0!</v>
      </c>
      <c r="BY8806" s="215">
        <f t="shared" si="291"/>
        <v>0</v>
      </c>
    </row>
    <row r="8807" spans="76:77" x14ac:dyDescent="0.2">
      <c r="BX8807" s="214" t="e">
        <f t="shared" si="290"/>
        <v>#DIV/0!</v>
      </c>
      <c r="BY8807" s="215">
        <f t="shared" si="291"/>
        <v>0</v>
      </c>
    </row>
    <row r="8808" spans="76:77" x14ac:dyDescent="0.2">
      <c r="BX8808" s="214" t="e">
        <f t="shared" si="290"/>
        <v>#DIV/0!</v>
      </c>
      <c r="BY8808" s="215">
        <f t="shared" si="291"/>
        <v>0</v>
      </c>
    </row>
    <row r="8809" spans="76:77" x14ac:dyDescent="0.2">
      <c r="BX8809" s="214" t="e">
        <f t="shared" si="290"/>
        <v>#DIV/0!</v>
      </c>
      <c r="BY8809" s="215">
        <f t="shared" si="291"/>
        <v>0</v>
      </c>
    </row>
    <row r="8810" spans="76:77" x14ac:dyDescent="0.2">
      <c r="BX8810" s="214" t="e">
        <f t="shared" si="290"/>
        <v>#DIV/0!</v>
      </c>
      <c r="BY8810" s="215">
        <f t="shared" si="291"/>
        <v>0</v>
      </c>
    </row>
    <row r="8811" spans="76:77" x14ac:dyDescent="0.2">
      <c r="BX8811" s="214" t="e">
        <f t="shared" si="290"/>
        <v>#DIV/0!</v>
      </c>
      <c r="BY8811" s="215">
        <f t="shared" si="291"/>
        <v>0</v>
      </c>
    </row>
    <row r="8812" spans="76:77" x14ac:dyDescent="0.2">
      <c r="BX8812" s="214" t="e">
        <f t="shared" si="290"/>
        <v>#DIV/0!</v>
      </c>
      <c r="BY8812" s="215">
        <f t="shared" si="291"/>
        <v>0</v>
      </c>
    </row>
    <row r="8813" spans="76:77" x14ac:dyDescent="0.2">
      <c r="BX8813" s="214" t="e">
        <f t="shared" si="290"/>
        <v>#DIV/0!</v>
      </c>
      <c r="BY8813" s="215">
        <f t="shared" si="291"/>
        <v>0</v>
      </c>
    </row>
    <row r="8814" spans="76:77" x14ac:dyDescent="0.2">
      <c r="BX8814" s="214" t="e">
        <f t="shared" si="290"/>
        <v>#DIV/0!</v>
      </c>
      <c r="BY8814" s="215">
        <f t="shared" si="291"/>
        <v>0</v>
      </c>
    </row>
    <row r="8815" spans="76:77" x14ac:dyDescent="0.2">
      <c r="BX8815" s="214" t="e">
        <f t="shared" si="290"/>
        <v>#DIV/0!</v>
      </c>
      <c r="BY8815" s="215">
        <f t="shared" si="291"/>
        <v>0</v>
      </c>
    </row>
    <row r="8816" spans="76:77" x14ac:dyDescent="0.2">
      <c r="BX8816" s="214" t="e">
        <f t="shared" si="290"/>
        <v>#DIV/0!</v>
      </c>
      <c r="BY8816" s="215">
        <f t="shared" si="291"/>
        <v>0</v>
      </c>
    </row>
    <row r="8817" spans="76:77" x14ac:dyDescent="0.2">
      <c r="BX8817" s="214" t="e">
        <f t="shared" si="290"/>
        <v>#DIV/0!</v>
      </c>
      <c r="BY8817" s="215">
        <f t="shared" si="291"/>
        <v>0</v>
      </c>
    </row>
    <row r="8818" spans="76:77" x14ac:dyDescent="0.2">
      <c r="BX8818" s="214" t="e">
        <f t="shared" si="290"/>
        <v>#DIV/0!</v>
      </c>
      <c r="BY8818" s="215">
        <f t="shared" si="291"/>
        <v>0</v>
      </c>
    </row>
    <row r="8819" spans="76:77" x14ac:dyDescent="0.2">
      <c r="BX8819" s="214" t="e">
        <f t="shared" si="290"/>
        <v>#DIV/0!</v>
      </c>
      <c r="BY8819" s="215">
        <f t="shared" si="291"/>
        <v>0</v>
      </c>
    </row>
    <row r="8820" spans="76:77" x14ac:dyDescent="0.2">
      <c r="BX8820" s="214" t="e">
        <f t="shared" si="290"/>
        <v>#DIV/0!</v>
      </c>
      <c r="BY8820" s="215">
        <f t="shared" si="291"/>
        <v>0</v>
      </c>
    </row>
    <row r="8821" spans="76:77" x14ac:dyDescent="0.2">
      <c r="BX8821" s="214" t="e">
        <f t="shared" si="290"/>
        <v>#DIV/0!</v>
      </c>
      <c r="BY8821" s="215">
        <f t="shared" si="291"/>
        <v>0</v>
      </c>
    </row>
    <row r="8822" spans="76:77" x14ac:dyDescent="0.2">
      <c r="BX8822" s="214" t="e">
        <f t="shared" si="290"/>
        <v>#DIV/0!</v>
      </c>
      <c r="BY8822" s="215">
        <f t="shared" si="291"/>
        <v>0</v>
      </c>
    </row>
    <row r="8823" spans="76:77" x14ac:dyDescent="0.2">
      <c r="BX8823" s="214" t="e">
        <f t="shared" si="290"/>
        <v>#DIV/0!</v>
      </c>
      <c r="BY8823" s="215">
        <f t="shared" si="291"/>
        <v>0</v>
      </c>
    </row>
    <row r="8824" spans="76:77" x14ac:dyDescent="0.2">
      <c r="BX8824" s="214" t="e">
        <f t="shared" si="290"/>
        <v>#DIV/0!</v>
      </c>
      <c r="BY8824" s="215">
        <f t="shared" si="291"/>
        <v>0</v>
      </c>
    </row>
    <row r="8825" spans="76:77" x14ac:dyDescent="0.2">
      <c r="BX8825" s="214" t="e">
        <f t="shared" si="290"/>
        <v>#DIV/0!</v>
      </c>
      <c r="BY8825" s="215">
        <f t="shared" si="291"/>
        <v>0</v>
      </c>
    </row>
    <row r="8826" spans="76:77" x14ac:dyDescent="0.2">
      <c r="BX8826" s="214" t="e">
        <f t="shared" si="290"/>
        <v>#DIV/0!</v>
      </c>
      <c r="BY8826" s="215">
        <f t="shared" si="291"/>
        <v>0</v>
      </c>
    </row>
    <row r="8827" spans="76:77" x14ac:dyDescent="0.2">
      <c r="BX8827" s="214" t="e">
        <f t="shared" si="290"/>
        <v>#DIV/0!</v>
      </c>
      <c r="BY8827" s="215">
        <f t="shared" si="291"/>
        <v>0</v>
      </c>
    </row>
    <row r="8828" spans="76:77" x14ac:dyDescent="0.2">
      <c r="BX8828" s="214" t="e">
        <f t="shared" si="290"/>
        <v>#DIV/0!</v>
      </c>
      <c r="BY8828" s="215">
        <f t="shared" si="291"/>
        <v>0</v>
      </c>
    </row>
    <row r="8829" spans="76:77" x14ac:dyDescent="0.2">
      <c r="BX8829" s="214" t="e">
        <f t="shared" si="290"/>
        <v>#DIV/0!</v>
      </c>
      <c r="BY8829" s="215">
        <f t="shared" si="291"/>
        <v>0</v>
      </c>
    </row>
    <row r="8830" spans="76:77" x14ac:dyDescent="0.2">
      <c r="BX8830" s="214" t="e">
        <f t="shared" si="290"/>
        <v>#DIV/0!</v>
      </c>
      <c r="BY8830" s="215">
        <f t="shared" si="291"/>
        <v>0</v>
      </c>
    </row>
    <row r="8831" spans="76:77" x14ac:dyDescent="0.2">
      <c r="BX8831" s="214" t="e">
        <f t="shared" si="290"/>
        <v>#DIV/0!</v>
      </c>
      <c r="BY8831" s="215">
        <f t="shared" si="291"/>
        <v>0</v>
      </c>
    </row>
    <row r="8832" spans="76:77" x14ac:dyDescent="0.2">
      <c r="BX8832" s="214" t="e">
        <f t="shared" si="290"/>
        <v>#DIV/0!</v>
      </c>
      <c r="BY8832" s="215">
        <f t="shared" si="291"/>
        <v>0</v>
      </c>
    </row>
    <row r="8833" spans="76:77" x14ac:dyDescent="0.2">
      <c r="BX8833" s="214" t="e">
        <f t="shared" si="290"/>
        <v>#DIV/0!</v>
      </c>
      <c r="BY8833" s="215">
        <f t="shared" si="291"/>
        <v>0</v>
      </c>
    </row>
    <row r="8834" spans="76:77" x14ac:dyDescent="0.2">
      <c r="BX8834" s="214" t="e">
        <f t="shared" si="290"/>
        <v>#DIV/0!</v>
      </c>
      <c r="BY8834" s="215">
        <f t="shared" si="291"/>
        <v>0</v>
      </c>
    </row>
    <row r="8835" spans="76:77" x14ac:dyDescent="0.2">
      <c r="BX8835" s="214" t="e">
        <f t="shared" si="290"/>
        <v>#DIV/0!</v>
      </c>
      <c r="BY8835" s="215">
        <f t="shared" si="291"/>
        <v>0</v>
      </c>
    </row>
    <row r="8836" spans="76:77" x14ac:dyDescent="0.2">
      <c r="BX8836" s="214" t="e">
        <f t="shared" si="290"/>
        <v>#DIV/0!</v>
      </c>
      <c r="BY8836" s="215">
        <f t="shared" si="291"/>
        <v>0</v>
      </c>
    </row>
    <row r="8837" spans="76:77" x14ac:dyDescent="0.2">
      <c r="BX8837" s="214" t="e">
        <f t="shared" si="290"/>
        <v>#DIV/0!</v>
      </c>
      <c r="BY8837" s="215">
        <f t="shared" si="291"/>
        <v>0</v>
      </c>
    </row>
    <row r="8838" spans="76:77" x14ac:dyDescent="0.2">
      <c r="BX8838" s="214" t="e">
        <f t="shared" si="290"/>
        <v>#DIV/0!</v>
      </c>
      <c r="BY8838" s="215">
        <f t="shared" si="291"/>
        <v>0</v>
      </c>
    </row>
    <row r="8839" spans="76:77" x14ac:dyDescent="0.2">
      <c r="BX8839" s="214" t="e">
        <f t="shared" si="290"/>
        <v>#DIV/0!</v>
      </c>
      <c r="BY8839" s="215">
        <f t="shared" si="291"/>
        <v>0</v>
      </c>
    </row>
    <row r="8840" spans="76:77" x14ac:dyDescent="0.2">
      <c r="BX8840" s="214" t="e">
        <f t="shared" si="290"/>
        <v>#DIV/0!</v>
      </c>
      <c r="BY8840" s="215">
        <f t="shared" si="291"/>
        <v>0</v>
      </c>
    </row>
    <row r="8841" spans="76:77" x14ac:dyDescent="0.2">
      <c r="BX8841" s="214" t="e">
        <f t="shared" si="290"/>
        <v>#DIV/0!</v>
      </c>
      <c r="BY8841" s="215">
        <f t="shared" si="291"/>
        <v>0</v>
      </c>
    </row>
    <row r="8842" spans="76:77" x14ac:dyDescent="0.2">
      <c r="BX8842" s="214" t="e">
        <f t="shared" si="290"/>
        <v>#DIV/0!</v>
      </c>
      <c r="BY8842" s="215">
        <f t="shared" si="291"/>
        <v>0</v>
      </c>
    </row>
    <row r="8843" spans="76:77" x14ac:dyDescent="0.2">
      <c r="BX8843" s="214" t="e">
        <f t="shared" si="290"/>
        <v>#DIV/0!</v>
      </c>
      <c r="BY8843" s="215">
        <f t="shared" si="291"/>
        <v>0</v>
      </c>
    </row>
    <row r="8844" spans="76:77" x14ac:dyDescent="0.2">
      <c r="BX8844" s="214" t="e">
        <f t="shared" si="290"/>
        <v>#DIV/0!</v>
      </c>
      <c r="BY8844" s="215">
        <f t="shared" si="291"/>
        <v>0</v>
      </c>
    </row>
    <row r="8845" spans="76:77" x14ac:dyDescent="0.2">
      <c r="BX8845" s="214" t="e">
        <f t="shared" ref="BX8845:BX8908" si="292">BY8845/BV8845</f>
        <v>#DIV/0!</v>
      </c>
      <c r="BY8845" s="215">
        <f t="shared" si="291"/>
        <v>0</v>
      </c>
    </row>
    <row r="8846" spans="76:77" x14ac:dyDescent="0.2">
      <c r="BX8846" s="214" t="e">
        <f t="shared" si="292"/>
        <v>#DIV/0!</v>
      </c>
      <c r="BY8846" s="215">
        <f t="shared" ref="BY8846:BY8909" si="293">BY8845+BW8846*(BV8846-BV8845)</f>
        <v>0</v>
      </c>
    </row>
    <row r="8847" spans="76:77" x14ac:dyDescent="0.2">
      <c r="BX8847" s="214" t="e">
        <f t="shared" si="292"/>
        <v>#DIV/0!</v>
      </c>
      <c r="BY8847" s="215">
        <f t="shared" si="293"/>
        <v>0</v>
      </c>
    </row>
    <row r="8848" spans="76:77" x14ac:dyDescent="0.2">
      <c r="BX8848" s="214" t="e">
        <f t="shared" si="292"/>
        <v>#DIV/0!</v>
      </c>
      <c r="BY8848" s="215">
        <f t="shared" si="293"/>
        <v>0</v>
      </c>
    </row>
    <row r="8849" spans="76:77" x14ac:dyDescent="0.2">
      <c r="BX8849" s="214" t="e">
        <f t="shared" si="292"/>
        <v>#DIV/0!</v>
      </c>
      <c r="BY8849" s="215">
        <f t="shared" si="293"/>
        <v>0</v>
      </c>
    </row>
    <row r="8850" spans="76:77" x14ac:dyDescent="0.2">
      <c r="BX8850" s="214" t="e">
        <f t="shared" si="292"/>
        <v>#DIV/0!</v>
      </c>
      <c r="BY8850" s="215">
        <f t="shared" si="293"/>
        <v>0</v>
      </c>
    </row>
    <row r="8851" spans="76:77" x14ac:dyDescent="0.2">
      <c r="BX8851" s="214" t="e">
        <f t="shared" si="292"/>
        <v>#DIV/0!</v>
      </c>
      <c r="BY8851" s="215">
        <f t="shared" si="293"/>
        <v>0</v>
      </c>
    </row>
    <row r="8852" spans="76:77" x14ac:dyDescent="0.2">
      <c r="BX8852" s="214" t="e">
        <f t="shared" si="292"/>
        <v>#DIV/0!</v>
      </c>
      <c r="BY8852" s="215">
        <f t="shared" si="293"/>
        <v>0</v>
      </c>
    </row>
    <row r="8853" spans="76:77" x14ac:dyDescent="0.2">
      <c r="BX8853" s="214" t="e">
        <f t="shared" si="292"/>
        <v>#DIV/0!</v>
      </c>
      <c r="BY8853" s="215">
        <f t="shared" si="293"/>
        <v>0</v>
      </c>
    </row>
    <row r="8854" spans="76:77" x14ac:dyDescent="0.2">
      <c r="BX8854" s="214" t="e">
        <f t="shared" si="292"/>
        <v>#DIV/0!</v>
      </c>
      <c r="BY8854" s="215">
        <f t="shared" si="293"/>
        <v>0</v>
      </c>
    </row>
    <row r="8855" spans="76:77" x14ac:dyDescent="0.2">
      <c r="BX8855" s="214" t="e">
        <f t="shared" si="292"/>
        <v>#DIV/0!</v>
      </c>
      <c r="BY8855" s="215">
        <f t="shared" si="293"/>
        <v>0</v>
      </c>
    </row>
    <row r="8856" spans="76:77" x14ac:dyDescent="0.2">
      <c r="BX8856" s="214" t="e">
        <f t="shared" si="292"/>
        <v>#DIV/0!</v>
      </c>
      <c r="BY8856" s="215">
        <f t="shared" si="293"/>
        <v>0</v>
      </c>
    </row>
    <row r="8857" spans="76:77" x14ac:dyDescent="0.2">
      <c r="BX8857" s="214" t="e">
        <f t="shared" si="292"/>
        <v>#DIV/0!</v>
      </c>
      <c r="BY8857" s="215">
        <f t="shared" si="293"/>
        <v>0</v>
      </c>
    </row>
    <row r="8858" spans="76:77" x14ac:dyDescent="0.2">
      <c r="BX8858" s="214" t="e">
        <f t="shared" si="292"/>
        <v>#DIV/0!</v>
      </c>
      <c r="BY8858" s="215">
        <f t="shared" si="293"/>
        <v>0</v>
      </c>
    </row>
    <row r="8859" spans="76:77" x14ac:dyDescent="0.2">
      <c r="BX8859" s="214" t="e">
        <f t="shared" si="292"/>
        <v>#DIV/0!</v>
      </c>
      <c r="BY8859" s="215">
        <f t="shared" si="293"/>
        <v>0</v>
      </c>
    </row>
    <row r="8860" spans="76:77" x14ac:dyDescent="0.2">
      <c r="BX8860" s="214" t="e">
        <f t="shared" si="292"/>
        <v>#DIV/0!</v>
      </c>
      <c r="BY8860" s="215">
        <f t="shared" si="293"/>
        <v>0</v>
      </c>
    </row>
    <row r="8861" spans="76:77" x14ac:dyDescent="0.2">
      <c r="BX8861" s="214" t="e">
        <f t="shared" si="292"/>
        <v>#DIV/0!</v>
      </c>
      <c r="BY8861" s="215">
        <f t="shared" si="293"/>
        <v>0</v>
      </c>
    </row>
    <row r="8862" spans="76:77" x14ac:dyDescent="0.2">
      <c r="BX8862" s="214" t="e">
        <f t="shared" si="292"/>
        <v>#DIV/0!</v>
      </c>
      <c r="BY8862" s="215">
        <f t="shared" si="293"/>
        <v>0</v>
      </c>
    </row>
    <row r="8863" spans="76:77" x14ac:dyDescent="0.2">
      <c r="BX8863" s="214" t="e">
        <f t="shared" si="292"/>
        <v>#DIV/0!</v>
      </c>
      <c r="BY8863" s="215">
        <f t="shared" si="293"/>
        <v>0</v>
      </c>
    </row>
    <row r="8864" spans="76:77" x14ac:dyDescent="0.2">
      <c r="BX8864" s="214" t="e">
        <f t="shared" si="292"/>
        <v>#DIV/0!</v>
      </c>
      <c r="BY8864" s="215">
        <f t="shared" si="293"/>
        <v>0</v>
      </c>
    </row>
    <row r="8865" spans="76:77" x14ac:dyDescent="0.2">
      <c r="BX8865" s="214" t="e">
        <f t="shared" si="292"/>
        <v>#DIV/0!</v>
      </c>
      <c r="BY8865" s="215">
        <f t="shared" si="293"/>
        <v>0</v>
      </c>
    </row>
    <row r="8866" spans="76:77" x14ac:dyDescent="0.2">
      <c r="BX8866" s="214" t="e">
        <f t="shared" si="292"/>
        <v>#DIV/0!</v>
      </c>
      <c r="BY8866" s="215">
        <f t="shared" si="293"/>
        <v>0</v>
      </c>
    </row>
    <row r="8867" spans="76:77" x14ac:dyDescent="0.2">
      <c r="BX8867" s="214" t="e">
        <f t="shared" si="292"/>
        <v>#DIV/0!</v>
      </c>
      <c r="BY8867" s="215">
        <f t="shared" si="293"/>
        <v>0</v>
      </c>
    </row>
    <row r="8868" spans="76:77" x14ac:dyDescent="0.2">
      <c r="BX8868" s="214" t="e">
        <f t="shared" si="292"/>
        <v>#DIV/0!</v>
      </c>
      <c r="BY8868" s="215">
        <f t="shared" si="293"/>
        <v>0</v>
      </c>
    </row>
    <row r="8869" spans="76:77" x14ac:dyDescent="0.2">
      <c r="BX8869" s="214" t="e">
        <f t="shared" si="292"/>
        <v>#DIV/0!</v>
      </c>
      <c r="BY8869" s="215">
        <f t="shared" si="293"/>
        <v>0</v>
      </c>
    </row>
    <row r="8870" spans="76:77" x14ac:dyDescent="0.2">
      <c r="BX8870" s="214" t="e">
        <f t="shared" si="292"/>
        <v>#DIV/0!</v>
      </c>
      <c r="BY8870" s="215">
        <f t="shared" si="293"/>
        <v>0</v>
      </c>
    </row>
    <row r="8871" spans="76:77" x14ac:dyDescent="0.2">
      <c r="BX8871" s="214" t="e">
        <f t="shared" si="292"/>
        <v>#DIV/0!</v>
      </c>
      <c r="BY8871" s="215">
        <f t="shared" si="293"/>
        <v>0</v>
      </c>
    </row>
    <row r="8872" spans="76:77" x14ac:dyDescent="0.2">
      <c r="BX8872" s="214" t="e">
        <f t="shared" si="292"/>
        <v>#DIV/0!</v>
      </c>
      <c r="BY8872" s="215">
        <f t="shared" si="293"/>
        <v>0</v>
      </c>
    </row>
    <row r="8873" spans="76:77" x14ac:dyDescent="0.2">
      <c r="BX8873" s="214" t="e">
        <f t="shared" si="292"/>
        <v>#DIV/0!</v>
      </c>
      <c r="BY8873" s="215">
        <f t="shared" si="293"/>
        <v>0</v>
      </c>
    </row>
    <row r="8874" spans="76:77" x14ac:dyDescent="0.2">
      <c r="BX8874" s="214" t="e">
        <f t="shared" si="292"/>
        <v>#DIV/0!</v>
      </c>
      <c r="BY8874" s="215">
        <f t="shared" si="293"/>
        <v>0</v>
      </c>
    </row>
    <row r="8875" spans="76:77" x14ac:dyDescent="0.2">
      <c r="BX8875" s="214" t="e">
        <f t="shared" si="292"/>
        <v>#DIV/0!</v>
      </c>
      <c r="BY8875" s="215">
        <f t="shared" si="293"/>
        <v>0</v>
      </c>
    </row>
    <row r="8876" spans="76:77" x14ac:dyDescent="0.2">
      <c r="BX8876" s="214" t="e">
        <f t="shared" si="292"/>
        <v>#DIV/0!</v>
      </c>
      <c r="BY8876" s="215">
        <f t="shared" si="293"/>
        <v>0</v>
      </c>
    </row>
    <row r="8877" spans="76:77" x14ac:dyDescent="0.2">
      <c r="BX8877" s="214" t="e">
        <f t="shared" si="292"/>
        <v>#DIV/0!</v>
      </c>
      <c r="BY8877" s="215">
        <f t="shared" si="293"/>
        <v>0</v>
      </c>
    </row>
    <row r="8878" spans="76:77" x14ac:dyDescent="0.2">
      <c r="BX8878" s="214" t="e">
        <f t="shared" si="292"/>
        <v>#DIV/0!</v>
      </c>
      <c r="BY8878" s="215">
        <f t="shared" si="293"/>
        <v>0</v>
      </c>
    </row>
    <row r="8879" spans="76:77" x14ac:dyDescent="0.2">
      <c r="BX8879" s="214" t="e">
        <f t="shared" si="292"/>
        <v>#DIV/0!</v>
      </c>
      <c r="BY8879" s="215">
        <f t="shared" si="293"/>
        <v>0</v>
      </c>
    </row>
    <row r="8880" spans="76:77" x14ac:dyDescent="0.2">
      <c r="BX8880" s="214" t="e">
        <f t="shared" si="292"/>
        <v>#DIV/0!</v>
      </c>
      <c r="BY8880" s="215">
        <f t="shared" si="293"/>
        <v>0</v>
      </c>
    </row>
    <row r="8881" spans="76:77" x14ac:dyDescent="0.2">
      <c r="BX8881" s="214" t="e">
        <f t="shared" si="292"/>
        <v>#DIV/0!</v>
      </c>
      <c r="BY8881" s="215">
        <f t="shared" si="293"/>
        <v>0</v>
      </c>
    </row>
    <row r="8882" spans="76:77" x14ac:dyDescent="0.2">
      <c r="BX8882" s="214" t="e">
        <f t="shared" si="292"/>
        <v>#DIV/0!</v>
      </c>
      <c r="BY8882" s="215">
        <f t="shared" si="293"/>
        <v>0</v>
      </c>
    </row>
    <row r="8883" spans="76:77" x14ac:dyDescent="0.2">
      <c r="BX8883" s="214" t="e">
        <f t="shared" si="292"/>
        <v>#DIV/0!</v>
      </c>
      <c r="BY8883" s="215">
        <f t="shared" si="293"/>
        <v>0</v>
      </c>
    </row>
    <row r="8884" spans="76:77" x14ac:dyDescent="0.2">
      <c r="BX8884" s="214" t="e">
        <f t="shared" si="292"/>
        <v>#DIV/0!</v>
      </c>
      <c r="BY8884" s="215">
        <f t="shared" si="293"/>
        <v>0</v>
      </c>
    </row>
    <row r="8885" spans="76:77" x14ac:dyDescent="0.2">
      <c r="BX8885" s="214" t="e">
        <f t="shared" si="292"/>
        <v>#DIV/0!</v>
      </c>
      <c r="BY8885" s="215">
        <f t="shared" si="293"/>
        <v>0</v>
      </c>
    </row>
    <row r="8886" spans="76:77" x14ac:dyDescent="0.2">
      <c r="BX8886" s="214" t="e">
        <f t="shared" si="292"/>
        <v>#DIV/0!</v>
      </c>
      <c r="BY8886" s="215">
        <f t="shared" si="293"/>
        <v>0</v>
      </c>
    </row>
    <row r="8887" spans="76:77" x14ac:dyDescent="0.2">
      <c r="BX8887" s="214" t="e">
        <f t="shared" si="292"/>
        <v>#DIV/0!</v>
      </c>
      <c r="BY8887" s="215">
        <f t="shared" si="293"/>
        <v>0</v>
      </c>
    </row>
    <row r="8888" spans="76:77" x14ac:dyDescent="0.2">
      <c r="BX8888" s="214" t="e">
        <f t="shared" si="292"/>
        <v>#DIV/0!</v>
      </c>
      <c r="BY8888" s="215">
        <f t="shared" si="293"/>
        <v>0</v>
      </c>
    </row>
    <row r="8889" spans="76:77" x14ac:dyDescent="0.2">
      <c r="BX8889" s="214" t="e">
        <f t="shared" si="292"/>
        <v>#DIV/0!</v>
      </c>
      <c r="BY8889" s="215">
        <f t="shared" si="293"/>
        <v>0</v>
      </c>
    </row>
    <row r="8890" spans="76:77" x14ac:dyDescent="0.2">
      <c r="BX8890" s="214" t="e">
        <f t="shared" si="292"/>
        <v>#DIV/0!</v>
      </c>
      <c r="BY8890" s="215">
        <f t="shared" si="293"/>
        <v>0</v>
      </c>
    </row>
    <row r="8891" spans="76:77" x14ac:dyDescent="0.2">
      <c r="BX8891" s="214" t="e">
        <f t="shared" si="292"/>
        <v>#DIV/0!</v>
      </c>
      <c r="BY8891" s="215">
        <f t="shared" si="293"/>
        <v>0</v>
      </c>
    </row>
    <row r="8892" spans="76:77" x14ac:dyDescent="0.2">
      <c r="BX8892" s="214" t="e">
        <f t="shared" si="292"/>
        <v>#DIV/0!</v>
      </c>
      <c r="BY8892" s="215">
        <f t="shared" si="293"/>
        <v>0</v>
      </c>
    </row>
    <row r="8893" spans="76:77" x14ac:dyDescent="0.2">
      <c r="BX8893" s="214" t="e">
        <f t="shared" si="292"/>
        <v>#DIV/0!</v>
      </c>
      <c r="BY8893" s="215">
        <f t="shared" si="293"/>
        <v>0</v>
      </c>
    </row>
    <row r="8894" spans="76:77" x14ac:dyDescent="0.2">
      <c r="BX8894" s="214" t="e">
        <f t="shared" si="292"/>
        <v>#DIV/0!</v>
      </c>
      <c r="BY8894" s="215">
        <f t="shared" si="293"/>
        <v>0</v>
      </c>
    </row>
    <row r="8895" spans="76:77" x14ac:dyDescent="0.2">
      <c r="BX8895" s="214" t="e">
        <f t="shared" si="292"/>
        <v>#DIV/0!</v>
      </c>
      <c r="BY8895" s="215">
        <f t="shared" si="293"/>
        <v>0</v>
      </c>
    </row>
    <row r="8896" spans="76:77" x14ac:dyDescent="0.2">
      <c r="BX8896" s="214" t="e">
        <f t="shared" si="292"/>
        <v>#DIV/0!</v>
      </c>
      <c r="BY8896" s="215">
        <f t="shared" si="293"/>
        <v>0</v>
      </c>
    </row>
    <row r="8897" spans="76:77" x14ac:dyDescent="0.2">
      <c r="BX8897" s="214" t="e">
        <f t="shared" si="292"/>
        <v>#DIV/0!</v>
      </c>
      <c r="BY8897" s="215">
        <f t="shared" si="293"/>
        <v>0</v>
      </c>
    </row>
    <row r="8898" spans="76:77" x14ac:dyDescent="0.2">
      <c r="BX8898" s="214" t="e">
        <f t="shared" si="292"/>
        <v>#DIV/0!</v>
      </c>
      <c r="BY8898" s="215">
        <f t="shared" si="293"/>
        <v>0</v>
      </c>
    </row>
    <row r="8899" spans="76:77" x14ac:dyDescent="0.2">
      <c r="BX8899" s="214" t="e">
        <f t="shared" si="292"/>
        <v>#DIV/0!</v>
      </c>
      <c r="BY8899" s="215">
        <f t="shared" si="293"/>
        <v>0</v>
      </c>
    </row>
    <row r="8900" spans="76:77" x14ac:dyDescent="0.2">
      <c r="BX8900" s="214" t="e">
        <f t="shared" si="292"/>
        <v>#DIV/0!</v>
      </c>
      <c r="BY8900" s="215">
        <f t="shared" si="293"/>
        <v>0</v>
      </c>
    </row>
    <row r="8901" spans="76:77" x14ac:dyDescent="0.2">
      <c r="BX8901" s="214" t="e">
        <f t="shared" si="292"/>
        <v>#DIV/0!</v>
      </c>
      <c r="BY8901" s="215">
        <f t="shared" si="293"/>
        <v>0</v>
      </c>
    </row>
    <row r="8902" spans="76:77" x14ac:dyDescent="0.2">
      <c r="BX8902" s="214" t="e">
        <f t="shared" si="292"/>
        <v>#DIV/0!</v>
      </c>
      <c r="BY8902" s="215">
        <f t="shared" si="293"/>
        <v>0</v>
      </c>
    </row>
    <row r="8903" spans="76:77" x14ac:dyDescent="0.2">
      <c r="BX8903" s="214" t="e">
        <f t="shared" si="292"/>
        <v>#DIV/0!</v>
      </c>
      <c r="BY8903" s="215">
        <f t="shared" si="293"/>
        <v>0</v>
      </c>
    </row>
    <row r="8904" spans="76:77" x14ac:dyDescent="0.2">
      <c r="BX8904" s="214" t="e">
        <f t="shared" si="292"/>
        <v>#DIV/0!</v>
      </c>
      <c r="BY8904" s="215">
        <f t="shared" si="293"/>
        <v>0</v>
      </c>
    </row>
    <row r="8905" spans="76:77" x14ac:dyDescent="0.2">
      <c r="BX8905" s="214" t="e">
        <f t="shared" si="292"/>
        <v>#DIV/0!</v>
      </c>
      <c r="BY8905" s="215">
        <f t="shared" si="293"/>
        <v>0</v>
      </c>
    </row>
    <row r="8906" spans="76:77" x14ac:dyDescent="0.2">
      <c r="BX8906" s="214" t="e">
        <f t="shared" si="292"/>
        <v>#DIV/0!</v>
      </c>
      <c r="BY8906" s="215">
        <f t="shared" si="293"/>
        <v>0</v>
      </c>
    </row>
    <row r="8907" spans="76:77" x14ac:dyDescent="0.2">
      <c r="BX8907" s="214" t="e">
        <f t="shared" si="292"/>
        <v>#DIV/0!</v>
      </c>
      <c r="BY8907" s="215">
        <f t="shared" si="293"/>
        <v>0</v>
      </c>
    </row>
    <row r="8908" spans="76:77" x14ac:dyDescent="0.2">
      <c r="BX8908" s="214" t="e">
        <f t="shared" si="292"/>
        <v>#DIV/0!</v>
      </c>
      <c r="BY8908" s="215">
        <f t="shared" si="293"/>
        <v>0</v>
      </c>
    </row>
    <row r="8909" spans="76:77" x14ac:dyDescent="0.2">
      <c r="BX8909" s="214" t="e">
        <f t="shared" ref="BX8909:BX8972" si="294">BY8909/BV8909</f>
        <v>#DIV/0!</v>
      </c>
      <c r="BY8909" s="215">
        <f t="shared" si="293"/>
        <v>0</v>
      </c>
    </row>
    <row r="8910" spans="76:77" x14ac:dyDescent="0.2">
      <c r="BX8910" s="214" t="e">
        <f t="shared" si="294"/>
        <v>#DIV/0!</v>
      </c>
      <c r="BY8910" s="215">
        <f t="shared" ref="BY8910:BY8973" si="295">BY8909+BW8910*(BV8910-BV8909)</f>
        <v>0</v>
      </c>
    </row>
    <row r="8911" spans="76:77" x14ac:dyDescent="0.2">
      <c r="BX8911" s="214" t="e">
        <f t="shared" si="294"/>
        <v>#DIV/0!</v>
      </c>
      <c r="BY8911" s="215">
        <f t="shared" si="295"/>
        <v>0</v>
      </c>
    </row>
    <row r="8912" spans="76:77" x14ac:dyDescent="0.2">
      <c r="BX8912" s="214" t="e">
        <f t="shared" si="294"/>
        <v>#DIV/0!</v>
      </c>
      <c r="BY8912" s="215">
        <f t="shared" si="295"/>
        <v>0</v>
      </c>
    </row>
    <row r="8913" spans="76:77" x14ac:dyDescent="0.2">
      <c r="BX8913" s="214" t="e">
        <f t="shared" si="294"/>
        <v>#DIV/0!</v>
      </c>
      <c r="BY8913" s="215">
        <f t="shared" si="295"/>
        <v>0</v>
      </c>
    </row>
    <row r="8914" spans="76:77" x14ac:dyDescent="0.2">
      <c r="BX8914" s="214" t="e">
        <f t="shared" si="294"/>
        <v>#DIV/0!</v>
      </c>
      <c r="BY8914" s="215">
        <f t="shared" si="295"/>
        <v>0</v>
      </c>
    </row>
    <row r="8915" spans="76:77" x14ac:dyDescent="0.2">
      <c r="BX8915" s="214" t="e">
        <f t="shared" si="294"/>
        <v>#DIV/0!</v>
      </c>
      <c r="BY8915" s="215">
        <f t="shared" si="295"/>
        <v>0</v>
      </c>
    </row>
    <row r="8916" spans="76:77" x14ac:dyDescent="0.2">
      <c r="BX8916" s="214" t="e">
        <f t="shared" si="294"/>
        <v>#DIV/0!</v>
      </c>
      <c r="BY8916" s="215">
        <f t="shared" si="295"/>
        <v>0</v>
      </c>
    </row>
    <row r="8917" spans="76:77" x14ac:dyDescent="0.2">
      <c r="BX8917" s="214" t="e">
        <f t="shared" si="294"/>
        <v>#DIV/0!</v>
      </c>
      <c r="BY8917" s="215">
        <f t="shared" si="295"/>
        <v>0</v>
      </c>
    </row>
    <row r="8918" spans="76:77" x14ac:dyDescent="0.2">
      <c r="BX8918" s="214" t="e">
        <f t="shared" si="294"/>
        <v>#DIV/0!</v>
      </c>
      <c r="BY8918" s="215">
        <f t="shared" si="295"/>
        <v>0</v>
      </c>
    </row>
    <row r="8919" spans="76:77" x14ac:dyDescent="0.2">
      <c r="BX8919" s="214" t="e">
        <f t="shared" si="294"/>
        <v>#DIV/0!</v>
      </c>
      <c r="BY8919" s="215">
        <f t="shared" si="295"/>
        <v>0</v>
      </c>
    </row>
    <row r="8920" spans="76:77" x14ac:dyDescent="0.2">
      <c r="BX8920" s="214" t="e">
        <f t="shared" si="294"/>
        <v>#DIV/0!</v>
      </c>
      <c r="BY8920" s="215">
        <f t="shared" si="295"/>
        <v>0</v>
      </c>
    </row>
    <row r="8921" spans="76:77" x14ac:dyDescent="0.2">
      <c r="BX8921" s="214" t="e">
        <f t="shared" si="294"/>
        <v>#DIV/0!</v>
      </c>
      <c r="BY8921" s="215">
        <f t="shared" si="295"/>
        <v>0</v>
      </c>
    </row>
    <row r="8922" spans="76:77" x14ac:dyDescent="0.2">
      <c r="BX8922" s="214" t="e">
        <f t="shared" si="294"/>
        <v>#DIV/0!</v>
      </c>
      <c r="BY8922" s="215">
        <f t="shared" si="295"/>
        <v>0</v>
      </c>
    </row>
    <row r="8923" spans="76:77" x14ac:dyDescent="0.2">
      <c r="BX8923" s="214" t="e">
        <f t="shared" si="294"/>
        <v>#DIV/0!</v>
      </c>
      <c r="BY8923" s="215">
        <f t="shared" si="295"/>
        <v>0</v>
      </c>
    </row>
    <row r="8924" spans="76:77" x14ac:dyDescent="0.2">
      <c r="BX8924" s="214" t="e">
        <f t="shared" si="294"/>
        <v>#DIV/0!</v>
      </c>
      <c r="BY8924" s="215">
        <f t="shared" si="295"/>
        <v>0</v>
      </c>
    </row>
    <row r="8925" spans="76:77" x14ac:dyDescent="0.2">
      <c r="BX8925" s="214" t="e">
        <f t="shared" si="294"/>
        <v>#DIV/0!</v>
      </c>
      <c r="BY8925" s="215">
        <f t="shared" si="295"/>
        <v>0</v>
      </c>
    </row>
    <row r="8926" spans="76:77" x14ac:dyDescent="0.2">
      <c r="BX8926" s="214" t="e">
        <f t="shared" si="294"/>
        <v>#DIV/0!</v>
      </c>
      <c r="BY8926" s="215">
        <f t="shared" si="295"/>
        <v>0</v>
      </c>
    </row>
    <row r="8927" spans="76:77" x14ac:dyDescent="0.2">
      <c r="BX8927" s="214" t="e">
        <f t="shared" si="294"/>
        <v>#DIV/0!</v>
      </c>
      <c r="BY8927" s="215">
        <f t="shared" si="295"/>
        <v>0</v>
      </c>
    </row>
    <row r="8928" spans="76:77" x14ac:dyDescent="0.2">
      <c r="BX8928" s="214" t="e">
        <f t="shared" si="294"/>
        <v>#DIV/0!</v>
      </c>
      <c r="BY8928" s="215">
        <f t="shared" si="295"/>
        <v>0</v>
      </c>
    </row>
    <row r="8929" spans="76:77" x14ac:dyDescent="0.2">
      <c r="BX8929" s="214" t="e">
        <f t="shared" si="294"/>
        <v>#DIV/0!</v>
      </c>
      <c r="BY8929" s="215">
        <f t="shared" si="295"/>
        <v>0</v>
      </c>
    </row>
    <row r="8930" spans="76:77" x14ac:dyDescent="0.2">
      <c r="BX8930" s="214" t="e">
        <f t="shared" si="294"/>
        <v>#DIV/0!</v>
      </c>
      <c r="BY8930" s="215">
        <f t="shared" si="295"/>
        <v>0</v>
      </c>
    </row>
    <row r="8931" spans="76:77" x14ac:dyDescent="0.2">
      <c r="BX8931" s="214" t="e">
        <f t="shared" si="294"/>
        <v>#DIV/0!</v>
      </c>
      <c r="BY8931" s="215">
        <f t="shared" si="295"/>
        <v>0</v>
      </c>
    </row>
    <row r="8932" spans="76:77" x14ac:dyDescent="0.2">
      <c r="BX8932" s="214" t="e">
        <f t="shared" si="294"/>
        <v>#DIV/0!</v>
      </c>
      <c r="BY8932" s="215">
        <f t="shared" si="295"/>
        <v>0</v>
      </c>
    </row>
    <row r="8933" spans="76:77" x14ac:dyDescent="0.2">
      <c r="BX8933" s="214" t="e">
        <f t="shared" si="294"/>
        <v>#DIV/0!</v>
      </c>
      <c r="BY8933" s="215">
        <f t="shared" si="295"/>
        <v>0</v>
      </c>
    </row>
    <row r="8934" spans="76:77" x14ac:dyDescent="0.2">
      <c r="BX8934" s="214" t="e">
        <f t="shared" si="294"/>
        <v>#DIV/0!</v>
      </c>
      <c r="BY8934" s="215">
        <f t="shared" si="295"/>
        <v>0</v>
      </c>
    </row>
    <row r="8935" spans="76:77" x14ac:dyDescent="0.2">
      <c r="BX8935" s="214" t="e">
        <f t="shared" si="294"/>
        <v>#DIV/0!</v>
      </c>
      <c r="BY8935" s="215">
        <f t="shared" si="295"/>
        <v>0</v>
      </c>
    </row>
    <row r="8936" spans="76:77" x14ac:dyDescent="0.2">
      <c r="BX8936" s="214" t="e">
        <f t="shared" si="294"/>
        <v>#DIV/0!</v>
      </c>
      <c r="BY8936" s="215">
        <f t="shared" si="295"/>
        <v>0</v>
      </c>
    </row>
    <row r="8937" spans="76:77" x14ac:dyDescent="0.2">
      <c r="BX8937" s="214" t="e">
        <f t="shared" si="294"/>
        <v>#DIV/0!</v>
      </c>
      <c r="BY8937" s="215">
        <f t="shared" si="295"/>
        <v>0</v>
      </c>
    </row>
    <row r="8938" spans="76:77" x14ac:dyDescent="0.2">
      <c r="BX8938" s="214" t="e">
        <f t="shared" si="294"/>
        <v>#DIV/0!</v>
      </c>
      <c r="BY8938" s="215">
        <f t="shared" si="295"/>
        <v>0</v>
      </c>
    </row>
    <row r="8939" spans="76:77" x14ac:dyDescent="0.2">
      <c r="BX8939" s="214" t="e">
        <f t="shared" si="294"/>
        <v>#DIV/0!</v>
      </c>
      <c r="BY8939" s="215">
        <f t="shared" si="295"/>
        <v>0</v>
      </c>
    </row>
    <row r="8940" spans="76:77" x14ac:dyDescent="0.2">
      <c r="BX8940" s="214" t="e">
        <f t="shared" si="294"/>
        <v>#DIV/0!</v>
      </c>
      <c r="BY8940" s="215">
        <f t="shared" si="295"/>
        <v>0</v>
      </c>
    </row>
    <row r="8941" spans="76:77" x14ac:dyDescent="0.2">
      <c r="BX8941" s="214" t="e">
        <f t="shared" si="294"/>
        <v>#DIV/0!</v>
      </c>
      <c r="BY8941" s="215">
        <f t="shared" si="295"/>
        <v>0</v>
      </c>
    </row>
    <row r="8942" spans="76:77" x14ac:dyDescent="0.2">
      <c r="BX8942" s="214" t="e">
        <f t="shared" si="294"/>
        <v>#DIV/0!</v>
      </c>
      <c r="BY8942" s="215">
        <f t="shared" si="295"/>
        <v>0</v>
      </c>
    </row>
    <row r="8943" spans="76:77" x14ac:dyDescent="0.2">
      <c r="BX8943" s="214" t="e">
        <f t="shared" si="294"/>
        <v>#DIV/0!</v>
      </c>
      <c r="BY8943" s="215">
        <f t="shared" si="295"/>
        <v>0</v>
      </c>
    </row>
    <row r="8944" spans="76:77" x14ac:dyDescent="0.2">
      <c r="BX8944" s="214" t="e">
        <f t="shared" si="294"/>
        <v>#DIV/0!</v>
      </c>
      <c r="BY8944" s="215">
        <f t="shared" si="295"/>
        <v>0</v>
      </c>
    </row>
    <row r="8945" spans="76:77" x14ac:dyDescent="0.2">
      <c r="BX8945" s="214" t="e">
        <f t="shared" si="294"/>
        <v>#DIV/0!</v>
      </c>
      <c r="BY8945" s="215">
        <f t="shared" si="295"/>
        <v>0</v>
      </c>
    </row>
    <row r="8946" spans="76:77" x14ac:dyDescent="0.2">
      <c r="BX8946" s="214" t="e">
        <f t="shared" si="294"/>
        <v>#DIV/0!</v>
      </c>
      <c r="BY8946" s="215">
        <f t="shared" si="295"/>
        <v>0</v>
      </c>
    </row>
    <row r="8947" spans="76:77" x14ac:dyDescent="0.2">
      <c r="BX8947" s="214" t="e">
        <f t="shared" si="294"/>
        <v>#DIV/0!</v>
      </c>
      <c r="BY8947" s="215">
        <f t="shared" si="295"/>
        <v>0</v>
      </c>
    </row>
    <row r="8948" spans="76:77" x14ac:dyDescent="0.2">
      <c r="BX8948" s="214" t="e">
        <f t="shared" si="294"/>
        <v>#DIV/0!</v>
      </c>
      <c r="BY8948" s="215">
        <f t="shared" si="295"/>
        <v>0</v>
      </c>
    </row>
    <row r="8949" spans="76:77" x14ac:dyDescent="0.2">
      <c r="BX8949" s="214" t="e">
        <f t="shared" si="294"/>
        <v>#DIV/0!</v>
      </c>
      <c r="BY8949" s="215">
        <f t="shared" si="295"/>
        <v>0</v>
      </c>
    </row>
    <row r="8950" spans="76:77" x14ac:dyDescent="0.2">
      <c r="BX8950" s="214" t="e">
        <f t="shared" si="294"/>
        <v>#DIV/0!</v>
      </c>
      <c r="BY8950" s="215">
        <f t="shared" si="295"/>
        <v>0</v>
      </c>
    </row>
    <row r="8951" spans="76:77" x14ac:dyDescent="0.2">
      <c r="BX8951" s="214" t="e">
        <f t="shared" si="294"/>
        <v>#DIV/0!</v>
      </c>
      <c r="BY8951" s="215">
        <f t="shared" si="295"/>
        <v>0</v>
      </c>
    </row>
    <row r="8952" spans="76:77" x14ac:dyDescent="0.2">
      <c r="BX8952" s="214" t="e">
        <f t="shared" si="294"/>
        <v>#DIV/0!</v>
      </c>
      <c r="BY8952" s="215">
        <f t="shared" si="295"/>
        <v>0</v>
      </c>
    </row>
    <row r="8953" spans="76:77" x14ac:dyDescent="0.2">
      <c r="BX8953" s="214" t="e">
        <f t="shared" si="294"/>
        <v>#DIV/0!</v>
      </c>
      <c r="BY8953" s="215">
        <f t="shared" si="295"/>
        <v>0</v>
      </c>
    </row>
    <row r="8954" spans="76:77" x14ac:dyDescent="0.2">
      <c r="BX8954" s="214" t="e">
        <f t="shared" si="294"/>
        <v>#DIV/0!</v>
      </c>
      <c r="BY8954" s="215">
        <f t="shared" si="295"/>
        <v>0</v>
      </c>
    </row>
    <row r="8955" spans="76:77" x14ac:dyDescent="0.2">
      <c r="BX8955" s="214" t="e">
        <f t="shared" si="294"/>
        <v>#DIV/0!</v>
      </c>
      <c r="BY8955" s="215">
        <f t="shared" si="295"/>
        <v>0</v>
      </c>
    </row>
    <row r="8956" spans="76:77" x14ac:dyDescent="0.2">
      <c r="BX8956" s="214" t="e">
        <f t="shared" si="294"/>
        <v>#DIV/0!</v>
      </c>
      <c r="BY8956" s="215">
        <f t="shared" si="295"/>
        <v>0</v>
      </c>
    </row>
    <row r="8957" spans="76:77" x14ac:dyDescent="0.2">
      <c r="BX8957" s="214" t="e">
        <f t="shared" si="294"/>
        <v>#DIV/0!</v>
      </c>
      <c r="BY8957" s="215">
        <f t="shared" si="295"/>
        <v>0</v>
      </c>
    </row>
    <row r="8958" spans="76:77" x14ac:dyDescent="0.2">
      <c r="BX8958" s="214" t="e">
        <f t="shared" si="294"/>
        <v>#DIV/0!</v>
      </c>
      <c r="BY8958" s="215">
        <f t="shared" si="295"/>
        <v>0</v>
      </c>
    </row>
    <row r="8959" spans="76:77" x14ac:dyDescent="0.2">
      <c r="BX8959" s="214" t="e">
        <f t="shared" si="294"/>
        <v>#DIV/0!</v>
      </c>
      <c r="BY8959" s="215">
        <f t="shared" si="295"/>
        <v>0</v>
      </c>
    </row>
    <row r="8960" spans="76:77" x14ac:dyDescent="0.2">
      <c r="BX8960" s="214" t="e">
        <f t="shared" si="294"/>
        <v>#DIV/0!</v>
      </c>
      <c r="BY8960" s="215">
        <f t="shared" si="295"/>
        <v>0</v>
      </c>
    </row>
    <row r="8961" spans="76:77" x14ac:dyDescent="0.2">
      <c r="BX8961" s="214" t="e">
        <f t="shared" si="294"/>
        <v>#DIV/0!</v>
      </c>
      <c r="BY8961" s="215">
        <f t="shared" si="295"/>
        <v>0</v>
      </c>
    </row>
    <row r="8962" spans="76:77" x14ac:dyDescent="0.2">
      <c r="BX8962" s="214" t="e">
        <f t="shared" si="294"/>
        <v>#DIV/0!</v>
      </c>
      <c r="BY8962" s="215">
        <f t="shared" si="295"/>
        <v>0</v>
      </c>
    </row>
    <row r="8963" spans="76:77" x14ac:dyDescent="0.2">
      <c r="BX8963" s="214" t="e">
        <f t="shared" si="294"/>
        <v>#DIV/0!</v>
      </c>
      <c r="BY8963" s="215">
        <f t="shared" si="295"/>
        <v>0</v>
      </c>
    </row>
    <row r="8964" spans="76:77" x14ac:dyDescent="0.2">
      <c r="BX8964" s="214" t="e">
        <f t="shared" si="294"/>
        <v>#DIV/0!</v>
      </c>
      <c r="BY8964" s="215">
        <f t="shared" si="295"/>
        <v>0</v>
      </c>
    </row>
    <row r="8965" spans="76:77" x14ac:dyDescent="0.2">
      <c r="BX8965" s="214" t="e">
        <f t="shared" si="294"/>
        <v>#DIV/0!</v>
      </c>
      <c r="BY8965" s="215">
        <f t="shared" si="295"/>
        <v>0</v>
      </c>
    </row>
    <row r="8966" spans="76:77" x14ac:dyDescent="0.2">
      <c r="BX8966" s="214" t="e">
        <f t="shared" si="294"/>
        <v>#DIV/0!</v>
      </c>
      <c r="BY8966" s="215">
        <f t="shared" si="295"/>
        <v>0</v>
      </c>
    </row>
    <row r="8967" spans="76:77" x14ac:dyDescent="0.2">
      <c r="BX8967" s="214" t="e">
        <f t="shared" si="294"/>
        <v>#DIV/0!</v>
      </c>
      <c r="BY8967" s="215">
        <f t="shared" si="295"/>
        <v>0</v>
      </c>
    </row>
    <row r="8968" spans="76:77" x14ac:dyDescent="0.2">
      <c r="BX8968" s="214" t="e">
        <f t="shared" si="294"/>
        <v>#DIV/0!</v>
      </c>
      <c r="BY8968" s="215">
        <f t="shared" si="295"/>
        <v>0</v>
      </c>
    </row>
    <row r="8969" spans="76:77" x14ac:dyDescent="0.2">
      <c r="BX8969" s="214" t="e">
        <f t="shared" si="294"/>
        <v>#DIV/0!</v>
      </c>
      <c r="BY8969" s="215">
        <f t="shared" si="295"/>
        <v>0</v>
      </c>
    </row>
    <row r="8970" spans="76:77" x14ac:dyDescent="0.2">
      <c r="BX8970" s="214" t="e">
        <f t="shared" si="294"/>
        <v>#DIV/0!</v>
      </c>
      <c r="BY8970" s="215">
        <f t="shared" si="295"/>
        <v>0</v>
      </c>
    </row>
    <row r="8971" spans="76:77" x14ac:dyDescent="0.2">
      <c r="BX8971" s="214" t="e">
        <f t="shared" si="294"/>
        <v>#DIV/0!</v>
      </c>
      <c r="BY8971" s="215">
        <f t="shared" si="295"/>
        <v>0</v>
      </c>
    </row>
    <row r="8972" spans="76:77" x14ac:dyDescent="0.2">
      <c r="BX8972" s="214" t="e">
        <f t="shared" si="294"/>
        <v>#DIV/0!</v>
      </c>
      <c r="BY8972" s="215">
        <f t="shared" si="295"/>
        <v>0</v>
      </c>
    </row>
    <row r="8973" spans="76:77" x14ac:dyDescent="0.2">
      <c r="BX8973" s="214" t="e">
        <f t="shared" ref="BX8973:BX9036" si="296">BY8973/BV8973</f>
        <v>#DIV/0!</v>
      </c>
      <c r="BY8973" s="215">
        <f t="shared" si="295"/>
        <v>0</v>
      </c>
    </row>
    <row r="8974" spans="76:77" x14ac:dyDescent="0.2">
      <c r="BX8974" s="214" t="e">
        <f t="shared" si="296"/>
        <v>#DIV/0!</v>
      </c>
      <c r="BY8974" s="215">
        <f t="shared" ref="BY8974:BY9037" si="297">BY8973+BW8974*(BV8974-BV8973)</f>
        <v>0</v>
      </c>
    </row>
    <row r="8975" spans="76:77" x14ac:dyDescent="0.2">
      <c r="BX8975" s="214" t="e">
        <f t="shared" si="296"/>
        <v>#DIV/0!</v>
      </c>
      <c r="BY8975" s="215">
        <f t="shared" si="297"/>
        <v>0</v>
      </c>
    </row>
    <row r="8976" spans="76:77" x14ac:dyDescent="0.2">
      <c r="BX8976" s="214" t="e">
        <f t="shared" si="296"/>
        <v>#DIV/0!</v>
      </c>
      <c r="BY8976" s="215">
        <f t="shared" si="297"/>
        <v>0</v>
      </c>
    </row>
    <row r="8977" spans="76:77" x14ac:dyDescent="0.2">
      <c r="BX8977" s="214" t="e">
        <f t="shared" si="296"/>
        <v>#DIV/0!</v>
      </c>
      <c r="BY8977" s="215">
        <f t="shared" si="297"/>
        <v>0</v>
      </c>
    </row>
    <row r="8978" spans="76:77" x14ac:dyDescent="0.2">
      <c r="BX8978" s="214" t="e">
        <f t="shared" si="296"/>
        <v>#DIV/0!</v>
      </c>
      <c r="BY8978" s="215">
        <f t="shared" si="297"/>
        <v>0</v>
      </c>
    </row>
    <row r="8979" spans="76:77" x14ac:dyDescent="0.2">
      <c r="BX8979" s="214" t="e">
        <f t="shared" si="296"/>
        <v>#DIV/0!</v>
      </c>
      <c r="BY8979" s="215">
        <f t="shared" si="297"/>
        <v>0</v>
      </c>
    </row>
    <row r="8980" spans="76:77" x14ac:dyDescent="0.2">
      <c r="BX8980" s="214" t="e">
        <f t="shared" si="296"/>
        <v>#DIV/0!</v>
      </c>
      <c r="BY8980" s="215">
        <f t="shared" si="297"/>
        <v>0</v>
      </c>
    </row>
    <row r="8981" spans="76:77" x14ac:dyDescent="0.2">
      <c r="BX8981" s="214" t="e">
        <f t="shared" si="296"/>
        <v>#DIV/0!</v>
      </c>
      <c r="BY8981" s="215">
        <f t="shared" si="297"/>
        <v>0</v>
      </c>
    </row>
    <row r="8982" spans="76:77" x14ac:dyDescent="0.2">
      <c r="BX8982" s="214" t="e">
        <f t="shared" si="296"/>
        <v>#DIV/0!</v>
      </c>
      <c r="BY8982" s="215">
        <f t="shared" si="297"/>
        <v>0</v>
      </c>
    </row>
    <row r="8983" spans="76:77" x14ac:dyDescent="0.2">
      <c r="BX8983" s="214" t="e">
        <f t="shared" si="296"/>
        <v>#DIV/0!</v>
      </c>
      <c r="BY8983" s="215">
        <f t="shared" si="297"/>
        <v>0</v>
      </c>
    </row>
    <row r="8984" spans="76:77" x14ac:dyDescent="0.2">
      <c r="BX8984" s="214" t="e">
        <f t="shared" si="296"/>
        <v>#DIV/0!</v>
      </c>
      <c r="BY8984" s="215">
        <f t="shared" si="297"/>
        <v>0</v>
      </c>
    </row>
    <row r="8985" spans="76:77" x14ac:dyDescent="0.2">
      <c r="BX8985" s="214" t="e">
        <f t="shared" si="296"/>
        <v>#DIV/0!</v>
      </c>
      <c r="BY8985" s="215">
        <f t="shared" si="297"/>
        <v>0</v>
      </c>
    </row>
    <row r="8986" spans="76:77" x14ac:dyDescent="0.2">
      <c r="BX8986" s="214" t="e">
        <f t="shared" si="296"/>
        <v>#DIV/0!</v>
      </c>
      <c r="BY8986" s="215">
        <f t="shared" si="297"/>
        <v>0</v>
      </c>
    </row>
    <row r="8987" spans="76:77" x14ac:dyDescent="0.2">
      <c r="BX8987" s="214" t="e">
        <f t="shared" si="296"/>
        <v>#DIV/0!</v>
      </c>
      <c r="BY8987" s="215">
        <f t="shared" si="297"/>
        <v>0</v>
      </c>
    </row>
    <row r="8988" spans="76:77" x14ac:dyDescent="0.2">
      <c r="BX8988" s="214" t="e">
        <f t="shared" si="296"/>
        <v>#DIV/0!</v>
      </c>
      <c r="BY8988" s="215">
        <f t="shared" si="297"/>
        <v>0</v>
      </c>
    </row>
    <row r="8989" spans="76:77" x14ac:dyDescent="0.2">
      <c r="BX8989" s="214" t="e">
        <f t="shared" si="296"/>
        <v>#DIV/0!</v>
      </c>
      <c r="BY8989" s="215">
        <f t="shared" si="297"/>
        <v>0</v>
      </c>
    </row>
    <row r="8990" spans="76:77" x14ac:dyDescent="0.2">
      <c r="BX8990" s="214" t="e">
        <f t="shared" si="296"/>
        <v>#DIV/0!</v>
      </c>
      <c r="BY8990" s="215">
        <f t="shared" si="297"/>
        <v>0</v>
      </c>
    </row>
    <row r="8991" spans="76:77" x14ac:dyDescent="0.2">
      <c r="BX8991" s="214" t="e">
        <f t="shared" si="296"/>
        <v>#DIV/0!</v>
      </c>
      <c r="BY8991" s="215">
        <f t="shared" si="297"/>
        <v>0</v>
      </c>
    </row>
    <row r="8992" spans="76:77" x14ac:dyDescent="0.2">
      <c r="BX8992" s="214" t="e">
        <f t="shared" si="296"/>
        <v>#DIV/0!</v>
      </c>
      <c r="BY8992" s="215">
        <f t="shared" si="297"/>
        <v>0</v>
      </c>
    </row>
    <row r="8993" spans="76:77" x14ac:dyDescent="0.2">
      <c r="BX8993" s="214" t="e">
        <f t="shared" si="296"/>
        <v>#DIV/0!</v>
      </c>
      <c r="BY8993" s="215">
        <f t="shared" si="297"/>
        <v>0</v>
      </c>
    </row>
    <row r="8994" spans="76:77" x14ac:dyDescent="0.2">
      <c r="BX8994" s="214" t="e">
        <f t="shared" si="296"/>
        <v>#DIV/0!</v>
      </c>
      <c r="BY8994" s="215">
        <f t="shared" si="297"/>
        <v>0</v>
      </c>
    </row>
    <row r="8995" spans="76:77" x14ac:dyDescent="0.2">
      <c r="BX8995" s="214" t="e">
        <f t="shared" si="296"/>
        <v>#DIV/0!</v>
      </c>
      <c r="BY8995" s="215">
        <f t="shared" si="297"/>
        <v>0</v>
      </c>
    </row>
    <row r="8996" spans="76:77" x14ac:dyDescent="0.2">
      <c r="BX8996" s="214" t="e">
        <f t="shared" si="296"/>
        <v>#DIV/0!</v>
      </c>
      <c r="BY8996" s="215">
        <f t="shared" si="297"/>
        <v>0</v>
      </c>
    </row>
    <row r="8997" spans="76:77" x14ac:dyDescent="0.2">
      <c r="BX8997" s="214" t="e">
        <f t="shared" si="296"/>
        <v>#DIV/0!</v>
      </c>
      <c r="BY8997" s="215">
        <f t="shared" si="297"/>
        <v>0</v>
      </c>
    </row>
    <row r="8998" spans="76:77" x14ac:dyDescent="0.2">
      <c r="BX8998" s="214" t="e">
        <f t="shared" si="296"/>
        <v>#DIV/0!</v>
      </c>
      <c r="BY8998" s="215">
        <f t="shared" si="297"/>
        <v>0</v>
      </c>
    </row>
    <row r="8999" spans="76:77" x14ac:dyDescent="0.2">
      <c r="BX8999" s="214" t="e">
        <f t="shared" si="296"/>
        <v>#DIV/0!</v>
      </c>
      <c r="BY8999" s="215">
        <f t="shared" si="297"/>
        <v>0</v>
      </c>
    </row>
    <row r="9000" spans="76:77" x14ac:dyDescent="0.2">
      <c r="BX9000" s="214" t="e">
        <f t="shared" si="296"/>
        <v>#DIV/0!</v>
      </c>
      <c r="BY9000" s="215">
        <f t="shared" si="297"/>
        <v>0</v>
      </c>
    </row>
    <row r="9001" spans="76:77" x14ac:dyDescent="0.2">
      <c r="BX9001" s="214" t="e">
        <f t="shared" si="296"/>
        <v>#DIV/0!</v>
      </c>
      <c r="BY9001" s="215">
        <f t="shared" si="297"/>
        <v>0</v>
      </c>
    </row>
    <row r="9002" spans="76:77" x14ac:dyDescent="0.2">
      <c r="BX9002" s="214" t="e">
        <f t="shared" si="296"/>
        <v>#DIV/0!</v>
      </c>
      <c r="BY9002" s="215">
        <f t="shared" si="297"/>
        <v>0</v>
      </c>
    </row>
    <row r="9003" spans="76:77" x14ac:dyDescent="0.2">
      <c r="BX9003" s="214" t="e">
        <f t="shared" si="296"/>
        <v>#DIV/0!</v>
      </c>
      <c r="BY9003" s="215">
        <f t="shared" si="297"/>
        <v>0</v>
      </c>
    </row>
    <row r="9004" spans="76:77" x14ac:dyDescent="0.2">
      <c r="BX9004" s="214" t="e">
        <f t="shared" si="296"/>
        <v>#DIV/0!</v>
      </c>
      <c r="BY9004" s="215">
        <f t="shared" si="297"/>
        <v>0</v>
      </c>
    </row>
    <row r="9005" spans="76:77" x14ac:dyDescent="0.2">
      <c r="BX9005" s="214" t="e">
        <f t="shared" si="296"/>
        <v>#DIV/0!</v>
      </c>
      <c r="BY9005" s="215">
        <f t="shared" si="297"/>
        <v>0</v>
      </c>
    </row>
    <row r="9006" spans="76:77" x14ac:dyDescent="0.2">
      <c r="BX9006" s="214" t="e">
        <f t="shared" si="296"/>
        <v>#DIV/0!</v>
      </c>
      <c r="BY9006" s="215">
        <f t="shared" si="297"/>
        <v>0</v>
      </c>
    </row>
    <row r="9007" spans="76:77" x14ac:dyDescent="0.2">
      <c r="BX9007" s="214" t="e">
        <f t="shared" si="296"/>
        <v>#DIV/0!</v>
      </c>
      <c r="BY9007" s="215">
        <f t="shared" si="297"/>
        <v>0</v>
      </c>
    </row>
    <row r="9008" spans="76:77" x14ac:dyDescent="0.2">
      <c r="BX9008" s="214" t="e">
        <f t="shared" si="296"/>
        <v>#DIV/0!</v>
      </c>
      <c r="BY9008" s="215">
        <f t="shared" si="297"/>
        <v>0</v>
      </c>
    </row>
    <row r="9009" spans="76:77" x14ac:dyDescent="0.2">
      <c r="BX9009" s="214" t="e">
        <f t="shared" si="296"/>
        <v>#DIV/0!</v>
      </c>
      <c r="BY9009" s="215">
        <f t="shared" si="297"/>
        <v>0</v>
      </c>
    </row>
    <row r="9010" spans="76:77" x14ac:dyDescent="0.2">
      <c r="BX9010" s="214" t="e">
        <f t="shared" si="296"/>
        <v>#DIV/0!</v>
      </c>
      <c r="BY9010" s="215">
        <f t="shared" si="297"/>
        <v>0</v>
      </c>
    </row>
    <row r="9011" spans="76:77" x14ac:dyDescent="0.2">
      <c r="BX9011" s="214" t="e">
        <f t="shared" si="296"/>
        <v>#DIV/0!</v>
      </c>
      <c r="BY9011" s="215">
        <f t="shared" si="297"/>
        <v>0</v>
      </c>
    </row>
    <row r="9012" spans="76:77" x14ac:dyDescent="0.2">
      <c r="BX9012" s="214" t="e">
        <f t="shared" si="296"/>
        <v>#DIV/0!</v>
      </c>
      <c r="BY9012" s="215">
        <f t="shared" si="297"/>
        <v>0</v>
      </c>
    </row>
    <row r="9013" spans="76:77" x14ac:dyDescent="0.2">
      <c r="BX9013" s="214" t="e">
        <f t="shared" si="296"/>
        <v>#DIV/0!</v>
      </c>
      <c r="BY9013" s="215">
        <f t="shared" si="297"/>
        <v>0</v>
      </c>
    </row>
    <row r="9014" spans="76:77" x14ac:dyDescent="0.2">
      <c r="BX9014" s="214" t="e">
        <f t="shared" si="296"/>
        <v>#DIV/0!</v>
      </c>
      <c r="BY9014" s="215">
        <f t="shared" si="297"/>
        <v>0</v>
      </c>
    </row>
    <row r="9015" spans="76:77" x14ac:dyDescent="0.2">
      <c r="BX9015" s="214" t="e">
        <f t="shared" si="296"/>
        <v>#DIV/0!</v>
      </c>
      <c r="BY9015" s="215">
        <f t="shared" si="297"/>
        <v>0</v>
      </c>
    </row>
    <row r="9016" spans="76:77" x14ac:dyDescent="0.2">
      <c r="BX9016" s="214" t="e">
        <f t="shared" si="296"/>
        <v>#DIV/0!</v>
      </c>
      <c r="BY9016" s="215">
        <f t="shared" si="297"/>
        <v>0</v>
      </c>
    </row>
    <row r="9017" spans="76:77" x14ac:dyDescent="0.2">
      <c r="BX9017" s="214" t="e">
        <f t="shared" si="296"/>
        <v>#DIV/0!</v>
      </c>
      <c r="BY9017" s="215">
        <f t="shared" si="297"/>
        <v>0</v>
      </c>
    </row>
    <row r="9018" spans="76:77" x14ac:dyDescent="0.2">
      <c r="BX9018" s="214" t="e">
        <f t="shared" si="296"/>
        <v>#DIV/0!</v>
      </c>
      <c r="BY9018" s="215">
        <f t="shared" si="297"/>
        <v>0</v>
      </c>
    </row>
    <row r="9019" spans="76:77" x14ac:dyDescent="0.2">
      <c r="BX9019" s="214" t="e">
        <f t="shared" si="296"/>
        <v>#DIV/0!</v>
      </c>
      <c r="BY9019" s="215">
        <f t="shared" si="297"/>
        <v>0</v>
      </c>
    </row>
    <row r="9020" spans="76:77" x14ac:dyDescent="0.2">
      <c r="BX9020" s="214" t="e">
        <f t="shared" si="296"/>
        <v>#DIV/0!</v>
      </c>
      <c r="BY9020" s="215">
        <f t="shared" si="297"/>
        <v>0</v>
      </c>
    </row>
    <row r="9021" spans="76:77" x14ac:dyDescent="0.2">
      <c r="BX9021" s="214" t="e">
        <f t="shared" si="296"/>
        <v>#DIV/0!</v>
      </c>
      <c r="BY9021" s="215">
        <f t="shared" si="297"/>
        <v>0</v>
      </c>
    </row>
    <row r="9022" spans="76:77" x14ac:dyDescent="0.2">
      <c r="BX9022" s="214" t="e">
        <f t="shared" si="296"/>
        <v>#DIV/0!</v>
      </c>
      <c r="BY9022" s="215">
        <f t="shared" si="297"/>
        <v>0</v>
      </c>
    </row>
    <row r="9023" spans="76:77" x14ac:dyDescent="0.2">
      <c r="BX9023" s="214" t="e">
        <f t="shared" si="296"/>
        <v>#DIV/0!</v>
      </c>
      <c r="BY9023" s="215">
        <f t="shared" si="297"/>
        <v>0</v>
      </c>
    </row>
    <row r="9024" spans="76:77" x14ac:dyDescent="0.2">
      <c r="BX9024" s="214" t="e">
        <f t="shared" si="296"/>
        <v>#DIV/0!</v>
      </c>
      <c r="BY9024" s="215">
        <f t="shared" si="297"/>
        <v>0</v>
      </c>
    </row>
    <row r="9025" spans="76:77" x14ac:dyDescent="0.2">
      <c r="BX9025" s="214" t="e">
        <f t="shared" si="296"/>
        <v>#DIV/0!</v>
      </c>
      <c r="BY9025" s="215">
        <f t="shared" si="297"/>
        <v>0</v>
      </c>
    </row>
    <row r="9026" spans="76:77" x14ac:dyDescent="0.2">
      <c r="BX9026" s="214" t="e">
        <f t="shared" si="296"/>
        <v>#DIV/0!</v>
      </c>
      <c r="BY9026" s="215">
        <f t="shared" si="297"/>
        <v>0</v>
      </c>
    </row>
    <row r="9027" spans="76:77" x14ac:dyDescent="0.2">
      <c r="BX9027" s="214" t="e">
        <f t="shared" si="296"/>
        <v>#DIV/0!</v>
      </c>
      <c r="BY9027" s="215">
        <f t="shared" si="297"/>
        <v>0</v>
      </c>
    </row>
    <row r="9028" spans="76:77" x14ac:dyDescent="0.2">
      <c r="BX9028" s="214" t="e">
        <f t="shared" si="296"/>
        <v>#DIV/0!</v>
      </c>
      <c r="BY9028" s="215">
        <f t="shared" si="297"/>
        <v>0</v>
      </c>
    </row>
    <row r="9029" spans="76:77" x14ac:dyDescent="0.2">
      <c r="BX9029" s="214" t="e">
        <f t="shared" si="296"/>
        <v>#DIV/0!</v>
      </c>
      <c r="BY9029" s="215">
        <f t="shared" si="297"/>
        <v>0</v>
      </c>
    </row>
    <row r="9030" spans="76:77" x14ac:dyDescent="0.2">
      <c r="BX9030" s="214" t="e">
        <f t="shared" si="296"/>
        <v>#DIV/0!</v>
      </c>
      <c r="BY9030" s="215">
        <f t="shared" si="297"/>
        <v>0</v>
      </c>
    </row>
    <row r="9031" spans="76:77" x14ac:dyDescent="0.2">
      <c r="BX9031" s="214" t="e">
        <f t="shared" si="296"/>
        <v>#DIV/0!</v>
      </c>
      <c r="BY9031" s="215">
        <f t="shared" si="297"/>
        <v>0</v>
      </c>
    </row>
    <row r="9032" spans="76:77" x14ac:dyDescent="0.2">
      <c r="BX9032" s="214" t="e">
        <f t="shared" si="296"/>
        <v>#DIV/0!</v>
      </c>
      <c r="BY9032" s="215">
        <f t="shared" si="297"/>
        <v>0</v>
      </c>
    </row>
    <row r="9033" spans="76:77" x14ac:dyDescent="0.2">
      <c r="BX9033" s="214" t="e">
        <f t="shared" si="296"/>
        <v>#DIV/0!</v>
      </c>
      <c r="BY9033" s="215">
        <f t="shared" si="297"/>
        <v>0</v>
      </c>
    </row>
    <row r="9034" spans="76:77" x14ac:dyDescent="0.2">
      <c r="BX9034" s="214" t="e">
        <f t="shared" si="296"/>
        <v>#DIV/0!</v>
      </c>
      <c r="BY9034" s="215">
        <f t="shared" si="297"/>
        <v>0</v>
      </c>
    </row>
    <row r="9035" spans="76:77" x14ac:dyDescent="0.2">
      <c r="BX9035" s="214" t="e">
        <f t="shared" si="296"/>
        <v>#DIV/0!</v>
      </c>
      <c r="BY9035" s="215">
        <f t="shared" si="297"/>
        <v>0</v>
      </c>
    </row>
    <row r="9036" spans="76:77" x14ac:dyDescent="0.2">
      <c r="BX9036" s="214" t="e">
        <f t="shared" si="296"/>
        <v>#DIV/0!</v>
      </c>
      <c r="BY9036" s="215">
        <f t="shared" si="297"/>
        <v>0</v>
      </c>
    </row>
    <row r="9037" spans="76:77" x14ac:dyDescent="0.2">
      <c r="BX9037" s="214" t="e">
        <f t="shared" ref="BX9037:BX9100" si="298">BY9037/BV9037</f>
        <v>#DIV/0!</v>
      </c>
      <c r="BY9037" s="215">
        <f t="shared" si="297"/>
        <v>0</v>
      </c>
    </row>
    <row r="9038" spans="76:77" x14ac:dyDescent="0.2">
      <c r="BX9038" s="214" t="e">
        <f t="shared" si="298"/>
        <v>#DIV/0!</v>
      </c>
      <c r="BY9038" s="215">
        <f t="shared" ref="BY9038:BY9101" si="299">BY9037+BW9038*(BV9038-BV9037)</f>
        <v>0</v>
      </c>
    </row>
    <row r="9039" spans="76:77" x14ac:dyDescent="0.2">
      <c r="BX9039" s="214" t="e">
        <f t="shared" si="298"/>
        <v>#DIV/0!</v>
      </c>
      <c r="BY9039" s="215">
        <f t="shared" si="299"/>
        <v>0</v>
      </c>
    </row>
    <row r="9040" spans="76:77" x14ac:dyDescent="0.2">
      <c r="BX9040" s="214" t="e">
        <f t="shared" si="298"/>
        <v>#DIV/0!</v>
      </c>
      <c r="BY9040" s="215">
        <f t="shared" si="299"/>
        <v>0</v>
      </c>
    </row>
    <row r="9041" spans="76:77" x14ac:dyDescent="0.2">
      <c r="BX9041" s="214" t="e">
        <f t="shared" si="298"/>
        <v>#DIV/0!</v>
      </c>
      <c r="BY9041" s="215">
        <f t="shared" si="299"/>
        <v>0</v>
      </c>
    </row>
    <row r="9042" spans="76:77" x14ac:dyDescent="0.2">
      <c r="BX9042" s="214" t="e">
        <f t="shared" si="298"/>
        <v>#DIV/0!</v>
      </c>
      <c r="BY9042" s="215">
        <f t="shared" si="299"/>
        <v>0</v>
      </c>
    </row>
    <row r="9043" spans="76:77" x14ac:dyDescent="0.2">
      <c r="BX9043" s="214" t="e">
        <f t="shared" si="298"/>
        <v>#DIV/0!</v>
      </c>
      <c r="BY9043" s="215">
        <f t="shared" si="299"/>
        <v>0</v>
      </c>
    </row>
    <row r="9044" spans="76:77" x14ac:dyDescent="0.2">
      <c r="BX9044" s="214" t="e">
        <f t="shared" si="298"/>
        <v>#DIV/0!</v>
      </c>
      <c r="BY9044" s="215">
        <f t="shared" si="299"/>
        <v>0</v>
      </c>
    </row>
    <row r="9045" spans="76:77" x14ac:dyDescent="0.2">
      <c r="BX9045" s="214" t="e">
        <f t="shared" si="298"/>
        <v>#DIV/0!</v>
      </c>
      <c r="BY9045" s="215">
        <f t="shared" si="299"/>
        <v>0</v>
      </c>
    </row>
    <row r="9046" spans="76:77" x14ac:dyDescent="0.2">
      <c r="BX9046" s="214" t="e">
        <f t="shared" si="298"/>
        <v>#DIV/0!</v>
      </c>
      <c r="BY9046" s="215">
        <f t="shared" si="299"/>
        <v>0</v>
      </c>
    </row>
    <row r="9047" spans="76:77" x14ac:dyDescent="0.2">
      <c r="BX9047" s="214" t="e">
        <f t="shared" si="298"/>
        <v>#DIV/0!</v>
      </c>
      <c r="BY9047" s="215">
        <f t="shared" si="299"/>
        <v>0</v>
      </c>
    </row>
    <row r="9048" spans="76:77" x14ac:dyDescent="0.2">
      <c r="BX9048" s="214" t="e">
        <f t="shared" si="298"/>
        <v>#DIV/0!</v>
      </c>
      <c r="BY9048" s="215">
        <f t="shared" si="299"/>
        <v>0</v>
      </c>
    </row>
    <row r="9049" spans="76:77" x14ac:dyDescent="0.2">
      <c r="BX9049" s="214" t="e">
        <f t="shared" si="298"/>
        <v>#DIV/0!</v>
      </c>
      <c r="BY9049" s="215">
        <f t="shared" si="299"/>
        <v>0</v>
      </c>
    </row>
    <row r="9050" spans="76:77" x14ac:dyDescent="0.2">
      <c r="BX9050" s="214" t="e">
        <f t="shared" si="298"/>
        <v>#DIV/0!</v>
      </c>
      <c r="BY9050" s="215">
        <f t="shared" si="299"/>
        <v>0</v>
      </c>
    </row>
    <row r="9051" spans="76:77" x14ac:dyDescent="0.2">
      <c r="BX9051" s="214" t="e">
        <f t="shared" si="298"/>
        <v>#DIV/0!</v>
      </c>
      <c r="BY9051" s="215">
        <f t="shared" si="299"/>
        <v>0</v>
      </c>
    </row>
    <row r="9052" spans="76:77" x14ac:dyDescent="0.2">
      <c r="BX9052" s="214" t="e">
        <f t="shared" si="298"/>
        <v>#DIV/0!</v>
      </c>
      <c r="BY9052" s="215">
        <f t="shared" si="299"/>
        <v>0</v>
      </c>
    </row>
    <row r="9053" spans="76:77" x14ac:dyDescent="0.2">
      <c r="BX9053" s="214" t="e">
        <f t="shared" si="298"/>
        <v>#DIV/0!</v>
      </c>
      <c r="BY9053" s="215">
        <f t="shared" si="299"/>
        <v>0</v>
      </c>
    </row>
    <row r="9054" spans="76:77" x14ac:dyDescent="0.2">
      <c r="BX9054" s="214" t="e">
        <f t="shared" si="298"/>
        <v>#DIV/0!</v>
      </c>
      <c r="BY9054" s="215">
        <f t="shared" si="299"/>
        <v>0</v>
      </c>
    </row>
    <row r="9055" spans="76:77" x14ac:dyDescent="0.2">
      <c r="BX9055" s="214" t="e">
        <f t="shared" si="298"/>
        <v>#DIV/0!</v>
      </c>
      <c r="BY9055" s="215">
        <f t="shared" si="299"/>
        <v>0</v>
      </c>
    </row>
    <row r="9056" spans="76:77" x14ac:dyDescent="0.2">
      <c r="BX9056" s="214" t="e">
        <f t="shared" si="298"/>
        <v>#DIV/0!</v>
      </c>
      <c r="BY9056" s="215">
        <f t="shared" si="299"/>
        <v>0</v>
      </c>
    </row>
    <row r="9057" spans="76:77" x14ac:dyDescent="0.2">
      <c r="BX9057" s="214" t="e">
        <f t="shared" si="298"/>
        <v>#DIV/0!</v>
      </c>
      <c r="BY9057" s="215">
        <f t="shared" si="299"/>
        <v>0</v>
      </c>
    </row>
    <row r="9058" spans="76:77" x14ac:dyDescent="0.2">
      <c r="BX9058" s="214" t="e">
        <f t="shared" si="298"/>
        <v>#DIV/0!</v>
      </c>
      <c r="BY9058" s="215">
        <f t="shared" si="299"/>
        <v>0</v>
      </c>
    </row>
    <row r="9059" spans="76:77" x14ac:dyDescent="0.2">
      <c r="BX9059" s="214" t="e">
        <f t="shared" si="298"/>
        <v>#DIV/0!</v>
      </c>
      <c r="BY9059" s="215">
        <f t="shared" si="299"/>
        <v>0</v>
      </c>
    </row>
    <row r="9060" spans="76:77" x14ac:dyDescent="0.2">
      <c r="BX9060" s="214" t="e">
        <f t="shared" si="298"/>
        <v>#DIV/0!</v>
      </c>
      <c r="BY9060" s="215">
        <f t="shared" si="299"/>
        <v>0</v>
      </c>
    </row>
    <row r="9061" spans="76:77" x14ac:dyDescent="0.2">
      <c r="BX9061" s="214" t="e">
        <f t="shared" si="298"/>
        <v>#DIV/0!</v>
      </c>
      <c r="BY9061" s="215">
        <f t="shared" si="299"/>
        <v>0</v>
      </c>
    </row>
    <row r="9062" spans="76:77" x14ac:dyDescent="0.2">
      <c r="BX9062" s="214" t="e">
        <f t="shared" si="298"/>
        <v>#DIV/0!</v>
      </c>
      <c r="BY9062" s="215">
        <f t="shared" si="299"/>
        <v>0</v>
      </c>
    </row>
    <row r="9063" spans="76:77" x14ac:dyDescent="0.2">
      <c r="BX9063" s="214" t="e">
        <f t="shared" si="298"/>
        <v>#DIV/0!</v>
      </c>
      <c r="BY9063" s="215">
        <f t="shared" si="299"/>
        <v>0</v>
      </c>
    </row>
    <row r="9064" spans="76:77" x14ac:dyDescent="0.2">
      <c r="BX9064" s="214" t="e">
        <f t="shared" si="298"/>
        <v>#DIV/0!</v>
      </c>
      <c r="BY9064" s="215">
        <f t="shared" si="299"/>
        <v>0</v>
      </c>
    </row>
    <row r="9065" spans="76:77" x14ac:dyDescent="0.2">
      <c r="BX9065" s="214" t="e">
        <f t="shared" si="298"/>
        <v>#DIV/0!</v>
      </c>
      <c r="BY9065" s="215">
        <f t="shared" si="299"/>
        <v>0</v>
      </c>
    </row>
    <row r="9066" spans="76:77" x14ac:dyDescent="0.2">
      <c r="BX9066" s="214" t="e">
        <f t="shared" si="298"/>
        <v>#DIV/0!</v>
      </c>
      <c r="BY9066" s="215">
        <f t="shared" si="299"/>
        <v>0</v>
      </c>
    </row>
    <row r="9067" spans="76:77" x14ac:dyDescent="0.2">
      <c r="BX9067" s="214" t="e">
        <f t="shared" si="298"/>
        <v>#DIV/0!</v>
      </c>
      <c r="BY9067" s="215">
        <f t="shared" si="299"/>
        <v>0</v>
      </c>
    </row>
    <row r="9068" spans="76:77" x14ac:dyDescent="0.2">
      <c r="BX9068" s="214" t="e">
        <f t="shared" si="298"/>
        <v>#DIV/0!</v>
      </c>
      <c r="BY9068" s="215">
        <f t="shared" si="299"/>
        <v>0</v>
      </c>
    </row>
    <row r="9069" spans="76:77" x14ac:dyDescent="0.2">
      <c r="BX9069" s="214" t="e">
        <f t="shared" si="298"/>
        <v>#DIV/0!</v>
      </c>
      <c r="BY9069" s="215">
        <f t="shared" si="299"/>
        <v>0</v>
      </c>
    </row>
    <row r="9070" spans="76:77" x14ac:dyDescent="0.2">
      <c r="BX9070" s="214" t="e">
        <f t="shared" si="298"/>
        <v>#DIV/0!</v>
      </c>
      <c r="BY9070" s="215">
        <f t="shared" si="299"/>
        <v>0</v>
      </c>
    </row>
    <row r="9071" spans="76:77" x14ac:dyDescent="0.2">
      <c r="BX9071" s="214" t="e">
        <f t="shared" si="298"/>
        <v>#DIV/0!</v>
      </c>
      <c r="BY9071" s="215">
        <f t="shared" si="299"/>
        <v>0</v>
      </c>
    </row>
    <row r="9072" spans="76:77" x14ac:dyDescent="0.2">
      <c r="BX9072" s="214" t="e">
        <f t="shared" si="298"/>
        <v>#DIV/0!</v>
      </c>
      <c r="BY9072" s="215">
        <f t="shared" si="299"/>
        <v>0</v>
      </c>
    </row>
    <row r="9073" spans="76:77" x14ac:dyDescent="0.2">
      <c r="BX9073" s="214" t="e">
        <f t="shared" si="298"/>
        <v>#DIV/0!</v>
      </c>
      <c r="BY9073" s="215">
        <f t="shared" si="299"/>
        <v>0</v>
      </c>
    </row>
    <row r="9074" spans="76:77" x14ac:dyDescent="0.2">
      <c r="BX9074" s="214" t="e">
        <f t="shared" si="298"/>
        <v>#DIV/0!</v>
      </c>
      <c r="BY9074" s="215">
        <f t="shared" si="299"/>
        <v>0</v>
      </c>
    </row>
    <row r="9075" spans="76:77" x14ac:dyDescent="0.2">
      <c r="BX9075" s="214" t="e">
        <f t="shared" si="298"/>
        <v>#DIV/0!</v>
      </c>
      <c r="BY9075" s="215">
        <f t="shared" si="299"/>
        <v>0</v>
      </c>
    </row>
    <row r="9076" spans="76:77" x14ac:dyDescent="0.2">
      <c r="BX9076" s="214" t="e">
        <f t="shared" si="298"/>
        <v>#DIV/0!</v>
      </c>
      <c r="BY9076" s="215">
        <f t="shared" si="299"/>
        <v>0</v>
      </c>
    </row>
    <row r="9077" spans="76:77" x14ac:dyDescent="0.2">
      <c r="BX9077" s="214" t="e">
        <f t="shared" si="298"/>
        <v>#DIV/0!</v>
      </c>
      <c r="BY9077" s="215">
        <f t="shared" si="299"/>
        <v>0</v>
      </c>
    </row>
    <row r="9078" spans="76:77" x14ac:dyDescent="0.2">
      <c r="BX9078" s="214" t="e">
        <f t="shared" si="298"/>
        <v>#DIV/0!</v>
      </c>
      <c r="BY9078" s="215">
        <f t="shared" si="299"/>
        <v>0</v>
      </c>
    </row>
    <row r="9079" spans="76:77" x14ac:dyDescent="0.2">
      <c r="BX9079" s="214" t="e">
        <f t="shared" si="298"/>
        <v>#DIV/0!</v>
      </c>
      <c r="BY9079" s="215">
        <f t="shared" si="299"/>
        <v>0</v>
      </c>
    </row>
    <row r="9080" spans="76:77" x14ac:dyDescent="0.2">
      <c r="BX9080" s="214" t="e">
        <f t="shared" si="298"/>
        <v>#DIV/0!</v>
      </c>
      <c r="BY9080" s="215">
        <f t="shared" si="299"/>
        <v>0</v>
      </c>
    </row>
    <row r="9081" spans="76:77" x14ac:dyDescent="0.2">
      <c r="BX9081" s="214" t="e">
        <f t="shared" si="298"/>
        <v>#DIV/0!</v>
      </c>
      <c r="BY9081" s="215">
        <f t="shared" si="299"/>
        <v>0</v>
      </c>
    </row>
    <row r="9082" spans="76:77" x14ac:dyDescent="0.2">
      <c r="BX9082" s="214" t="e">
        <f t="shared" si="298"/>
        <v>#DIV/0!</v>
      </c>
      <c r="BY9082" s="215">
        <f t="shared" si="299"/>
        <v>0</v>
      </c>
    </row>
    <row r="9083" spans="76:77" x14ac:dyDescent="0.2">
      <c r="BX9083" s="214" t="e">
        <f t="shared" si="298"/>
        <v>#DIV/0!</v>
      </c>
      <c r="BY9083" s="215">
        <f t="shared" si="299"/>
        <v>0</v>
      </c>
    </row>
    <row r="9084" spans="76:77" x14ac:dyDescent="0.2">
      <c r="BX9084" s="214" t="e">
        <f t="shared" si="298"/>
        <v>#DIV/0!</v>
      </c>
      <c r="BY9084" s="215">
        <f t="shared" si="299"/>
        <v>0</v>
      </c>
    </row>
    <row r="9085" spans="76:77" x14ac:dyDescent="0.2">
      <c r="BX9085" s="214" t="e">
        <f t="shared" si="298"/>
        <v>#DIV/0!</v>
      </c>
      <c r="BY9085" s="215">
        <f t="shared" si="299"/>
        <v>0</v>
      </c>
    </row>
    <row r="9086" spans="76:77" x14ac:dyDescent="0.2">
      <c r="BX9086" s="214" t="e">
        <f t="shared" si="298"/>
        <v>#DIV/0!</v>
      </c>
      <c r="BY9086" s="215">
        <f t="shared" si="299"/>
        <v>0</v>
      </c>
    </row>
    <row r="9087" spans="76:77" x14ac:dyDescent="0.2">
      <c r="BX9087" s="214" t="e">
        <f t="shared" si="298"/>
        <v>#DIV/0!</v>
      </c>
      <c r="BY9087" s="215">
        <f t="shared" si="299"/>
        <v>0</v>
      </c>
    </row>
    <row r="9088" spans="76:77" x14ac:dyDescent="0.2">
      <c r="BX9088" s="214" t="e">
        <f t="shared" si="298"/>
        <v>#DIV/0!</v>
      </c>
      <c r="BY9088" s="215">
        <f t="shared" si="299"/>
        <v>0</v>
      </c>
    </row>
    <row r="9089" spans="76:77" x14ac:dyDescent="0.2">
      <c r="BX9089" s="214" t="e">
        <f t="shared" si="298"/>
        <v>#DIV/0!</v>
      </c>
      <c r="BY9089" s="215">
        <f t="shared" si="299"/>
        <v>0</v>
      </c>
    </row>
    <row r="9090" spans="76:77" x14ac:dyDescent="0.2">
      <c r="BX9090" s="214" t="e">
        <f t="shared" si="298"/>
        <v>#DIV/0!</v>
      </c>
      <c r="BY9090" s="215">
        <f t="shared" si="299"/>
        <v>0</v>
      </c>
    </row>
    <row r="9091" spans="76:77" x14ac:dyDescent="0.2">
      <c r="BX9091" s="214" t="e">
        <f t="shared" si="298"/>
        <v>#DIV/0!</v>
      </c>
      <c r="BY9091" s="215">
        <f t="shared" si="299"/>
        <v>0</v>
      </c>
    </row>
    <row r="9092" spans="76:77" x14ac:dyDescent="0.2">
      <c r="BX9092" s="214" t="e">
        <f t="shared" si="298"/>
        <v>#DIV/0!</v>
      </c>
      <c r="BY9092" s="215">
        <f t="shared" si="299"/>
        <v>0</v>
      </c>
    </row>
    <row r="9093" spans="76:77" x14ac:dyDescent="0.2">
      <c r="BX9093" s="214" t="e">
        <f t="shared" si="298"/>
        <v>#DIV/0!</v>
      </c>
      <c r="BY9093" s="215">
        <f t="shared" si="299"/>
        <v>0</v>
      </c>
    </row>
    <row r="9094" spans="76:77" x14ac:dyDescent="0.2">
      <c r="BX9094" s="214" t="e">
        <f t="shared" si="298"/>
        <v>#DIV/0!</v>
      </c>
      <c r="BY9094" s="215">
        <f t="shared" si="299"/>
        <v>0</v>
      </c>
    </row>
    <row r="9095" spans="76:77" x14ac:dyDescent="0.2">
      <c r="BX9095" s="214" t="e">
        <f t="shared" si="298"/>
        <v>#DIV/0!</v>
      </c>
      <c r="BY9095" s="215">
        <f t="shared" si="299"/>
        <v>0</v>
      </c>
    </row>
    <row r="9096" spans="76:77" x14ac:dyDescent="0.2">
      <c r="BX9096" s="214" t="e">
        <f t="shared" si="298"/>
        <v>#DIV/0!</v>
      </c>
      <c r="BY9096" s="215">
        <f t="shared" si="299"/>
        <v>0</v>
      </c>
    </row>
    <row r="9097" spans="76:77" x14ac:dyDescent="0.2">
      <c r="BX9097" s="214" t="e">
        <f t="shared" si="298"/>
        <v>#DIV/0!</v>
      </c>
      <c r="BY9097" s="215">
        <f t="shared" si="299"/>
        <v>0</v>
      </c>
    </row>
    <row r="9098" spans="76:77" x14ac:dyDescent="0.2">
      <c r="BX9098" s="214" t="e">
        <f t="shared" si="298"/>
        <v>#DIV/0!</v>
      </c>
      <c r="BY9098" s="215">
        <f t="shared" si="299"/>
        <v>0</v>
      </c>
    </row>
    <row r="9099" spans="76:77" x14ac:dyDescent="0.2">
      <c r="BX9099" s="214" t="e">
        <f t="shared" si="298"/>
        <v>#DIV/0!</v>
      </c>
      <c r="BY9099" s="215">
        <f t="shared" si="299"/>
        <v>0</v>
      </c>
    </row>
    <row r="9100" spans="76:77" x14ac:dyDescent="0.2">
      <c r="BX9100" s="214" t="e">
        <f t="shared" si="298"/>
        <v>#DIV/0!</v>
      </c>
      <c r="BY9100" s="215">
        <f t="shared" si="299"/>
        <v>0</v>
      </c>
    </row>
    <row r="9101" spans="76:77" x14ac:dyDescent="0.2">
      <c r="BX9101" s="214" t="e">
        <f t="shared" ref="BX9101:BX9164" si="300">BY9101/BV9101</f>
        <v>#DIV/0!</v>
      </c>
      <c r="BY9101" s="215">
        <f t="shared" si="299"/>
        <v>0</v>
      </c>
    </row>
    <row r="9102" spans="76:77" x14ac:dyDescent="0.2">
      <c r="BX9102" s="214" t="e">
        <f t="shared" si="300"/>
        <v>#DIV/0!</v>
      </c>
      <c r="BY9102" s="215">
        <f t="shared" ref="BY9102:BY9165" si="301">BY9101+BW9102*(BV9102-BV9101)</f>
        <v>0</v>
      </c>
    </row>
    <row r="9103" spans="76:77" x14ac:dyDescent="0.2">
      <c r="BX9103" s="214" t="e">
        <f t="shared" si="300"/>
        <v>#DIV/0!</v>
      </c>
      <c r="BY9103" s="215">
        <f t="shared" si="301"/>
        <v>0</v>
      </c>
    </row>
    <row r="9104" spans="76:77" x14ac:dyDescent="0.2">
      <c r="BX9104" s="214" t="e">
        <f t="shared" si="300"/>
        <v>#DIV/0!</v>
      </c>
      <c r="BY9104" s="215">
        <f t="shared" si="301"/>
        <v>0</v>
      </c>
    </row>
    <row r="9105" spans="76:77" x14ac:dyDescent="0.2">
      <c r="BX9105" s="214" t="e">
        <f t="shared" si="300"/>
        <v>#DIV/0!</v>
      </c>
      <c r="BY9105" s="215">
        <f t="shared" si="301"/>
        <v>0</v>
      </c>
    </row>
    <row r="9106" spans="76:77" x14ac:dyDescent="0.2">
      <c r="BX9106" s="214" t="e">
        <f t="shared" si="300"/>
        <v>#DIV/0!</v>
      </c>
      <c r="BY9106" s="215">
        <f t="shared" si="301"/>
        <v>0</v>
      </c>
    </row>
    <row r="9107" spans="76:77" x14ac:dyDescent="0.2">
      <c r="BX9107" s="214" t="e">
        <f t="shared" si="300"/>
        <v>#DIV/0!</v>
      </c>
      <c r="BY9107" s="215">
        <f t="shared" si="301"/>
        <v>0</v>
      </c>
    </row>
    <row r="9108" spans="76:77" x14ac:dyDescent="0.2">
      <c r="BX9108" s="214" t="e">
        <f t="shared" si="300"/>
        <v>#DIV/0!</v>
      </c>
      <c r="BY9108" s="215">
        <f t="shared" si="301"/>
        <v>0</v>
      </c>
    </row>
    <row r="9109" spans="76:77" x14ac:dyDescent="0.2">
      <c r="BX9109" s="214" t="e">
        <f t="shared" si="300"/>
        <v>#DIV/0!</v>
      </c>
      <c r="BY9109" s="215">
        <f t="shared" si="301"/>
        <v>0</v>
      </c>
    </row>
    <row r="9110" spans="76:77" x14ac:dyDescent="0.2">
      <c r="BX9110" s="214" t="e">
        <f t="shared" si="300"/>
        <v>#DIV/0!</v>
      </c>
      <c r="BY9110" s="215">
        <f t="shared" si="301"/>
        <v>0</v>
      </c>
    </row>
    <row r="9111" spans="76:77" x14ac:dyDescent="0.2">
      <c r="BX9111" s="214" t="e">
        <f t="shared" si="300"/>
        <v>#DIV/0!</v>
      </c>
      <c r="BY9111" s="215">
        <f t="shared" si="301"/>
        <v>0</v>
      </c>
    </row>
    <row r="9112" spans="76:77" x14ac:dyDescent="0.2">
      <c r="BX9112" s="214" t="e">
        <f t="shared" si="300"/>
        <v>#DIV/0!</v>
      </c>
      <c r="BY9112" s="215">
        <f t="shared" si="301"/>
        <v>0</v>
      </c>
    </row>
    <row r="9113" spans="76:77" x14ac:dyDescent="0.2">
      <c r="BX9113" s="214" t="e">
        <f t="shared" si="300"/>
        <v>#DIV/0!</v>
      </c>
      <c r="BY9113" s="215">
        <f t="shared" si="301"/>
        <v>0</v>
      </c>
    </row>
    <row r="9114" spans="76:77" x14ac:dyDescent="0.2">
      <c r="BX9114" s="214" t="e">
        <f t="shared" si="300"/>
        <v>#DIV/0!</v>
      </c>
      <c r="BY9114" s="215">
        <f t="shared" si="301"/>
        <v>0</v>
      </c>
    </row>
    <row r="9115" spans="76:77" x14ac:dyDescent="0.2">
      <c r="BX9115" s="214" t="e">
        <f t="shared" si="300"/>
        <v>#DIV/0!</v>
      </c>
      <c r="BY9115" s="215">
        <f t="shared" si="301"/>
        <v>0</v>
      </c>
    </row>
    <row r="9116" spans="76:77" x14ac:dyDescent="0.2">
      <c r="BX9116" s="214" t="e">
        <f t="shared" si="300"/>
        <v>#DIV/0!</v>
      </c>
      <c r="BY9116" s="215">
        <f t="shared" si="301"/>
        <v>0</v>
      </c>
    </row>
    <row r="9117" spans="76:77" x14ac:dyDescent="0.2">
      <c r="BX9117" s="214" t="e">
        <f t="shared" si="300"/>
        <v>#DIV/0!</v>
      </c>
      <c r="BY9117" s="215">
        <f t="shared" si="301"/>
        <v>0</v>
      </c>
    </row>
    <row r="9118" spans="76:77" x14ac:dyDescent="0.2">
      <c r="BX9118" s="214" t="e">
        <f t="shared" si="300"/>
        <v>#DIV/0!</v>
      </c>
      <c r="BY9118" s="215">
        <f t="shared" si="301"/>
        <v>0</v>
      </c>
    </row>
    <row r="9119" spans="76:77" x14ac:dyDescent="0.2">
      <c r="BX9119" s="214" t="e">
        <f t="shared" si="300"/>
        <v>#DIV/0!</v>
      </c>
      <c r="BY9119" s="215">
        <f t="shared" si="301"/>
        <v>0</v>
      </c>
    </row>
    <row r="9120" spans="76:77" x14ac:dyDescent="0.2">
      <c r="BX9120" s="214" t="e">
        <f t="shared" si="300"/>
        <v>#DIV/0!</v>
      </c>
      <c r="BY9120" s="215">
        <f t="shared" si="301"/>
        <v>0</v>
      </c>
    </row>
    <row r="9121" spans="76:77" x14ac:dyDescent="0.2">
      <c r="BX9121" s="214" t="e">
        <f t="shared" si="300"/>
        <v>#DIV/0!</v>
      </c>
      <c r="BY9121" s="215">
        <f t="shared" si="301"/>
        <v>0</v>
      </c>
    </row>
    <row r="9122" spans="76:77" x14ac:dyDescent="0.2">
      <c r="BX9122" s="214" t="e">
        <f t="shared" si="300"/>
        <v>#DIV/0!</v>
      </c>
      <c r="BY9122" s="215">
        <f t="shared" si="301"/>
        <v>0</v>
      </c>
    </row>
    <row r="9123" spans="76:77" x14ac:dyDescent="0.2">
      <c r="BX9123" s="214" t="e">
        <f t="shared" si="300"/>
        <v>#DIV/0!</v>
      </c>
      <c r="BY9123" s="215">
        <f t="shared" si="301"/>
        <v>0</v>
      </c>
    </row>
    <row r="9124" spans="76:77" x14ac:dyDescent="0.2">
      <c r="BX9124" s="214" t="e">
        <f t="shared" si="300"/>
        <v>#DIV/0!</v>
      </c>
      <c r="BY9124" s="215">
        <f t="shared" si="301"/>
        <v>0</v>
      </c>
    </row>
    <row r="9125" spans="76:77" x14ac:dyDescent="0.2">
      <c r="BX9125" s="214" t="e">
        <f t="shared" si="300"/>
        <v>#DIV/0!</v>
      </c>
      <c r="BY9125" s="215">
        <f t="shared" si="301"/>
        <v>0</v>
      </c>
    </row>
    <row r="9126" spans="76:77" x14ac:dyDescent="0.2">
      <c r="BX9126" s="214" t="e">
        <f t="shared" si="300"/>
        <v>#DIV/0!</v>
      </c>
      <c r="BY9126" s="215">
        <f t="shared" si="301"/>
        <v>0</v>
      </c>
    </row>
    <row r="9127" spans="76:77" x14ac:dyDescent="0.2">
      <c r="BX9127" s="214" t="e">
        <f t="shared" si="300"/>
        <v>#DIV/0!</v>
      </c>
      <c r="BY9127" s="215">
        <f t="shared" si="301"/>
        <v>0</v>
      </c>
    </row>
    <row r="9128" spans="76:77" x14ac:dyDescent="0.2">
      <c r="BX9128" s="214" t="e">
        <f t="shared" si="300"/>
        <v>#DIV/0!</v>
      </c>
      <c r="BY9128" s="215">
        <f t="shared" si="301"/>
        <v>0</v>
      </c>
    </row>
    <row r="9129" spans="76:77" x14ac:dyDescent="0.2">
      <c r="BX9129" s="214" t="e">
        <f t="shared" si="300"/>
        <v>#DIV/0!</v>
      </c>
      <c r="BY9129" s="215">
        <f t="shared" si="301"/>
        <v>0</v>
      </c>
    </row>
    <row r="9130" spans="76:77" x14ac:dyDescent="0.2">
      <c r="BX9130" s="214" t="e">
        <f t="shared" si="300"/>
        <v>#DIV/0!</v>
      </c>
      <c r="BY9130" s="215">
        <f t="shared" si="301"/>
        <v>0</v>
      </c>
    </row>
    <row r="9131" spans="76:77" x14ac:dyDescent="0.2">
      <c r="BX9131" s="214" t="e">
        <f t="shared" si="300"/>
        <v>#DIV/0!</v>
      </c>
      <c r="BY9131" s="215">
        <f t="shared" si="301"/>
        <v>0</v>
      </c>
    </row>
    <row r="9132" spans="76:77" x14ac:dyDescent="0.2">
      <c r="BX9132" s="214" t="e">
        <f t="shared" si="300"/>
        <v>#DIV/0!</v>
      </c>
      <c r="BY9132" s="215">
        <f t="shared" si="301"/>
        <v>0</v>
      </c>
    </row>
    <row r="9133" spans="76:77" x14ac:dyDescent="0.2">
      <c r="BX9133" s="214" t="e">
        <f t="shared" si="300"/>
        <v>#DIV/0!</v>
      </c>
      <c r="BY9133" s="215">
        <f t="shared" si="301"/>
        <v>0</v>
      </c>
    </row>
    <row r="9134" spans="76:77" x14ac:dyDescent="0.2">
      <c r="BX9134" s="214" t="e">
        <f t="shared" si="300"/>
        <v>#DIV/0!</v>
      </c>
      <c r="BY9134" s="215">
        <f t="shared" si="301"/>
        <v>0</v>
      </c>
    </row>
    <row r="9135" spans="76:77" x14ac:dyDescent="0.2">
      <c r="BX9135" s="214" t="e">
        <f t="shared" si="300"/>
        <v>#DIV/0!</v>
      </c>
      <c r="BY9135" s="215">
        <f t="shared" si="301"/>
        <v>0</v>
      </c>
    </row>
    <row r="9136" spans="76:77" x14ac:dyDescent="0.2">
      <c r="BX9136" s="214" t="e">
        <f t="shared" si="300"/>
        <v>#DIV/0!</v>
      </c>
      <c r="BY9136" s="215">
        <f t="shared" si="301"/>
        <v>0</v>
      </c>
    </row>
    <row r="9137" spans="76:77" x14ac:dyDescent="0.2">
      <c r="BX9137" s="214" t="e">
        <f t="shared" si="300"/>
        <v>#DIV/0!</v>
      </c>
      <c r="BY9137" s="215">
        <f t="shared" si="301"/>
        <v>0</v>
      </c>
    </row>
    <row r="9138" spans="76:77" x14ac:dyDescent="0.2">
      <c r="BX9138" s="214" t="e">
        <f t="shared" si="300"/>
        <v>#DIV/0!</v>
      </c>
      <c r="BY9138" s="215">
        <f t="shared" si="301"/>
        <v>0</v>
      </c>
    </row>
    <row r="9139" spans="76:77" x14ac:dyDescent="0.2">
      <c r="BX9139" s="214" t="e">
        <f t="shared" si="300"/>
        <v>#DIV/0!</v>
      </c>
      <c r="BY9139" s="215">
        <f t="shared" si="301"/>
        <v>0</v>
      </c>
    </row>
    <row r="9140" spans="76:77" x14ac:dyDescent="0.2">
      <c r="BX9140" s="214" t="e">
        <f t="shared" si="300"/>
        <v>#DIV/0!</v>
      </c>
      <c r="BY9140" s="215">
        <f t="shared" si="301"/>
        <v>0</v>
      </c>
    </row>
    <row r="9141" spans="76:77" x14ac:dyDescent="0.2">
      <c r="BX9141" s="214" t="e">
        <f t="shared" si="300"/>
        <v>#DIV/0!</v>
      </c>
      <c r="BY9141" s="215">
        <f t="shared" si="301"/>
        <v>0</v>
      </c>
    </row>
    <row r="9142" spans="76:77" x14ac:dyDescent="0.2">
      <c r="BX9142" s="214" t="e">
        <f t="shared" si="300"/>
        <v>#DIV/0!</v>
      </c>
      <c r="BY9142" s="215">
        <f t="shared" si="301"/>
        <v>0</v>
      </c>
    </row>
    <row r="9143" spans="76:77" x14ac:dyDescent="0.2">
      <c r="BX9143" s="214" t="e">
        <f t="shared" si="300"/>
        <v>#DIV/0!</v>
      </c>
      <c r="BY9143" s="215">
        <f t="shared" si="301"/>
        <v>0</v>
      </c>
    </row>
    <row r="9144" spans="76:77" x14ac:dyDescent="0.2">
      <c r="BX9144" s="214" t="e">
        <f t="shared" si="300"/>
        <v>#DIV/0!</v>
      </c>
      <c r="BY9144" s="215">
        <f t="shared" si="301"/>
        <v>0</v>
      </c>
    </row>
    <row r="9145" spans="76:77" x14ac:dyDescent="0.2">
      <c r="BX9145" s="214" t="e">
        <f t="shared" si="300"/>
        <v>#DIV/0!</v>
      </c>
      <c r="BY9145" s="215">
        <f t="shared" si="301"/>
        <v>0</v>
      </c>
    </row>
    <row r="9146" spans="76:77" x14ac:dyDescent="0.2">
      <c r="BX9146" s="214" t="e">
        <f t="shared" si="300"/>
        <v>#DIV/0!</v>
      </c>
      <c r="BY9146" s="215">
        <f t="shared" si="301"/>
        <v>0</v>
      </c>
    </row>
    <row r="9147" spans="76:77" x14ac:dyDescent="0.2">
      <c r="BX9147" s="214" t="e">
        <f t="shared" si="300"/>
        <v>#DIV/0!</v>
      </c>
      <c r="BY9147" s="215">
        <f t="shared" si="301"/>
        <v>0</v>
      </c>
    </row>
    <row r="9148" spans="76:77" x14ac:dyDescent="0.2">
      <c r="BX9148" s="214" t="e">
        <f t="shared" si="300"/>
        <v>#DIV/0!</v>
      </c>
      <c r="BY9148" s="215">
        <f t="shared" si="301"/>
        <v>0</v>
      </c>
    </row>
    <row r="9149" spans="76:77" x14ac:dyDescent="0.2">
      <c r="BX9149" s="214" t="e">
        <f t="shared" si="300"/>
        <v>#DIV/0!</v>
      </c>
      <c r="BY9149" s="215">
        <f t="shared" si="301"/>
        <v>0</v>
      </c>
    </row>
    <row r="9150" spans="76:77" x14ac:dyDescent="0.2">
      <c r="BX9150" s="214" t="e">
        <f t="shared" si="300"/>
        <v>#DIV/0!</v>
      </c>
      <c r="BY9150" s="215">
        <f t="shared" si="301"/>
        <v>0</v>
      </c>
    </row>
    <row r="9151" spans="76:77" x14ac:dyDescent="0.2">
      <c r="BX9151" s="214" t="e">
        <f t="shared" si="300"/>
        <v>#DIV/0!</v>
      </c>
      <c r="BY9151" s="215">
        <f t="shared" si="301"/>
        <v>0</v>
      </c>
    </row>
    <row r="9152" spans="76:77" x14ac:dyDescent="0.2">
      <c r="BX9152" s="214" t="e">
        <f t="shared" si="300"/>
        <v>#DIV/0!</v>
      </c>
      <c r="BY9152" s="215">
        <f t="shared" si="301"/>
        <v>0</v>
      </c>
    </row>
    <row r="9153" spans="76:77" x14ac:dyDescent="0.2">
      <c r="BX9153" s="214" t="e">
        <f t="shared" si="300"/>
        <v>#DIV/0!</v>
      </c>
      <c r="BY9153" s="215">
        <f t="shared" si="301"/>
        <v>0</v>
      </c>
    </row>
    <row r="9154" spans="76:77" x14ac:dyDescent="0.2">
      <c r="BX9154" s="214" t="e">
        <f t="shared" si="300"/>
        <v>#DIV/0!</v>
      </c>
      <c r="BY9154" s="215">
        <f t="shared" si="301"/>
        <v>0</v>
      </c>
    </row>
    <row r="9155" spans="76:77" x14ac:dyDescent="0.2">
      <c r="BX9155" s="214" t="e">
        <f t="shared" si="300"/>
        <v>#DIV/0!</v>
      </c>
      <c r="BY9155" s="215">
        <f t="shared" si="301"/>
        <v>0</v>
      </c>
    </row>
    <row r="9156" spans="76:77" x14ac:dyDescent="0.2">
      <c r="BX9156" s="214" t="e">
        <f t="shared" si="300"/>
        <v>#DIV/0!</v>
      </c>
      <c r="BY9156" s="215">
        <f t="shared" si="301"/>
        <v>0</v>
      </c>
    </row>
    <row r="9157" spans="76:77" x14ac:dyDescent="0.2">
      <c r="BX9157" s="214" t="e">
        <f t="shared" si="300"/>
        <v>#DIV/0!</v>
      </c>
      <c r="BY9157" s="215">
        <f t="shared" si="301"/>
        <v>0</v>
      </c>
    </row>
    <row r="9158" spans="76:77" x14ac:dyDescent="0.2">
      <c r="BX9158" s="214" t="e">
        <f t="shared" si="300"/>
        <v>#DIV/0!</v>
      </c>
      <c r="BY9158" s="215">
        <f t="shared" si="301"/>
        <v>0</v>
      </c>
    </row>
    <row r="9159" spans="76:77" x14ac:dyDescent="0.2">
      <c r="BX9159" s="214" t="e">
        <f t="shared" si="300"/>
        <v>#DIV/0!</v>
      </c>
      <c r="BY9159" s="215">
        <f t="shared" si="301"/>
        <v>0</v>
      </c>
    </row>
    <row r="9160" spans="76:77" x14ac:dyDescent="0.2">
      <c r="BX9160" s="214" t="e">
        <f t="shared" si="300"/>
        <v>#DIV/0!</v>
      </c>
      <c r="BY9160" s="215">
        <f t="shared" si="301"/>
        <v>0</v>
      </c>
    </row>
    <row r="9161" spans="76:77" x14ac:dyDescent="0.2">
      <c r="BX9161" s="214" t="e">
        <f t="shared" si="300"/>
        <v>#DIV/0!</v>
      </c>
      <c r="BY9161" s="215">
        <f t="shared" si="301"/>
        <v>0</v>
      </c>
    </row>
    <row r="9162" spans="76:77" x14ac:dyDescent="0.2">
      <c r="BX9162" s="214" t="e">
        <f t="shared" si="300"/>
        <v>#DIV/0!</v>
      </c>
      <c r="BY9162" s="215">
        <f t="shared" si="301"/>
        <v>0</v>
      </c>
    </row>
    <row r="9163" spans="76:77" x14ac:dyDescent="0.2">
      <c r="BX9163" s="214" t="e">
        <f t="shared" si="300"/>
        <v>#DIV/0!</v>
      </c>
      <c r="BY9163" s="215">
        <f t="shared" si="301"/>
        <v>0</v>
      </c>
    </row>
    <row r="9164" spans="76:77" x14ac:dyDescent="0.2">
      <c r="BX9164" s="214" t="e">
        <f t="shared" si="300"/>
        <v>#DIV/0!</v>
      </c>
      <c r="BY9164" s="215">
        <f t="shared" si="301"/>
        <v>0</v>
      </c>
    </row>
    <row r="9165" spans="76:77" x14ac:dyDescent="0.2">
      <c r="BX9165" s="214" t="e">
        <f t="shared" ref="BX9165:BX9228" si="302">BY9165/BV9165</f>
        <v>#DIV/0!</v>
      </c>
      <c r="BY9165" s="215">
        <f t="shared" si="301"/>
        <v>0</v>
      </c>
    </row>
    <row r="9166" spans="76:77" x14ac:dyDescent="0.2">
      <c r="BX9166" s="214" t="e">
        <f t="shared" si="302"/>
        <v>#DIV/0!</v>
      </c>
      <c r="BY9166" s="215">
        <f t="shared" ref="BY9166:BY9229" si="303">BY9165+BW9166*(BV9166-BV9165)</f>
        <v>0</v>
      </c>
    </row>
    <row r="9167" spans="76:77" x14ac:dyDescent="0.2">
      <c r="BX9167" s="214" t="e">
        <f t="shared" si="302"/>
        <v>#DIV/0!</v>
      </c>
      <c r="BY9167" s="215">
        <f t="shared" si="303"/>
        <v>0</v>
      </c>
    </row>
    <row r="9168" spans="76:77" x14ac:dyDescent="0.2">
      <c r="BX9168" s="214" t="e">
        <f t="shared" si="302"/>
        <v>#DIV/0!</v>
      </c>
      <c r="BY9168" s="215">
        <f t="shared" si="303"/>
        <v>0</v>
      </c>
    </row>
    <row r="9169" spans="76:77" x14ac:dyDescent="0.2">
      <c r="BX9169" s="214" t="e">
        <f t="shared" si="302"/>
        <v>#DIV/0!</v>
      </c>
      <c r="BY9169" s="215">
        <f t="shared" si="303"/>
        <v>0</v>
      </c>
    </row>
    <row r="9170" spans="76:77" x14ac:dyDescent="0.2">
      <c r="BX9170" s="214" t="e">
        <f t="shared" si="302"/>
        <v>#DIV/0!</v>
      </c>
      <c r="BY9170" s="215">
        <f t="shared" si="303"/>
        <v>0</v>
      </c>
    </row>
    <row r="9171" spans="76:77" x14ac:dyDescent="0.2">
      <c r="BX9171" s="214" t="e">
        <f t="shared" si="302"/>
        <v>#DIV/0!</v>
      </c>
      <c r="BY9171" s="215">
        <f t="shared" si="303"/>
        <v>0</v>
      </c>
    </row>
    <row r="9172" spans="76:77" x14ac:dyDescent="0.2">
      <c r="BX9172" s="214" t="e">
        <f t="shared" si="302"/>
        <v>#DIV/0!</v>
      </c>
      <c r="BY9172" s="215">
        <f t="shared" si="303"/>
        <v>0</v>
      </c>
    </row>
    <row r="9173" spans="76:77" x14ac:dyDescent="0.2">
      <c r="BX9173" s="214" t="e">
        <f t="shared" si="302"/>
        <v>#DIV/0!</v>
      </c>
      <c r="BY9173" s="215">
        <f t="shared" si="303"/>
        <v>0</v>
      </c>
    </row>
    <row r="9174" spans="76:77" x14ac:dyDescent="0.2">
      <c r="BX9174" s="214" t="e">
        <f t="shared" si="302"/>
        <v>#DIV/0!</v>
      </c>
      <c r="BY9174" s="215">
        <f t="shared" si="303"/>
        <v>0</v>
      </c>
    </row>
    <row r="9175" spans="76:77" x14ac:dyDescent="0.2">
      <c r="BX9175" s="214" t="e">
        <f t="shared" si="302"/>
        <v>#DIV/0!</v>
      </c>
      <c r="BY9175" s="215">
        <f t="shared" si="303"/>
        <v>0</v>
      </c>
    </row>
    <row r="9176" spans="76:77" x14ac:dyDescent="0.2">
      <c r="BX9176" s="214" t="e">
        <f t="shared" si="302"/>
        <v>#DIV/0!</v>
      </c>
      <c r="BY9176" s="215">
        <f t="shared" si="303"/>
        <v>0</v>
      </c>
    </row>
    <row r="9177" spans="76:77" x14ac:dyDescent="0.2">
      <c r="BX9177" s="214" t="e">
        <f t="shared" si="302"/>
        <v>#DIV/0!</v>
      </c>
      <c r="BY9177" s="215">
        <f t="shared" si="303"/>
        <v>0</v>
      </c>
    </row>
    <row r="9178" spans="76:77" x14ac:dyDescent="0.2">
      <c r="BX9178" s="214" t="e">
        <f t="shared" si="302"/>
        <v>#DIV/0!</v>
      </c>
      <c r="BY9178" s="215">
        <f t="shared" si="303"/>
        <v>0</v>
      </c>
    </row>
    <row r="9179" spans="76:77" x14ac:dyDescent="0.2">
      <c r="BX9179" s="214" t="e">
        <f t="shared" si="302"/>
        <v>#DIV/0!</v>
      </c>
      <c r="BY9179" s="215">
        <f t="shared" si="303"/>
        <v>0</v>
      </c>
    </row>
    <row r="9180" spans="76:77" x14ac:dyDescent="0.2">
      <c r="BX9180" s="214" t="e">
        <f t="shared" si="302"/>
        <v>#DIV/0!</v>
      </c>
      <c r="BY9180" s="215">
        <f t="shared" si="303"/>
        <v>0</v>
      </c>
    </row>
    <row r="9181" spans="76:77" x14ac:dyDescent="0.2">
      <c r="BX9181" s="214" t="e">
        <f t="shared" si="302"/>
        <v>#DIV/0!</v>
      </c>
      <c r="BY9181" s="215">
        <f t="shared" si="303"/>
        <v>0</v>
      </c>
    </row>
    <row r="9182" spans="76:77" x14ac:dyDescent="0.2">
      <c r="BX9182" s="214" t="e">
        <f t="shared" si="302"/>
        <v>#DIV/0!</v>
      </c>
      <c r="BY9182" s="215">
        <f t="shared" si="303"/>
        <v>0</v>
      </c>
    </row>
    <row r="9183" spans="76:77" x14ac:dyDescent="0.2">
      <c r="BX9183" s="214" t="e">
        <f t="shared" si="302"/>
        <v>#DIV/0!</v>
      </c>
      <c r="BY9183" s="215">
        <f t="shared" si="303"/>
        <v>0</v>
      </c>
    </row>
    <row r="9184" spans="76:77" x14ac:dyDescent="0.2">
      <c r="BX9184" s="214" t="e">
        <f t="shared" si="302"/>
        <v>#DIV/0!</v>
      </c>
      <c r="BY9184" s="215">
        <f t="shared" si="303"/>
        <v>0</v>
      </c>
    </row>
    <row r="9185" spans="76:77" x14ac:dyDescent="0.2">
      <c r="BX9185" s="214" t="e">
        <f t="shared" si="302"/>
        <v>#DIV/0!</v>
      </c>
      <c r="BY9185" s="215">
        <f t="shared" si="303"/>
        <v>0</v>
      </c>
    </row>
    <row r="9186" spans="76:77" x14ac:dyDescent="0.2">
      <c r="BX9186" s="214" t="e">
        <f t="shared" si="302"/>
        <v>#DIV/0!</v>
      </c>
      <c r="BY9186" s="215">
        <f t="shared" si="303"/>
        <v>0</v>
      </c>
    </row>
    <row r="9187" spans="76:77" x14ac:dyDescent="0.2">
      <c r="BX9187" s="214" t="e">
        <f t="shared" si="302"/>
        <v>#DIV/0!</v>
      </c>
      <c r="BY9187" s="215">
        <f t="shared" si="303"/>
        <v>0</v>
      </c>
    </row>
    <row r="9188" spans="76:77" x14ac:dyDescent="0.2">
      <c r="BX9188" s="214" t="e">
        <f t="shared" si="302"/>
        <v>#DIV/0!</v>
      </c>
      <c r="BY9188" s="215">
        <f t="shared" si="303"/>
        <v>0</v>
      </c>
    </row>
    <row r="9189" spans="76:77" x14ac:dyDescent="0.2">
      <c r="BX9189" s="214" t="e">
        <f t="shared" si="302"/>
        <v>#DIV/0!</v>
      </c>
      <c r="BY9189" s="215">
        <f t="shared" si="303"/>
        <v>0</v>
      </c>
    </row>
    <row r="9190" spans="76:77" x14ac:dyDescent="0.2">
      <c r="BX9190" s="214" t="e">
        <f t="shared" si="302"/>
        <v>#DIV/0!</v>
      </c>
      <c r="BY9190" s="215">
        <f t="shared" si="303"/>
        <v>0</v>
      </c>
    </row>
    <row r="9191" spans="76:77" x14ac:dyDescent="0.2">
      <c r="BX9191" s="214" t="e">
        <f t="shared" si="302"/>
        <v>#DIV/0!</v>
      </c>
      <c r="BY9191" s="215">
        <f t="shared" si="303"/>
        <v>0</v>
      </c>
    </row>
    <row r="9192" spans="76:77" x14ac:dyDescent="0.2">
      <c r="BX9192" s="214" t="e">
        <f t="shared" si="302"/>
        <v>#DIV/0!</v>
      </c>
      <c r="BY9192" s="215">
        <f t="shared" si="303"/>
        <v>0</v>
      </c>
    </row>
    <row r="9193" spans="76:77" x14ac:dyDescent="0.2">
      <c r="BX9193" s="214" t="e">
        <f t="shared" si="302"/>
        <v>#DIV/0!</v>
      </c>
      <c r="BY9193" s="215">
        <f t="shared" si="303"/>
        <v>0</v>
      </c>
    </row>
    <row r="9194" spans="76:77" x14ac:dyDescent="0.2">
      <c r="BX9194" s="214" t="e">
        <f t="shared" si="302"/>
        <v>#DIV/0!</v>
      </c>
      <c r="BY9194" s="215">
        <f t="shared" si="303"/>
        <v>0</v>
      </c>
    </row>
    <row r="9195" spans="76:77" x14ac:dyDescent="0.2">
      <c r="BX9195" s="214" t="e">
        <f t="shared" si="302"/>
        <v>#DIV/0!</v>
      </c>
      <c r="BY9195" s="215">
        <f t="shared" si="303"/>
        <v>0</v>
      </c>
    </row>
    <row r="9196" spans="76:77" x14ac:dyDescent="0.2">
      <c r="BX9196" s="214" t="e">
        <f t="shared" si="302"/>
        <v>#DIV/0!</v>
      </c>
      <c r="BY9196" s="215">
        <f t="shared" si="303"/>
        <v>0</v>
      </c>
    </row>
    <row r="9197" spans="76:77" x14ac:dyDescent="0.2">
      <c r="BX9197" s="214" t="e">
        <f t="shared" si="302"/>
        <v>#DIV/0!</v>
      </c>
      <c r="BY9197" s="215">
        <f t="shared" si="303"/>
        <v>0</v>
      </c>
    </row>
    <row r="9198" spans="76:77" x14ac:dyDescent="0.2">
      <c r="BX9198" s="214" t="e">
        <f t="shared" si="302"/>
        <v>#DIV/0!</v>
      </c>
      <c r="BY9198" s="215">
        <f t="shared" si="303"/>
        <v>0</v>
      </c>
    </row>
    <row r="9199" spans="76:77" x14ac:dyDescent="0.2">
      <c r="BX9199" s="214" t="e">
        <f t="shared" si="302"/>
        <v>#DIV/0!</v>
      </c>
      <c r="BY9199" s="215">
        <f t="shared" si="303"/>
        <v>0</v>
      </c>
    </row>
    <row r="9200" spans="76:77" x14ac:dyDescent="0.2">
      <c r="BX9200" s="214" t="e">
        <f t="shared" si="302"/>
        <v>#DIV/0!</v>
      </c>
      <c r="BY9200" s="215">
        <f t="shared" si="303"/>
        <v>0</v>
      </c>
    </row>
    <row r="9201" spans="76:77" x14ac:dyDescent="0.2">
      <c r="BX9201" s="214" t="e">
        <f t="shared" si="302"/>
        <v>#DIV/0!</v>
      </c>
      <c r="BY9201" s="215">
        <f t="shared" si="303"/>
        <v>0</v>
      </c>
    </row>
    <row r="9202" spans="76:77" x14ac:dyDescent="0.2">
      <c r="BX9202" s="214" t="e">
        <f t="shared" si="302"/>
        <v>#DIV/0!</v>
      </c>
      <c r="BY9202" s="215">
        <f t="shared" si="303"/>
        <v>0</v>
      </c>
    </row>
    <row r="9203" spans="76:77" x14ac:dyDescent="0.2">
      <c r="BX9203" s="214" t="e">
        <f t="shared" si="302"/>
        <v>#DIV/0!</v>
      </c>
      <c r="BY9203" s="215">
        <f t="shared" si="303"/>
        <v>0</v>
      </c>
    </row>
    <row r="9204" spans="76:77" x14ac:dyDescent="0.2">
      <c r="BX9204" s="214" t="e">
        <f t="shared" si="302"/>
        <v>#DIV/0!</v>
      </c>
      <c r="BY9204" s="215">
        <f t="shared" si="303"/>
        <v>0</v>
      </c>
    </row>
    <row r="9205" spans="76:77" x14ac:dyDescent="0.2">
      <c r="BX9205" s="214" t="e">
        <f t="shared" si="302"/>
        <v>#DIV/0!</v>
      </c>
      <c r="BY9205" s="215">
        <f t="shared" si="303"/>
        <v>0</v>
      </c>
    </row>
    <row r="9206" spans="76:77" x14ac:dyDescent="0.2">
      <c r="BX9206" s="214" t="e">
        <f t="shared" si="302"/>
        <v>#DIV/0!</v>
      </c>
      <c r="BY9206" s="215">
        <f t="shared" si="303"/>
        <v>0</v>
      </c>
    </row>
    <row r="9207" spans="76:77" x14ac:dyDescent="0.2">
      <c r="BX9207" s="214" t="e">
        <f t="shared" si="302"/>
        <v>#DIV/0!</v>
      </c>
      <c r="BY9207" s="215">
        <f t="shared" si="303"/>
        <v>0</v>
      </c>
    </row>
    <row r="9208" spans="76:77" x14ac:dyDescent="0.2">
      <c r="BX9208" s="214" t="e">
        <f t="shared" si="302"/>
        <v>#DIV/0!</v>
      </c>
      <c r="BY9208" s="215">
        <f t="shared" si="303"/>
        <v>0</v>
      </c>
    </row>
    <row r="9209" spans="76:77" x14ac:dyDescent="0.2">
      <c r="BX9209" s="214" t="e">
        <f t="shared" si="302"/>
        <v>#DIV/0!</v>
      </c>
      <c r="BY9209" s="215">
        <f t="shared" si="303"/>
        <v>0</v>
      </c>
    </row>
    <row r="9210" spans="76:77" x14ac:dyDescent="0.2">
      <c r="BX9210" s="214" t="e">
        <f t="shared" si="302"/>
        <v>#DIV/0!</v>
      </c>
      <c r="BY9210" s="215">
        <f t="shared" si="303"/>
        <v>0</v>
      </c>
    </row>
    <row r="9211" spans="76:77" x14ac:dyDescent="0.2">
      <c r="BX9211" s="214" t="e">
        <f t="shared" si="302"/>
        <v>#DIV/0!</v>
      </c>
      <c r="BY9211" s="215">
        <f t="shared" si="303"/>
        <v>0</v>
      </c>
    </row>
    <row r="9212" spans="76:77" x14ac:dyDescent="0.2">
      <c r="BX9212" s="214" t="e">
        <f t="shared" si="302"/>
        <v>#DIV/0!</v>
      </c>
      <c r="BY9212" s="215">
        <f t="shared" si="303"/>
        <v>0</v>
      </c>
    </row>
    <row r="9213" spans="76:77" x14ac:dyDescent="0.2">
      <c r="BX9213" s="214" t="e">
        <f t="shared" si="302"/>
        <v>#DIV/0!</v>
      </c>
      <c r="BY9213" s="215">
        <f t="shared" si="303"/>
        <v>0</v>
      </c>
    </row>
    <row r="9214" spans="76:77" x14ac:dyDescent="0.2">
      <c r="BX9214" s="214" t="e">
        <f t="shared" si="302"/>
        <v>#DIV/0!</v>
      </c>
      <c r="BY9214" s="215">
        <f t="shared" si="303"/>
        <v>0</v>
      </c>
    </row>
    <row r="9215" spans="76:77" x14ac:dyDescent="0.2">
      <c r="BX9215" s="214" t="e">
        <f t="shared" si="302"/>
        <v>#DIV/0!</v>
      </c>
      <c r="BY9215" s="215">
        <f t="shared" si="303"/>
        <v>0</v>
      </c>
    </row>
    <row r="9216" spans="76:77" x14ac:dyDescent="0.2">
      <c r="BX9216" s="214" t="e">
        <f t="shared" si="302"/>
        <v>#DIV/0!</v>
      </c>
      <c r="BY9216" s="215">
        <f t="shared" si="303"/>
        <v>0</v>
      </c>
    </row>
    <row r="9217" spans="76:77" x14ac:dyDescent="0.2">
      <c r="BX9217" s="214" t="e">
        <f t="shared" si="302"/>
        <v>#DIV/0!</v>
      </c>
      <c r="BY9217" s="215">
        <f t="shared" si="303"/>
        <v>0</v>
      </c>
    </row>
    <row r="9218" spans="76:77" x14ac:dyDescent="0.2">
      <c r="BX9218" s="214" t="e">
        <f t="shared" si="302"/>
        <v>#DIV/0!</v>
      </c>
      <c r="BY9218" s="215">
        <f t="shared" si="303"/>
        <v>0</v>
      </c>
    </row>
    <row r="9219" spans="76:77" x14ac:dyDescent="0.2">
      <c r="BX9219" s="214" t="e">
        <f t="shared" si="302"/>
        <v>#DIV/0!</v>
      </c>
      <c r="BY9219" s="215">
        <f t="shared" si="303"/>
        <v>0</v>
      </c>
    </row>
    <row r="9220" spans="76:77" x14ac:dyDescent="0.2">
      <c r="BX9220" s="214" t="e">
        <f t="shared" si="302"/>
        <v>#DIV/0!</v>
      </c>
      <c r="BY9220" s="215">
        <f t="shared" si="303"/>
        <v>0</v>
      </c>
    </row>
    <row r="9221" spans="76:77" x14ac:dyDescent="0.2">
      <c r="BX9221" s="214" t="e">
        <f t="shared" si="302"/>
        <v>#DIV/0!</v>
      </c>
      <c r="BY9221" s="215">
        <f t="shared" si="303"/>
        <v>0</v>
      </c>
    </row>
    <row r="9222" spans="76:77" x14ac:dyDescent="0.2">
      <c r="BX9222" s="214" t="e">
        <f t="shared" si="302"/>
        <v>#DIV/0!</v>
      </c>
      <c r="BY9222" s="215">
        <f t="shared" si="303"/>
        <v>0</v>
      </c>
    </row>
    <row r="9223" spans="76:77" x14ac:dyDescent="0.2">
      <c r="BX9223" s="214" t="e">
        <f t="shared" si="302"/>
        <v>#DIV/0!</v>
      </c>
      <c r="BY9223" s="215">
        <f t="shared" si="303"/>
        <v>0</v>
      </c>
    </row>
    <row r="9224" spans="76:77" x14ac:dyDescent="0.2">
      <c r="BX9224" s="214" t="e">
        <f t="shared" si="302"/>
        <v>#DIV/0!</v>
      </c>
      <c r="BY9224" s="215">
        <f t="shared" si="303"/>
        <v>0</v>
      </c>
    </row>
    <row r="9225" spans="76:77" x14ac:dyDescent="0.2">
      <c r="BX9225" s="214" t="e">
        <f t="shared" si="302"/>
        <v>#DIV/0!</v>
      </c>
      <c r="BY9225" s="215">
        <f t="shared" si="303"/>
        <v>0</v>
      </c>
    </row>
    <row r="9226" spans="76:77" x14ac:dyDescent="0.2">
      <c r="BX9226" s="214" t="e">
        <f t="shared" si="302"/>
        <v>#DIV/0!</v>
      </c>
      <c r="BY9226" s="215">
        <f t="shared" si="303"/>
        <v>0</v>
      </c>
    </row>
    <row r="9227" spans="76:77" x14ac:dyDescent="0.2">
      <c r="BX9227" s="214" t="e">
        <f t="shared" si="302"/>
        <v>#DIV/0!</v>
      </c>
      <c r="BY9227" s="215">
        <f t="shared" si="303"/>
        <v>0</v>
      </c>
    </row>
    <row r="9228" spans="76:77" x14ac:dyDescent="0.2">
      <c r="BX9228" s="214" t="e">
        <f t="shared" si="302"/>
        <v>#DIV/0!</v>
      </c>
      <c r="BY9228" s="215">
        <f t="shared" si="303"/>
        <v>0</v>
      </c>
    </row>
    <row r="9229" spans="76:77" x14ac:dyDescent="0.2">
      <c r="BX9229" s="214" t="e">
        <f t="shared" ref="BX9229:BX9292" si="304">BY9229/BV9229</f>
        <v>#DIV/0!</v>
      </c>
      <c r="BY9229" s="215">
        <f t="shared" si="303"/>
        <v>0</v>
      </c>
    </row>
    <row r="9230" spans="76:77" x14ac:dyDescent="0.2">
      <c r="BX9230" s="214" t="e">
        <f t="shared" si="304"/>
        <v>#DIV/0!</v>
      </c>
      <c r="BY9230" s="215">
        <f t="shared" ref="BY9230:BY9293" si="305">BY9229+BW9230*(BV9230-BV9229)</f>
        <v>0</v>
      </c>
    </row>
    <row r="9231" spans="76:77" x14ac:dyDescent="0.2">
      <c r="BX9231" s="214" t="e">
        <f t="shared" si="304"/>
        <v>#DIV/0!</v>
      </c>
      <c r="BY9231" s="215">
        <f t="shared" si="305"/>
        <v>0</v>
      </c>
    </row>
    <row r="9232" spans="76:77" x14ac:dyDescent="0.2">
      <c r="BX9232" s="214" t="e">
        <f t="shared" si="304"/>
        <v>#DIV/0!</v>
      </c>
      <c r="BY9232" s="215">
        <f t="shared" si="305"/>
        <v>0</v>
      </c>
    </row>
    <row r="9233" spans="76:77" x14ac:dyDescent="0.2">
      <c r="BX9233" s="214" t="e">
        <f t="shared" si="304"/>
        <v>#DIV/0!</v>
      </c>
      <c r="BY9233" s="215">
        <f t="shared" si="305"/>
        <v>0</v>
      </c>
    </row>
    <row r="9234" spans="76:77" x14ac:dyDescent="0.2">
      <c r="BX9234" s="214" t="e">
        <f t="shared" si="304"/>
        <v>#DIV/0!</v>
      </c>
      <c r="BY9234" s="215">
        <f t="shared" si="305"/>
        <v>0</v>
      </c>
    </row>
    <row r="9235" spans="76:77" x14ac:dyDescent="0.2">
      <c r="BX9235" s="214" t="e">
        <f t="shared" si="304"/>
        <v>#DIV/0!</v>
      </c>
      <c r="BY9235" s="215">
        <f t="shared" si="305"/>
        <v>0</v>
      </c>
    </row>
    <row r="9236" spans="76:77" x14ac:dyDescent="0.2">
      <c r="BX9236" s="214" t="e">
        <f t="shared" si="304"/>
        <v>#DIV/0!</v>
      </c>
      <c r="BY9236" s="215">
        <f t="shared" si="305"/>
        <v>0</v>
      </c>
    </row>
    <row r="9237" spans="76:77" x14ac:dyDescent="0.2">
      <c r="BX9237" s="214" t="e">
        <f t="shared" si="304"/>
        <v>#DIV/0!</v>
      </c>
      <c r="BY9237" s="215">
        <f t="shared" si="305"/>
        <v>0</v>
      </c>
    </row>
    <row r="9238" spans="76:77" x14ac:dyDescent="0.2">
      <c r="BX9238" s="214" t="e">
        <f t="shared" si="304"/>
        <v>#DIV/0!</v>
      </c>
      <c r="BY9238" s="215">
        <f t="shared" si="305"/>
        <v>0</v>
      </c>
    </row>
    <row r="9239" spans="76:77" x14ac:dyDescent="0.2">
      <c r="BX9239" s="214" t="e">
        <f t="shared" si="304"/>
        <v>#DIV/0!</v>
      </c>
      <c r="BY9239" s="215">
        <f t="shared" si="305"/>
        <v>0</v>
      </c>
    </row>
    <row r="9240" spans="76:77" x14ac:dyDescent="0.2">
      <c r="BX9240" s="214" t="e">
        <f t="shared" si="304"/>
        <v>#DIV/0!</v>
      </c>
      <c r="BY9240" s="215">
        <f t="shared" si="305"/>
        <v>0</v>
      </c>
    </row>
    <row r="9241" spans="76:77" x14ac:dyDescent="0.2">
      <c r="BX9241" s="214" t="e">
        <f t="shared" si="304"/>
        <v>#DIV/0!</v>
      </c>
      <c r="BY9241" s="215">
        <f t="shared" si="305"/>
        <v>0</v>
      </c>
    </row>
    <row r="9242" spans="76:77" x14ac:dyDescent="0.2">
      <c r="BX9242" s="214" t="e">
        <f t="shared" si="304"/>
        <v>#DIV/0!</v>
      </c>
      <c r="BY9242" s="215">
        <f t="shared" si="305"/>
        <v>0</v>
      </c>
    </row>
    <row r="9243" spans="76:77" x14ac:dyDescent="0.2">
      <c r="BX9243" s="214" t="e">
        <f t="shared" si="304"/>
        <v>#DIV/0!</v>
      </c>
      <c r="BY9243" s="215">
        <f t="shared" si="305"/>
        <v>0</v>
      </c>
    </row>
    <row r="9244" spans="76:77" x14ac:dyDescent="0.2">
      <c r="BX9244" s="214" t="e">
        <f t="shared" si="304"/>
        <v>#DIV/0!</v>
      </c>
      <c r="BY9244" s="215">
        <f t="shared" si="305"/>
        <v>0</v>
      </c>
    </row>
    <row r="9245" spans="76:77" x14ac:dyDescent="0.2">
      <c r="BX9245" s="214" t="e">
        <f t="shared" si="304"/>
        <v>#DIV/0!</v>
      </c>
      <c r="BY9245" s="215">
        <f t="shared" si="305"/>
        <v>0</v>
      </c>
    </row>
    <row r="9246" spans="76:77" x14ac:dyDescent="0.2">
      <c r="BX9246" s="214" t="e">
        <f t="shared" si="304"/>
        <v>#DIV/0!</v>
      </c>
      <c r="BY9246" s="215">
        <f t="shared" si="305"/>
        <v>0</v>
      </c>
    </row>
    <row r="9247" spans="76:77" x14ac:dyDescent="0.2">
      <c r="BX9247" s="214" t="e">
        <f t="shared" si="304"/>
        <v>#DIV/0!</v>
      </c>
      <c r="BY9247" s="215">
        <f t="shared" si="305"/>
        <v>0</v>
      </c>
    </row>
    <row r="9248" spans="76:77" x14ac:dyDescent="0.2">
      <c r="BX9248" s="214" t="e">
        <f t="shared" si="304"/>
        <v>#DIV/0!</v>
      </c>
      <c r="BY9248" s="215">
        <f t="shared" si="305"/>
        <v>0</v>
      </c>
    </row>
    <row r="9249" spans="76:77" x14ac:dyDescent="0.2">
      <c r="BX9249" s="214" t="e">
        <f t="shared" si="304"/>
        <v>#DIV/0!</v>
      </c>
      <c r="BY9249" s="215">
        <f t="shared" si="305"/>
        <v>0</v>
      </c>
    </row>
    <row r="9250" spans="76:77" x14ac:dyDescent="0.2">
      <c r="BX9250" s="214" t="e">
        <f t="shared" si="304"/>
        <v>#DIV/0!</v>
      </c>
      <c r="BY9250" s="215">
        <f t="shared" si="305"/>
        <v>0</v>
      </c>
    </row>
    <row r="9251" spans="76:77" x14ac:dyDescent="0.2">
      <c r="BX9251" s="214" t="e">
        <f t="shared" si="304"/>
        <v>#DIV/0!</v>
      </c>
      <c r="BY9251" s="215">
        <f t="shared" si="305"/>
        <v>0</v>
      </c>
    </row>
    <row r="9252" spans="76:77" x14ac:dyDescent="0.2">
      <c r="BX9252" s="214" t="e">
        <f t="shared" si="304"/>
        <v>#DIV/0!</v>
      </c>
      <c r="BY9252" s="215">
        <f t="shared" si="305"/>
        <v>0</v>
      </c>
    </row>
    <row r="9253" spans="76:77" x14ac:dyDescent="0.2">
      <c r="BX9253" s="214" t="e">
        <f t="shared" si="304"/>
        <v>#DIV/0!</v>
      </c>
      <c r="BY9253" s="215">
        <f t="shared" si="305"/>
        <v>0</v>
      </c>
    </row>
    <row r="9254" spans="76:77" x14ac:dyDescent="0.2">
      <c r="BX9254" s="214" t="e">
        <f t="shared" si="304"/>
        <v>#DIV/0!</v>
      </c>
      <c r="BY9254" s="215">
        <f t="shared" si="305"/>
        <v>0</v>
      </c>
    </row>
    <row r="9255" spans="76:77" x14ac:dyDescent="0.2">
      <c r="BX9255" s="214" t="e">
        <f t="shared" si="304"/>
        <v>#DIV/0!</v>
      </c>
      <c r="BY9255" s="215">
        <f t="shared" si="305"/>
        <v>0</v>
      </c>
    </row>
    <row r="9256" spans="76:77" x14ac:dyDescent="0.2">
      <c r="BX9256" s="214" t="e">
        <f t="shared" si="304"/>
        <v>#DIV/0!</v>
      </c>
      <c r="BY9256" s="215">
        <f t="shared" si="305"/>
        <v>0</v>
      </c>
    </row>
    <row r="9257" spans="76:77" x14ac:dyDescent="0.2">
      <c r="BX9257" s="214" t="e">
        <f t="shared" si="304"/>
        <v>#DIV/0!</v>
      </c>
      <c r="BY9257" s="215">
        <f t="shared" si="305"/>
        <v>0</v>
      </c>
    </row>
    <row r="9258" spans="76:77" x14ac:dyDescent="0.2">
      <c r="BX9258" s="214" t="e">
        <f t="shared" si="304"/>
        <v>#DIV/0!</v>
      </c>
      <c r="BY9258" s="215">
        <f t="shared" si="305"/>
        <v>0</v>
      </c>
    </row>
    <row r="9259" spans="76:77" x14ac:dyDescent="0.2">
      <c r="BX9259" s="214" t="e">
        <f t="shared" si="304"/>
        <v>#DIV/0!</v>
      </c>
      <c r="BY9259" s="215">
        <f t="shared" si="305"/>
        <v>0</v>
      </c>
    </row>
    <row r="9260" spans="76:77" x14ac:dyDescent="0.2">
      <c r="BX9260" s="214" t="e">
        <f t="shared" si="304"/>
        <v>#DIV/0!</v>
      </c>
      <c r="BY9260" s="215">
        <f t="shared" si="305"/>
        <v>0</v>
      </c>
    </row>
    <row r="9261" spans="76:77" x14ac:dyDescent="0.2">
      <c r="BX9261" s="214" t="e">
        <f t="shared" si="304"/>
        <v>#DIV/0!</v>
      </c>
      <c r="BY9261" s="215">
        <f t="shared" si="305"/>
        <v>0</v>
      </c>
    </row>
    <row r="9262" spans="76:77" x14ac:dyDescent="0.2">
      <c r="BX9262" s="214" t="e">
        <f t="shared" si="304"/>
        <v>#DIV/0!</v>
      </c>
      <c r="BY9262" s="215">
        <f t="shared" si="305"/>
        <v>0</v>
      </c>
    </row>
    <row r="9263" spans="76:77" x14ac:dyDescent="0.2">
      <c r="BX9263" s="214" t="e">
        <f t="shared" si="304"/>
        <v>#DIV/0!</v>
      </c>
      <c r="BY9263" s="215">
        <f t="shared" si="305"/>
        <v>0</v>
      </c>
    </row>
    <row r="9264" spans="76:77" x14ac:dyDescent="0.2">
      <c r="BX9264" s="214" t="e">
        <f t="shared" si="304"/>
        <v>#DIV/0!</v>
      </c>
      <c r="BY9264" s="215">
        <f t="shared" si="305"/>
        <v>0</v>
      </c>
    </row>
    <row r="9265" spans="76:77" x14ac:dyDescent="0.2">
      <c r="BX9265" s="214" t="e">
        <f t="shared" si="304"/>
        <v>#DIV/0!</v>
      </c>
      <c r="BY9265" s="215">
        <f t="shared" si="305"/>
        <v>0</v>
      </c>
    </row>
    <row r="9266" spans="76:77" x14ac:dyDescent="0.2">
      <c r="BX9266" s="214" t="e">
        <f t="shared" si="304"/>
        <v>#DIV/0!</v>
      </c>
      <c r="BY9266" s="215">
        <f t="shared" si="305"/>
        <v>0</v>
      </c>
    </row>
    <row r="9267" spans="76:77" x14ac:dyDescent="0.2">
      <c r="BX9267" s="214" t="e">
        <f t="shared" si="304"/>
        <v>#DIV/0!</v>
      </c>
      <c r="BY9267" s="215">
        <f t="shared" si="305"/>
        <v>0</v>
      </c>
    </row>
    <row r="9268" spans="76:77" x14ac:dyDescent="0.2">
      <c r="BX9268" s="214" t="e">
        <f t="shared" si="304"/>
        <v>#DIV/0!</v>
      </c>
      <c r="BY9268" s="215">
        <f t="shared" si="305"/>
        <v>0</v>
      </c>
    </row>
    <row r="9269" spans="76:77" x14ac:dyDescent="0.2">
      <c r="BX9269" s="214" t="e">
        <f t="shared" si="304"/>
        <v>#DIV/0!</v>
      </c>
      <c r="BY9269" s="215">
        <f t="shared" si="305"/>
        <v>0</v>
      </c>
    </row>
    <row r="9270" spans="76:77" x14ac:dyDescent="0.2">
      <c r="BX9270" s="214" t="e">
        <f t="shared" si="304"/>
        <v>#DIV/0!</v>
      </c>
      <c r="BY9270" s="215">
        <f t="shared" si="305"/>
        <v>0</v>
      </c>
    </row>
    <row r="9271" spans="76:77" x14ac:dyDescent="0.2">
      <c r="BX9271" s="214" t="e">
        <f t="shared" si="304"/>
        <v>#DIV/0!</v>
      </c>
      <c r="BY9271" s="215">
        <f t="shared" si="305"/>
        <v>0</v>
      </c>
    </row>
    <row r="9272" spans="76:77" x14ac:dyDescent="0.2">
      <c r="BX9272" s="214" t="e">
        <f t="shared" si="304"/>
        <v>#DIV/0!</v>
      </c>
      <c r="BY9272" s="215">
        <f t="shared" si="305"/>
        <v>0</v>
      </c>
    </row>
    <row r="9273" spans="76:77" x14ac:dyDescent="0.2">
      <c r="BX9273" s="214" t="e">
        <f t="shared" si="304"/>
        <v>#DIV/0!</v>
      </c>
      <c r="BY9273" s="215">
        <f t="shared" si="305"/>
        <v>0</v>
      </c>
    </row>
    <row r="9274" spans="76:77" x14ac:dyDescent="0.2">
      <c r="BX9274" s="214" t="e">
        <f t="shared" si="304"/>
        <v>#DIV/0!</v>
      </c>
      <c r="BY9274" s="215">
        <f t="shared" si="305"/>
        <v>0</v>
      </c>
    </row>
    <row r="9275" spans="76:77" x14ac:dyDescent="0.2">
      <c r="BX9275" s="214" t="e">
        <f t="shared" si="304"/>
        <v>#DIV/0!</v>
      </c>
      <c r="BY9275" s="215">
        <f t="shared" si="305"/>
        <v>0</v>
      </c>
    </row>
    <row r="9276" spans="76:77" x14ac:dyDescent="0.2">
      <c r="BX9276" s="214" t="e">
        <f t="shared" si="304"/>
        <v>#DIV/0!</v>
      </c>
      <c r="BY9276" s="215">
        <f t="shared" si="305"/>
        <v>0</v>
      </c>
    </row>
    <row r="9277" spans="76:77" x14ac:dyDescent="0.2">
      <c r="BX9277" s="214" t="e">
        <f t="shared" si="304"/>
        <v>#DIV/0!</v>
      </c>
      <c r="BY9277" s="215">
        <f t="shared" si="305"/>
        <v>0</v>
      </c>
    </row>
    <row r="9278" spans="76:77" x14ac:dyDescent="0.2">
      <c r="BX9278" s="214" t="e">
        <f t="shared" si="304"/>
        <v>#DIV/0!</v>
      </c>
      <c r="BY9278" s="215">
        <f t="shared" si="305"/>
        <v>0</v>
      </c>
    </row>
    <row r="9279" spans="76:77" x14ac:dyDescent="0.2">
      <c r="BX9279" s="214" t="e">
        <f t="shared" si="304"/>
        <v>#DIV/0!</v>
      </c>
      <c r="BY9279" s="215">
        <f t="shared" si="305"/>
        <v>0</v>
      </c>
    </row>
    <row r="9280" spans="76:77" x14ac:dyDescent="0.2">
      <c r="BX9280" s="214" t="e">
        <f t="shared" si="304"/>
        <v>#DIV/0!</v>
      </c>
      <c r="BY9280" s="215">
        <f t="shared" si="305"/>
        <v>0</v>
      </c>
    </row>
    <row r="9281" spans="76:77" x14ac:dyDescent="0.2">
      <c r="BX9281" s="214" t="e">
        <f t="shared" si="304"/>
        <v>#DIV/0!</v>
      </c>
      <c r="BY9281" s="215">
        <f t="shared" si="305"/>
        <v>0</v>
      </c>
    </row>
    <row r="9282" spans="76:77" x14ac:dyDescent="0.2">
      <c r="BX9282" s="214" t="e">
        <f t="shared" si="304"/>
        <v>#DIV/0!</v>
      </c>
      <c r="BY9282" s="215">
        <f t="shared" si="305"/>
        <v>0</v>
      </c>
    </row>
    <row r="9283" spans="76:77" x14ac:dyDescent="0.2">
      <c r="BX9283" s="214" t="e">
        <f t="shared" si="304"/>
        <v>#DIV/0!</v>
      </c>
      <c r="BY9283" s="215">
        <f t="shared" si="305"/>
        <v>0</v>
      </c>
    </row>
    <row r="9284" spans="76:77" x14ac:dyDescent="0.2">
      <c r="BX9284" s="214" t="e">
        <f t="shared" si="304"/>
        <v>#DIV/0!</v>
      </c>
      <c r="BY9284" s="215">
        <f t="shared" si="305"/>
        <v>0</v>
      </c>
    </row>
    <row r="9285" spans="76:77" x14ac:dyDescent="0.2">
      <c r="BX9285" s="214" t="e">
        <f t="shared" si="304"/>
        <v>#DIV/0!</v>
      </c>
      <c r="BY9285" s="215">
        <f t="shared" si="305"/>
        <v>0</v>
      </c>
    </row>
    <row r="9286" spans="76:77" x14ac:dyDescent="0.2">
      <c r="BX9286" s="214" t="e">
        <f t="shared" si="304"/>
        <v>#DIV/0!</v>
      </c>
      <c r="BY9286" s="215">
        <f t="shared" si="305"/>
        <v>0</v>
      </c>
    </row>
    <row r="9287" spans="76:77" x14ac:dyDescent="0.2">
      <c r="BX9287" s="214" t="e">
        <f t="shared" si="304"/>
        <v>#DIV/0!</v>
      </c>
      <c r="BY9287" s="215">
        <f t="shared" si="305"/>
        <v>0</v>
      </c>
    </row>
    <row r="9288" spans="76:77" x14ac:dyDescent="0.2">
      <c r="BX9288" s="214" t="e">
        <f t="shared" si="304"/>
        <v>#DIV/0!</v>
      </c>
      <c r="BY9288" s="215">
        <f t="shared" si="305"/>
        <v>0</v>
      </c>
    </row>
    <row r="9289" spans="76:77" x14ac:dyDescent="0.2">
      <c r="BX9289" s="214" t="e">
        <f t="shared" si="304"/>
        <v>#DIV/0!</v>
      </c>
      <c r="BY9289" s="215">
        <f t="shared" si="305"/>
        <v>0</v>
      </c>
    </row>
    <row r="9290" spans="76:77" x14ac:dyDescent="0.2">
      <c r="BX9290" s="214" t="e">
        <f t="shared" si="304"/>
        <v>#DIV/0!</v>
      </c>
      <c r="BY9290" s="215">
        <f t="shared" si="305"/>
        <v>0</v>
      </c>
    </row>
    <row r="9291" spans="76:77" x14ac:dyDescent="0.2">
      <c r="BX9291" s="214" t="e">
        <f t="shared" si="304"/>
        <v>#DIV/0!</v>
      </c>
      <c r="BY9291" s="215">
        <f t="shared" si="305"/>
        <v>0</v>
      </c>
    </row>
    <row r="9292" spans="76:77" x14ac:dyDescent="0.2">
      <c r="BX9292" s="214" t="e">
        <f t="shared" si="304"/>
        <v>#DIV/0!</v>
      </c>
      <c r="BY9292" s="215">
        <f t="shared" si="305"/>
        <v>0</v>
      </c>
    </row>
    <row r="9293" spans="76:77" x14ac:dyDescent="0.2">
      <c r="BX9293" s="214" t="e">
        <f t="shared" ref="BX9293:BX9356" si="306">BY9293/BV9293</f>
        <v>#DIV/0!</v>
      </c>
      <c r="BY9293" s="215">
        <f t="shared" si="305"/>
        <v>0</v>
      </c>
    </row>
    <row r="9294" spans="76:77" x14ac:dyDescent="0.2">
      <c r="BX9294" s="214" t="e">
        <f t="shared" si="306"/>
        <v>#DIV/0!</v>
      </c>
      <c r="BY9294" s="215">
        <f t="shared" ref="BY9294:BY9357" si="307">BY9293+BW9294*(BV9294-BV9293)</f>
        <v>0</v>
      </c>
    </row>
    <row r="9295" spans="76:77" x14ac:dyDescent="0.2">
      <c r="BX9295" s="214" t="e">
        <f t="shared" si="306"/>
        <v>#DIV/0!</v>
      </c>
      <c r="BY9295" s="215">
        <f t="shared" si="307"/>
        <v>0</v>
      </c>
    </row>
    <row r="9296" spans="76:77" x14ac:dyDescent="0.2">
      <c r="BX9296" s="214" t="e">
        <f t="shared" si="306"/>
        <v>#DIV/0!</v>
      </c>
      <c r="BY9296" s="215">
        <f t="shared" si="307"/>
        <v>0</v>
      </c>
    </row>
    <row r="9297" spans="76:77" x14ac:dyDescent="0.2">
      <c r="BX9297" s="214" t="e">
        <f t="shared" si="306"/>
        <v>#DIV/0!</v>
      </c>
      <c r="BY9297" s="215">
        <f t="shared" si="307"/>
        <v>0</v>
      </c>
    </row>
    <row r="9298" spans="76:77" x14ac:dyDescent="0.2">
      <c r="BX9298" s="214" t="e">
        <f t="shared" si="306"/>
        <v>#DIV/0!</v>
      </c>
      <c r="BY9298" s="215">
        <f t="shared" si="307"/>
        <v>0</v>
      </c>
    </row>
    <row r="9299" spans="76:77" x14ac:dyDescent="0.2">
      <c r="BX9299" s="214" t="e">
        <f t="shared" si="306"/>
        <v>#DIV/0!</v>
      </c>
      <c r="BY9299" s="215">
        <f t="shared" si="307"/>
        <v>0</v>
      </c>
    </row>
    <row r="9300" spans="76:77" x14ac:dyDescent="0.2">
      <c r="BX9300" s="214" t="e">
        <f t="shared" si="306"/>
        <v>#DIV/0!</v>
      </c>
      <c r="BY9300" s="215">
        <f t="shared" si="307"/>
        <v>0</v>
      </c>
    </row>
    <row r="9301" spans="76:77" x14ac:dyDescent="0.2">
      <c r="BX9301" s="214" t="e">
        <f t="shared" si="306"/>
        <v>#DIV/0!</v>
      </c>
      <c r="BY9301" s="215">
        <f t="shared" si="307"/>
        <v>0</v>
      </c>
    </row>
    <row r="9302" spans="76:77" x14ac:dyDescent="0.2">
      <c r="BX9302" s="214" t="e">
        <f t="shared" si="306"/>
        <v>#DIV/0!</v>
      </c>
      <c r="BY9302" s="215">
        <f t="shared" si="307"/>
        <v>0</v>
      </c>
    </row>
    <row r="9303" spans="76:77" x14ac:dyDescent="0.2">
      <c r="BX9303" s="214" t="e">
        <f t="shared" si="306"/>
        <v>#DIV/0!</v>
      </c>
      <c r="BY9303" s="215">
        <f t="shared" si="307"/>
        <v>0</v>
      </c>
    </row>
    <row r="9304" spans="76:77" x14ac:dyDescent="0.2">
      <c r="BX9304" s="214" t="e">
        <f t="shared" si="306"/>
        <v>#DIV/0!</v>
      </c>
      <c r="BY9304" s="215">
        <f t="shared" si="307"/>
        <v>0</v>
      </c>
    </row>
    <row r="9305" spans="76:77" x14ac:dyDescent="0.2">
      <c r="BX9305" s="214" t="e">
        <f t="shared" si="306"/>
        <v>#DIV/0!</v>
      </c>
      <c r="BY9305" s="215">
        <f t="shared" si="307"/>
        <v>0</v>
      </c>
    </row>
    <row r="9306" spans="76:77" x14ac:dyDescent="0.2">
      <c r="BX9306" s="214" t="e">
        <f t="shared" si="306"/>
        <v>#DIV/0!</v>
      </c>
      <c r="BY9306" s="215">
        <f t="shared" si="307"/>
        <v>0</v>
      </c>
    </row>
    <row r="9307" spans="76:77" x14ac:dyDescent="0.2">
      <c r="BX9307" s="214" t="e">
        <f t="shared" si="306"/>
        <v>#DIV/0!</v>
      </c>
      <c r="BY9307" s="215">
        <f t="shared" si="307"/>
        <v>0</v>
      </c>
    </row>
    <row r="9308" spans="76:77" x14ac:dyDescent="0.2">
      <c r="BX9308" s="214" t="e">
        <f t="shared" si="306"/>
        <v>#DIV/0!</v>
      </c>
      <c r="BY9308" s="215">
        <f t="shared" si="307"/>
        <v>0</v>
      </c>
    </row>
    <row r="9309" spans="76:77" x14ac:dyDescent="0.2">
      <c r="BX9309" s="214" t="e">
        <f t="shared" si="306"/>
        <v>#DIV/0!</v>
      </c>
      <c r="BY9309" s="215">
        <f t="shared" si="307"/>
        <v>0</v>
      </c>
    </row>
    <row r="9310" spans="76:77" x14ac:dyDescent="0.2">
      <c r="BX9310" s="214" t="e">
        <f t="shared" si="306"/>
        <v>#DIV/0!</v>
      </c>
      <c r="BY9310" s="215">
        <f t="shared" si="307"/>
        <v>0</v>
      </c>
    </row>
    <row r="9311" spans="76:77" x14ac:dyDescent="0.2">
      <c r="BX9311" s="214" t="e">
        <f t="shared" si="306"/>
        <v>#DIV/0!</v>
      </c>
      <c r="BY9311" s="215">
        <f t="shared" si="307"/>
        <v>0</v>
      </c>
    </row>
    <row r="9312" spans="76:77" x14ac:dyDescent="0.2">
      <c r="BX9312" s="214" t="e">
        <f t="shared" si="306"/>
        <v>#DIV/0!</v>
      </c>
      <c r="BY9312" s="215">
        <f t="shared" si="307"/>
        <v>0</v>
      </c>
    </row>
    <row r="9313" spans="76:77" x14ac:dyDescent="0.2">
      <c r="BX9313" s="214" t="e">
        <f t="shared" si="306"/>
        <v>#DIV/0!</v>
      </c>
      <c r="BY9313" s="215">
        <f t="shared" si="307"/>
        <v>0</v>
      </c>
    </row>
    <row r="9314" spans="76:77" x14ac:dyDescent="0.2">
      <c r="BX9314" s="214" t="e">
        <f t="shared" si="306"/>
        <v>#DIV/0!</v>
      </c>
      <c r="BY9314" s="215">
        <f t="shared" si="307"/>
        <v>0</v>
      </c>
    </row>
    <row r="9315" spans="76:77" x14ac:dyDescent="0.2">
      <c r="BX9315" s="214" t="e">
        <f t="shared" si="306"/>
        <v>#DIV/0!</v>
      </c>
      <c r="BY9315" s="215">
        <f t="shared" si="307"/>
        <v>0</v>
      </c>
    </row>
    <row r="9316" spans="76:77" x14ac:dyDescent="0.2">
      <c r="BX9316" s="214" t="e">
        <f t="shared" si="306"/>
        <v>#DIV/0!</v>
      </c>
      <c r="BY9316" s="215">
        <f t="shared" si="307"/>
        <v>0</v>
      </c>
    </row>
    <row r="9317" spans="76:77" x14ac:dyDescent="0.2">
      <c r="BX9317" s="214" t="e">
        <f t="shared" si="306"/>
        <v>#DIV/0!</v>
      </c>
      <c r="BY9317" s="215">
        <f t="shared" si="307"/>
        <v>0</v>
      </c>
    </row>
    <row r="9318" spans="76:77" x14ac:dyDescent="0.2">
      <c r="BX9318" s="214" t="e">
        <f t="shared" si="306"/>
        <v>#DIV/0!</v>
      </c>
      <c r="BY9318" s="215">
        <f t="shared" si="307"/>
        <v>0</v>
      </c>
    </row>
    <row r="9319" spans="76:77" x14ac:dyDescent="0.2">
      <c r="BX9319" s="214" t="e">
        <f t="shared" si="306"/>
        <v>#DIV/0!</v>
      </c>
      <c r="BY9319" s="215">
        <f t="shared" si="307"/>
        <v>0</v>
      </c>
    </row>
    <row r="9320" spans="76:77" x14ac:dyDescent="0.2">
      <c r="BX9320" s="214" t="e">
        <f t="shared" si="306"/>
        <v>#DIV/0!</v>
      </c>
      <c r="BY9320" s="215">
        <f t="shared" si="307"/>
        <v>0</v>
      </c>
    </row>
    <row r="9321" spans="76:77" x14ac:dyDescent="0.2">
      <c r="BX9321" s="214" t="e">
        <f t="shared" si="306"/>
        <v>#DIV/0!</v>
      </c>
      <c r="BY9321" s="215">
        <f t="shared" si="307"/>
        <v>0</v>
      </c>
    </row>
    <row r="9322" spans="76:77" x14ac:dyDescent="0.2">
      <c r="BX9322" s="214" t="e">
        <f t="shared" si="306"/>
        <v>#DIV/0!</v>
      </c>
      <c r="BY9322" s="215">
        <f t="shared" si="307"/>
        <v>0</v>
      </c>
    </row>
    <row r="9323" spans="76:77" x14ac:dyDescent="0.2">
      <c r="BX9323" s="214" t="e">
        <f t="shared" si="306"/>
        <v>#DIV/0!</v>
      </c>
      <c r="BY9323" s="215">
        <f t="shared" si="307"/>
        <v>0</v>
      </c>
    </row>
    <row r="9324" spans="76:77" x14ac:dyDescent="0.2">
      <c r="BX9324" s="214" t="e">
        <f t="shared" si="306"/>
        <v>#DIV/0!</v>
      </c>
      <c r="BY9324" s="215">
        <f t="shared" si="307"/>
        <v>0</v>
      </c>
    </row>
    <row r="9325" spans="76:77" x14ac:dyDescent="0.2">
      <c r="BX9325" s="214" t="e">
        <f t="shared" si="306"/>
        <v>#DIV/0!</v>
      </c>
      <c r="BY9325" s="215">
        <f t="shared" si="307"/>
        <v>0</v>
      </c>
    </row>
    <row r="9326" spans="76:77" x14ac:dyDescent="0.2">
      <c r="BX9326" s="214" t="e">
        <f t="shared" si="306"/>
        <v>#DIV/0!</v>
      </c>
      <c r="BY9326" s="215">
        <f t="shared" si="307"/>
        <v>0</v>
      </c>
    </row>
    <row r="9327" spans="76:77" x14ac:dyDescent="0.2">
      <c r="BX9327" s="214" t="e">
        <f t="shared" si="306"/>
        <v>#DIV/0!</v>
      </c>
      <c r="BY9327" s="215">
        <f t="shared" si="307"/>
        <v>0</v>
      </c>
    </row>
    <row r="9328" spans="76:77" x14ac:dyDescent="0.2">
      <c r="BX9328" s="214" t="e">
        <f t="shared" si="306"/>
        <v>#DIV/0!</v>
      </c>
      <c r="BY9328" s="215">
        <f t="shared" si="307"/>
        <v>0</v>
      </c>
    </row>
    <row r="9329" spans="76:77" x14ac:dyDescent="0.2">
      <c r="BX9329" s="214" t="e">
        <f t="shared" si="306"/>
        <v>#DIV/0!</v>
      </c>
      <c r="BY9329" s="215">
        <f t="shared" si="307"/>
        <v>0</v>
      </c>
    </row>
    <row r="9330" spans="76:77" x14ac:dyDescent="0.2">
      <c r="BX9330" s="214" t="e">
        <f t="shared" si="306"/>
        <v>#DIV/0!</v>
      </c>
      <c r="BY9330" s="215">
        <f t="shared" si="307"/>
        <v>0</v>
      </c>
    </row>
    <row r="9331" spans="76:77" x14ac:dyDescent="0.2">
      <c r="BX9331" s="214" t="e">
        <f t="shared" si="306"/>
        <v>#DIV/0!</v>
      </c>
      <c r="BY9331" s="215">
        <f t="shared" si="307"/>
        <v>0</v>
      </c>
    </row>
    <row r="9332" spans="76:77" x14ac:dyDescent="0.2">
      <c r="BX9332" s="214" t="e">
        <f t="shared" si="306"/>
        <v>#DIV/0!</v>
      </c>
      <c r="BY9332" s="215">
        <f t="shared" si="307"/>
        <v>0</v>
      </c>
    </row>
    <row r="9333" spans="76:77" x14ac:dyDescent="0.2">
      <c r="BX9333" s="214" t="e">
        <f t="shared" si="306"/>
        <v>#DIV/0!</v>
      </c>
      <c r="BY9333" s="215">
        <f t="shared" si="307"/>
        <v>0</v>
      </c>
    </row>
    <row r="9334" spans="76:77" x14ac:dyDescent="0.2">
      <c r="BX9334" s="214" t="e">
        <f t="shared" si="306"/>
        <v>#DIV/0!</v>
      </c>
      <c r="BY9334" s="215">
        <f t="shared" si="307"/>
        <v>0</v>
      </c>
    </row>
    <row r="9335" spans="76:77" x14ac:dyDescent="0.2">
      <c r="BX9335" s="214" t="e">
        <f t="shared" si="306"/>
        <v>#DIV/0!</v>
      </c>
      <c r="BY9335" s="215">
        <f t="shared" si="307"/>
        <v>0</v>
      </c>
    </row>
    <row r="9336" spans="76:77" x14ac:dyDescent="0.2">
      <c r="BX9336" s="214" t="e">
        <f t="shared" si="306"/>
        <v>#DIV/0!</v>
      </c>
      <c r="BY9336" s="215">
        <f t="shared" si="307"/>
        <v>0</v>
      </c>
    </row>
    <row r="9337" spans="76:77" x14ac:dyDescent="0.2">
      <c r="BX9337" s="214" t="e">
        <f t="shared" si="306"/>
        <v>#DIV/0!</v>
      </c>
      <c r="BY9337" s="215">
        <f t="shared" si="307"/>
        <v>0</v>
      </c>
    </row>
    <row r="9338" spans="76:77" x14ac:dyDescent="0.2">
      <c r="BX9338" s="214" t="e">
        <f t="shared" si="306"/>
        <v>#DIV/0!</v>
      </c>
      <c r="BY9338" s="215">
        <f t="shared" si="307"/>
        <v>0</v>
      </c>
    </row>
    <row r="9339" spans="76:77" x14ac:dyDescent="0.2">
      <c r="BX9339" s="214" t="e">
        <f t="shared" si="306"/>
        <v>#DIV/0!</v>
      </c>
      <c r="BY9339" s="215">
        <f t="shared" si="307"/>
        <v>0</v>
      </c>
    </row>
    <row r="9340" spans="76:77" x14ac:dyDescent="0.2">
      <c r="BX9340" s="214" t="e">
        <f t="shared" si="306"/>
        <v>#DIV/0!</v>
      </c>
      <c r="BY9340" s="215">
        <f t="shared" si="307"/>
        <v>0</v>
      </c>
    </row>
    <row r="9341" spans="76:77" x14ac:dyDescent="0.2">
      <c r="BX9341" s="214" t="e">
        <f t="shared" si="306"/>
        <v>#DIV/0!</v>
      </c>
      <c r="BY9341" s="215">
        <f t="shared" si="307"/>
        <v>0</v>
      </c>
    </row>
    <row r="9342" spans="76:77" x14ac:dyDescent="0.2">
      <c r="BX9342" s="214" t="e">
        <f t="shared" si="306"/>
        <v>#DIV/0!</v>
      </c>
      <c r="BY9342" s="215">
        <f t="shared" si="307"/>
        <v>0</v>
      </c>
    </row>
    <row r="9343" spans="76:77" x14ac:dyDescent="0.2">
      <c r="BX9343" s="214" t="e">
        <f t="shared" si="306"/>
        <v>#DIV/0!</v>
      </c>
      <c r="BY9343" s="215">
        <f t="shared" si="307"/>
        <v>0</v>
      </c>
    </row>
    <row r="9344" spans="76:77" x14ac:dyDescent="0.2">
      <c r="BX9344" s="214" t="e">
        <f t="shared" si="306"/>
        <v>#DIV/0!</v>
      </c>
      <c r="BY9344" s="215">
        <f t="shared" si="307"/>
        <v>0</v>
      </c>
    </row>
    <row r="9345" spans="76:77" x14ac:dyDescent="0.2">
      <c r="BX9345" s="214" t="e">
        <f t="shared" si="306"/>
        <v>#DIV/0!</v>
      </c>
      <c r="BY9345" s="215">
        <f t="shared" si="307"/>
        <v>0</v>
      </c>
    </row>
    <row r="9346" spans="76:77" x14ac:dyDescent="0.2">
      <c r="BX9346" s="214" t="e">
        <f t="shared" si="306"/>
        <v>#DIV/0!</v>
      </c>
      <c r="BY9346" s="215">
        <f t="shared" si="307"/>
        <v>0</v>
      </c>
    </row>
    <row r="9347" spans="76:77" x14ac:dyDescent="0.2">
      <c r="BX9347" s="214" t="e">
        <f t="shared" si="306"/>
        <v>#DIV/0!</v>
      </c>
      <c r="BY9347" s="215">
        <f t="shared" si="307"/>
        <v>0</v>
      </c>
    </row>
    <row r="9348" spans="76:77" x14ac:dyDescent="0.2">
      <c r="BX9348" s="214" t="e">
        <f t="shared" si="306"/>
        <v>#DIV/0!</v>
      </c>
      <c r="BY9348" s="215">
        <f t="shared" si="307"/>
        <v>0</v>
      </c>
    </row>
    <row r="9349" spans="76:77" x14ac:dyDescent="0.2">
      <c r="BX9349" s="214" t="e">
        <f t="shared" si="306"/>
        <v>#DIV/0!</v>
      </c>
      <c r="BY9349" s="215">
        <f t="shared" si="307"/>
        <v>0</v>
      </c>
    </row>
    <row r="9350" spans="76:77" x14ac:dyDescent="0.2">
      <c r="BX9350" s="214" t="e">
        <f t="shared" si="306"/>
        <v>#DIV/0!</v>
      </c>
      <c r="BY9350" s="215">
        <f t="shared" si="307"/>
        <v>0</v>
      </c>
    </row>
    <row r="9351" spans="76:77" x14ac:dyDescent="0.2">
      <c r="BX9351" s="214" t="e">
        <f t="shared" si="306"/>
        <v>#DIV/0!</v>
      </c>
      <c r="BY9351" s="215">
        <f t="shared" si="307"/>
        <v>0</v>
      </c>
    </row>
    <row r="9352" spans="76:77" x14ac:dyDescent="0.2">
      <c r="BX9352" s="214" t="e">
        <f t="shared" si="306"/>
        <v>#DIV/0!</v>
      </c>
      <c r="BY9352" s="215">
        <f t="shared" si="307"/>
        <v>0</v>
      </c>
    </row>
    <row r="9353" spans="76:77" x14ac:dyDescent="0.2">
      <c r="BX9353" s="214" t="e">
        <f t="shared" si="306"/>
        <v>#DIV/0!</v>
      </c>
      <c r="BY9353" s="215">
        <f t="shared" si="307"/>
        <v>0</v>
      </c>
    </row>
    <row r="9354" spans="76:77" x14ac:dyDescent="0.2">
      <c r="BX9354" s="214" t="e">
        <f t="shared" si="306"/>
        <v>#DIV/0!</v>
      </c>
      <c r="BY9354" s="215">
        <f t="shared" si="307"/>
        <v>0</v>
      </c>
    </row>
    <row r="9355" spans="76:77" x14ac:dyDescent="0.2">
      <c r="BX9355" s="214" t="e">
        <f t="shared" si="306"/>
        <v>#DIV/0!</v>
      </c>
      <c r="BY9355" s="215">
        <f t="shared" si="307"/>
        <v>0</v>
      </c>
    </row>
    <row r="9356" spans="76:77" x14ac:dyDescent="0.2">
      <c r="BX9356" s="214" t="e">
        <f t="shared" si="306"/>
        <v>#DIV/0!</v>
      </c>
      <c r="BY9356" s="215">
        <f t="shared" si="307"/>
        <v>0</v>
      </c>
    </row>
    <row r="9357" spans="76:77" x14ac:dyDescent="0.2">
      <c r="BX9357" s="214" t="e">
        <f t="shared" ref="BX9357:BX9420" si="308">BY9357/BV9357</f>
        <v>#DIV/0!</v>
      </c>
      <c r="BY9357" s="215">
        <f t="shared" si="307"/>
        <v>0</v>
      </c>
    </row>
    <row r="9358" spans="76:77" x14ac:dyDescent="0.2">
      <c r="BX9358" s="214" t="e">
        <f t="shared" si="308"/>
        <v>#DIV/0!</v>
      </c>
      <c r="BY9358" s="215">
        <f t="shared" ref="BY9358:BY9421" si="309">BY9357+BW9358*(BV9358-BV9357)</f>
        <v>0</v>
      </c>
    </row>
    <row r="9359" spans="76:77" x14ac:dyDescent="0.2">
      <c r="BX9359" s="214" t="e">
        <f t="shared" si="308"/>
        <v>#DIV/0!</v>
      </c>
      <c r="BY9359" s="215">
        <f t="shared" si="309"/>
        <v>0</v>
      </c>
    </row>
    <row r="9360" spans="76:77" x14ac:dyDescent="0.2">
      <c r="BX9360" s="214" t="e">
        <f t="shared" si="308"/>
        <v>#DIV/0!</v>
      </c>
      <c r="BY9360" s="215">
        <f t="shared" si="309"/>
        <v>0</v>
      </c>
    </row>
    <row r="9361" spans="76:77" x14ac:dyDescent="0.2">
      <c r="BX9361" s="214" t="e">
        <f t="shared" si="308"/>
        <v>#DIV/0!</v>
      </c>
      <c r="BY9361" s="215">
        <f t="shared" si="309"/>
        <v>0</v>
      </c>
    </row>
    <row r="9362" spans="76:77" x14ac:dyDescent="0.2">
      <c r="BX9362" s="214" t="e">
        <f t="shared" si="308"/>
        <v>#DIV/0!</v>
      </c>
      <c r="BY9362" s="215">
        <f t="shared" si="309"/>
        <v>0</v>
      </c>
    </row>
    <row r="9363" spans="76:77" x14ac:dyDescent="0.2">
      <c r="BX9363" s="214" t="e">
        <f t="shared" si="308"/>
        <v>#DIV/0!</v>
      </c>
      <c r="BY9363" s="215">
        <f t="shared" si="309"/>
        <v>0</v>
      </c>
    </row>
    <row r="9364" spans="76:77" x14ac:dyDescent="0.2">
      <c r="BX9364" s="214" t="e">
        <f t="shared" si="308"/>
        <v>#DIV/0!</v>
      </c>
      <c r="BY9364" s="215">
        <f t="shared" si="309"/>
        <v>0</v>
      </c>
    </row>
    <row r="9365" spans="76:77" x14ac:dyDescent="0.2">
      <c r="BX9365" s="214" t="e">
        <f t="shared" si="308"/>
        <v>#DIV/0!</v>
      </c>
      <c r="BY9365" s="215">
        <f t="shared" si="309"/>
        <v>0</v>
      </c>
    </row>
    <row r="9366" spans="76:77" x14ac:dyDescent="0.2">
      <c r="BX9366" s="214" t="e">
        <f t="shared" si="308"/>
        <v>#DIV/0!</v>
      </c>
      <c r="BY9366" s="215">
        <f t="shared" si="309"/>
        <v>0</v>
      </c>
    </row>
    <row r="9367" spans="76:77" x14ac:dyDescent="0.2">
      <c r="BX9367" s="214" t="e">
        <f t="shared" si="308"/>
        <v>#DIV/0!</v>
      </c>
      <c r="BY9367" s="215">
        <f t="shared" si="309"/>
        <v>0</v>
      </c>
    </row>
    <row r="9368" spans="76:77" x14ac:dyDescent="0.2">
      <c r="BX9368" s="214" t="e">
        <f t="shared" si="308"/>
        <v>#DIV/0!</v>
      </c>
      <c r="BY9368" s="215">
        <f t="shared" si="309"/>
        <v>0</v>
      </c>
    </row>
    <row r="9369" spans="76:77" x14ac:dyDescent="0.2">
      <c r="BX9369" s="214" t="e">
        <f t="shared" si="308"/>
        <v>#DIV/0!</v>
      </c>
      <c r="BY9369" s="215">
        <f t="shared" si="309"/>
        <v>0</v>
      </c>
    </row>
    <row r="9370" spans="76:77" x14ac:dyDescent="0.2">
      <c r="BX9370" s="214" t="e">
        <f t="shared" si="308"/>
        <v>#DIV/0!</v>
      </c>
      <c r="BY9370" s="215">
        <f t="shared" si="309"/>
        <v>0</v>
      </c>
    </row>
    <row r="9371" spans="76:77" x14ac:dyDescent="0.2">
      <c r="BX9371" s="214" t="e">
        <f t="shared" si="308"/>
        <v>#DIV/0!</v>
      </c>
      <c r="BY9371" s="215">
        <f t="shared" si="309"/>
        <v>0</v>
      </c>
    </row>
    <row r="9372" spans="76:77" x14ac:dyDescent="0.2">
      <c r="BX9372" s="214" t="e">
        <f t="shared" si="308"/>
        <v>#DIV/0!</v>
      </c>
      <c r="BY9372" s="215">
        <f t="shared" si="309"/>
        <v>0</v>
      </c>
    </row>
    <row r="9373" spans="76:77" x14ac:dyDescent="0.2">
      <c r="BX9373" s="214" t="e">
        <f t="shared" si="308"/>
        <v>#DIV/0!</v>
      </c>
      <c r="BY9373" s="215">
        <f t="shared" si="309"/>
        <v>0</v>
      </c>
    </row>
    <row r="9374" spans="76:77" x14ac:dyDescent="0.2">
      <c r="BX9374" s="214" t="e">
        <f t="shared" si="308"/>
        <v>#DIV/0!</v>
      </c>
      <c r="BY9374" s="215">
        <f t="shared" si="309"/>
        <v>0</v>
      </c>
    </row>
    <row r="9375" spans="76:77" x14ac:dyDescent="0.2">
      <c r="BX9375" s="214" t="e">
        <f t="shared" si="308"/>
        <v>#DIV/0!</v>
      </c>
      <c r="BY9375" s="215">
        <f t="shared" si="309"/>
        <v>0</v>
      </c>
    </row>
    <row r="9376" spans="76:77" x14ac:dyDescent="0.2">
      <c r="BX9376" s="214" t="e">
        <f t="shared" si="308"/>
        <v>#DIV/0!</v>
      </c>
      <c r="BY9376" s="215">
        <f t="shared" si="309"/>
        <v>0</v>
      </c>
    </row>
    <row r="9377" spans="76:77" x14ac:dyDescent="0.2">
      <c r="BX9377" s="214" t="e">
        <f t="shared" si="308"/>
        <v>#DIV/0!</v>
      </c>
      <c r="BY9377" s="215">
        <f t="shared" si="309"/>
        <v>0</v>
      </c>
    </row>
    <row r="9378" spans="76:77" x14ac:dyDescent="0.2">
      <c r="BX9378" s="214" t="e">
        <f t="shared" si="308"/>
        <v>#DIV/0!</v>
      </c>
      <c r="BY9378" s="215">
        <f t="shared" si="309"/>
        <v>0</v>
      </c>
    </row>
    <row r="9379" spans="76:77" x14ac:dyDescent="0.2">
      <c r="BX9379" s="214" t="e">
        <f t="shared" si="308"/>
        <v>#DIV/0!</v>
      </c>
      <c r="BY9379" s="215">
        <f t="shared" si="309"/>
        <v>0</v>
      </c>
    </row>
    <row r="9380" spans="76:77" x14ac:dyDescent="0.2">
      <c r="BX9380" s="214" t="e">
        <f t="shared" si="308"/>
        <v>#DIV/0!</v>
      </c>
      <c r="BY9380" s="215">
        <f t="shared" si="309"/>
        <v>0</v>
      </c>
    </row>
    <row r="9381" spans="76:77" x14ac:dyDescent="0.2">
      <c r="BX9381" s="214" t="e">
        <f t="shared" si="308"/>
        <v>#DIV/0!</v>
      </c>
      <c r="BY9381" s="215">
        <f t="shared" si="309"/>
        <v>0</v>
      </c>
    </row>
    <row r="9382" spans="76:77" x14ac:dyDescent="0.2">
      <c r="BX9382" s="214" t="e">
        <f t="shared" si="308"/>
        <v>#DIV/0!</v>
      </c>
      <c r="BY9382" s="215">
        <f t="shared" si="309"/>
        <v>0</v>
      </c>
    </row>
    <row r="9383" spans="76:77" x14ac:dyDescent="0.2">
      <c r="BX9383" s="214" t="e">
        <f t="shared" si="308"/>
        <v>#DIV/0!</v>
      </c>
      <c r="BY9383" s="215">
        <f t="shared" si="309"/>
        <v>0</v>
      </c>
    </row>
    <row r="9384" spans="76:77" x14ac:dyDescent="0.2">
      <c r="BX9384" s="214" t="e">
        <f t="shared" si="308"/>
        <v>#DIV/0!</v>
      </c>
      <c r="BY9384" s="215">
        <f t="shared" si="309"/>
        <v>0</v>
      </c>
    </row>
    <row r="9385" spans="76:77" x14ac:dyDescent="0.2">
      <c r="BX9385" s="214" t="e">
        <f t="shared" si="308"/>
        <v>#DIV/0!</v>
      </c>
      <c r="BY9385" s="215">
        <f t="shared" si="309"/>
        <v>0</v>
      </c>
    </row>
    <row r="9386" spans="76:77" x14ac:dyDescent="0.2">
      <c r="BX9386" s="214" t="e">
        <f t="shared" si="308"/>
        <v>#DIV/0!</v>
      </c>
      <c r="BY9386" s="215">
        <f t="shared" si="309"/>
        <v>0</v>
      </c>
    </row>
    <row r="9387" spans="76:77" x14ac:dyDescent="0.2">
      <c r="BX9387" s="214" t="e">
        <f t="shared" si="308"/>
        <v>#DIV/0!</v>
      </c>
      <c r="BY9387" s="215">
        <f t="shared" si="309"/>
        <v>0</v>
      </c>
    </row>
    <row r="9388" spans="76:77" x14ac:dyDescent="0.2">
      <c r="BX9388" s="214" t="e">
        <f t="shared" si="308"/>
        <v>#DIV/0!</v>
      </c>
      <c r="BY9388" s="215">
        <f t="shared" si="309"/>
        <v>0</v>
      </c>
    </row>
    <row r="9389" spans="76:77" x14ac:dyDescent="0.2">
      <c r="BX9389" s="214" t="e">
        <f t="shared" si="308"/>
        <v>#DIV/0!</v>
      </c>
      <c r="BY9389" s="215">
        <f t="shared" si="309"/>
        <v>0</v>
      </c>
    </row>
    <row r="9390" spans="76:77" x14ac:dyDescent="0.2">
      <c r="BX9390" s="214" t="e">
        <f t="shared" si="308"/>
        <v>#DIV/0!</v>
      </c>
      <c r="BY9390" s="215">
        <f t="shared" si="309"/>
        <v>0</v>
      </c>
    </row>
    <row r="9391" spans="76:77" x14ac:dyDescent="0.2">
      <c r="BX9391" s="214" t="e">
        <f t="shared" si="308"/>
        <v>#DIV/0!</v>
      </c>
      <c r="BY9391" s="215">
        <f t="shared" si="309"/>
        <v>0</v>
      </c>
    </row>
    <row r="9392" spans="76:77" x14ac:dyDescent="0.2">
      <c r="BX9392" s="214" t="e">
        <f t="shared" si="308"/>
        <v>#DIV/0!</v>
      </c>
      <c r="BY9392" s="215">
        <f t="shared" si="309"/>
        <v>0</v>
      </c>
    </row>
    <row r="9393" spans="76:77" x14ac:dyDescent="0.2">
      <c r="BX9393" s="214" t="e">
        <f t="shared" si="308"/>
        <v>#DIV/0!</v>
      </c>
      <c r="BY9393" s="215">
        <f t="shared" si="309"/>
        <v>0</v>
      </c>
    </row>
    <row r="9394" spans="76:77" x14ac:dyDescent="0.2">
      <c r="BX9394" s="214" t="e">
        <f t="shared" si="308"/>
        <v>#DIV/0!</v>
      </c>
      <c r="BY9394" s="215">
        <f t="shared" si="309"/>
        <v>0</v>
      </c>
    </row>
    <row r="9395" spans="76:77" x14ac:dyDescent="0.2">
      <c r="BX9395" s="214" t="e">
        <f t="shared" si="308"/>
        <v>#DIV/0!</v>
      </c>
      <c r="BY9395" s="215">
        <f t="shared" si="309"/>
        <v>0</v>
      </c>
    </row>
    <row r="9396" spans="76:77" x14ac:dyDescent="0.2">
      <c r="BX9396" s="214" t="e">
        <f t="shared" si="308"/>
        <v>#DIV/0!</v>
      </c>
      <c r="BY9396" s="215">
        <f t="shared" si="309"/>
        <v>0</v>
      </c>
    </row>
    <row r="9397" spans="76:77" x14ac:dyDescent="0.2">
      <c r="BX9397" s="214" t="e">
        <f t="shared" si="308"/>
        <v>#DIV/0!</v>
      </c>
      <c r="BY9397" s="215">
        <f t="shared" si="309"/>
        <v>0</v>
      </c>
    </row>
    <row r="9398" spans="76:77" x14ac:dyDescent="0.2">
      <c r="BX9398" s="214" t="e">
        <f t="shared" si="308"/>
        <v>#DIV/0!</v>
      </c>
      <c r="BY9398" s="215">
        <f t="shared" si="309"/>
        <v>0</v>
      </c>
    </row>
    <row r="9399" spans="76:77" x14ac:dyDescent="0.2">
      <c r="BX9399" s="214" t="e">
        <f t="shared" si="308"/>
        <v>#DIV/0!</v>
      </c>
      <c r="BY9399" s="215">
        <f t="shared" si="309"/>
        <v>0</v>
      </c>
    </row>
    <row r="9400" spans="76:77" x14ac:dyDescent="0.2">
      <c r="BX9400" s="214" t="e">
        <f t="shared" si="308"/>
        <v>#DIV/0!</v>
      </c>
      <c r="BY9400" s="215">
        <f t="shared" si="309"/>
        <v>0</v>
      </c>
    </row>
    <row r="9401" spans="76:77" x14ac:dyDescent="0.2">
      <c r="BX9401" s="214" t="e">
        <f t="shared" si="308"/>
        <v>#DIV/0!</v>
      </c>
      <c r="BY9401" s="215">
        <f t="shared" si="309"/>
        <v>0</v>
      </c>
    </row>
    <row r="9402" spans="76:77" x14ac:dyDescent="0.2">
      <c r="BX9402" s="214" t="e">
        <f t="shared" si="308"/>
        <v>#DIV/0!</v>
      </c>
      <c r="BY9402" s="215">
        <f t="shared" si="309"/>
        <v>0</v>
      </c>
    </row>
    <row r="9403" spans="76:77" x14ac:dyDescent="0.2">
      <c r="BX9403" s="214" t="e">
        <f t="shared" si="308"/>
        <v>#DIV/0!</v>
      </c>
      <c r="BY9403" s="215">
        <f t="shared" si="309"/>
        <v>0</v>
      </c>
    </row>
    <row r="9404" spans="76:77" x14ac:dyDescent="0.2">
      <c r="BX9404" s="214" t="e">
        <f t="shared" si="308"/>
        <v>#DIV/0!</v>
      </c>
      <c r="BY9404" s="215">
        <f t="shared" si="309"/>
        <v>0</v>
      </c>
    </row>
    <row r="9405" spans="76:77" x14ac:dyDescent="0.2">
      <c r="BX9405" s="214" t="e">
        <f t="shared" si="308"/>
        <v>#DIV/0!</v>
      </c>
      <c r="BY9405" s="215">
        <f t="shared" si="309"/>
        <v>0</v>
      </c>
    </row>
    <row r="9406" spans="76:77" x14ac:dyDescent="0.2">
      <c r="BX9406" s="214" t="e">
        <f t="shared" si="308"/>
        <v>#DIV/0!</v>
      </c>
      <c r="BY9406" s="215">
        <f t="shared" si="309"/>
        <v>0</v>
      </c>
    </row>
    <row r="9407" spans="76:77" x14ac:dyDescent="0.2">
      <c r="BX9407" s="214" t="e">
        <f t="shared" si="308"/>
        <v>#DIV/0!</v>
      </c>
      <c r="BY9407" s="215">
        <f t="shared" si="309"/>
        <v>0</v>
      </c>
    </row>
    <row r="9408" spans="76:77" x14ac:dyDescent="0.2">
      <c r="BX9408" s="214" t="e">
        <f t="shared" si="308"/>
        <v>#DIV/0!</v>
      </c>
      <c r="BY9408" s="215">
        <f t="shared" si="309"/>
        <v>0</v>
      </c>
    </row>
    <row r="9409" spans="76:77" x14ac:dyDescent="0.2">
      <c r="BX9409" s="214" t="e">
        <f t="shared" si="308"/>
        <v>#DIV/0!</v>
      </c>
      <c r="BY9409" s="215">
        <f t="shared" si="309"/>
        <v>0</v>
      </c>
    </row>
    <row r="9410" spans="76:77" x14ac:dyDescent="0.2">
      <c r="BX9410" s="214" t="e">
        <f t="shared" si="308"/>
        <v>#DIV/0!</v>
      </c>
      <c r="BY9410" s="215">
        <f t="shared" si="309"/>
        <v>0</v>
      </c>
    </row>
    <row r="9411" spans="76:77" x14ac:dyDescent="0.2">
      <c r="BX9411" s="214" t="e">
        <f t="shared" si="308"/>
        <v>#DIV/0!</v>
      </c>
      <c r="BY9411" s="215">
        <f t="shared" si="309"/>
        <v>0</v>
      </c>
    </row>
    <row r="9412" spans="76:77" x14ac:dyDescent="0.2">
      <c r="BX9412" s="214" t="e">
        <f t="shared" si="308"/>
        <v>#DIV/0!</v>
      </c>
      <c r="BY9412" s="215">
        <f t="shared" si="309"/>
        <v>0</v>
      </c>
    </row>
    <row r="9413" spans="76:77" x14ac:dyDescent="0.2">
      <c r="BX9413" s="214" t="e">
        <f t="shared" si="308"/>
        <v>#DIV/0!</v>
      </c>
      <c r="BY9413" s="215">
        <f t="shared" si="309"/>
        <v>0</v>
      </c>
    </row>
    <row r="9414" spans="76:77" x14ac:dyDescent="0.2">
      <c r="BX9414" s="214" t="e">
        <f t="shared" si="308"/>
        <v>#DIV/0!</v>
      </c>
      <c r="BY9414" s="215">
        <f t="shared" si="309"/>
        <v>0</v>
      </c>
    </row>
    <row r="9415" spans="76:77" x14ac:dyDescent="0.2">
      <c r="BX9415" s="214" t="e">
        <f t="shared" si="308"/>
        <v>#DIV/0!</v>
      </c>
      <c r="BY9415" s="215">
        <f t="shared" si="309"/>
        <v>0</v>
      </c>
    </row>
    <row r="9416" spans="76:77" x14ac:dyDescent="0.2">
      <c r="BX9416" s="214" t="e">
        <f t="shared" si="308"/>
        <v>#DIV/0!</v>
      </c>
      <c r="BY9416" s="215">
        <f t="shared" si="309"/>
        <v>0</v>
      </c>
    </row>
    <row r="9417" spans="76:77" x14ac:dyDescent="0.2">
      <c r="BX9417" s="214" t="e">
        <f t="shared" si="308"/>
        <v>#DIV/0!</v>
      </c>
      <c r="BY9417" s="215">
        <f t="shared" si="309"/>
        <v>0</v>
      </c>
    </row>
    <row r="9418" spans="76:77" x14ac:dyDescent="0.2">
      <c r="BX9418" s="214" t="e">
        <f t="shared" si="308"/>
        <v>#DIV/0!</v>
      </c>
      <c r="BY9418" s="215">
        <f t="shared" si="309"/>
        <v>0</v>
      </c>
    </row>
    <row r="9419" spans="76:77" x14ac:dyDescent="0.2">
      <c r="BX9419" s="214" t="e">
        <f t="shared" si="308"/>
        <v>#DIV/0!</v>
      </c>
      <c r="BY9419" s="215">
        <f t="shared" si="309"/>
        <v>0</v>
      </c>
    </row>
    <row r="9420" spans="76:77" x14ac:dyDescent="0.2">
      <c r="BX9420" s="214" t="e">
        <f t="shared" si="308"/>
        <v>#DIV/0!</v>
      </c>
      <c r="BY9420" s="215">
        <f t="shared" si="309"/>
        <v>0</v>
      </c>
    </row>
    <row r="9421" spans="76:77" x14ac:dyDescent="0.2">
      <c r="BX9421" s="214" t="e">
        <f t="shared" ref="BX9421:BX9484" si="310">BY9421/BV9421</f>
        <v>#DIV/0!</v>
      </c>
      <c r="BY9421" s="215">
        <f t="shared" si="309"/>
        <v>0</v>
      </c>
    </row>
    <row r="9422" spans="76:77" x14ac:dyDescent="0.2">
      <c r="BX9422" s="214" t="e">
        <f t="shared" si="310"/>
        <v>#DIV/0!</v>
      </c>
      <c r="BY9422" s="215">
        <f t="shared" ref="BY9422:BY9485" si="311">BY9421+BW9422*(BV9422-BV9421)</f>
        <v>0</v>
      </c>
    </row>
    <row r="9423" spans="76:77" x14ac:dyDescent="0.2">
      <c r="BX9423" s="214" t="e">
        <f t="shared" si="310"/>
        <v>#DIV/0!</v>
      </c>
      <c r="BY9423" s="215">
        <f t="shared" si="311"/>
        <v>0</v>
      </c>
    </row>
    <row r="9424" spans="76:77" x14ac:dyDescent="0.2">
      <c r="BX9424" s="214" t="e">
        <f t="shared" si="310"/>
        <v>#DIV/0!</v>
      </c>
      <c r="BY9424" s="215">
        <f t="shared" si="311"/>
        <v>0</v>
      </c>
    </row>
    <row r="9425" spans="76:77" x14ac:dyDescent="0.2">
      <c r="BX9425" s="214" t="e">
        <f t="shared" si="310"/>
        <v>#DIV/0!</v>
      </c>
      <c r="BY9425" s="215">
        <f t="shared" si="311"/>
        <v>0</v>
      </c>
    </row>
    <row r="9426" spans="76:77" x14ac:dyDescent="0.2">
      <c r="BX9426" s="214" t="e">
        <f t="shared" si="310"/>
        <v>#DIV/0!</v>
      </c>
      <c r="BY9426" s="215">
        <f t="shared" si="311"/>
        <v>0</v>
      </c>
    </row>
    <row r="9427" spans="76:77" x14ac:dyDescent="0.2">
      <c r="BX9427" s="214" t="e">
        <f t="shared" si="310"/>
        <v>#DIV/0!</v>
      </c>
      <c r="BY9427" s="215">
        <f t="shared" si="311"/>
        <v>0</v>
      </c>
    </row>
    <row r="9428" spans="76:77" x14ac:dyDescent="0.2">
      <c r="BX9428" s="214" t="e">
        <f t="shared" si="310"/>
        <v>#DIV/0!</v>
      </c>
      <c r="BY9428" s="215">
        <f t="shared" si="311"/>
        <v>0</v>
      </c>
    </row>
    <row r="9429" spans="76:77" x14ac:dyDescent="0.2">
      <c r="BX9429" s="214" t="e">
        <f t="shared" si="310"/>
        <v>#DIV/0!</v>
      </c>
      <c r="BY9429" s="215">
        <f t="shared" si="311"/>
        <v>0</v>
      </c>
    </row>
    <row r="9430" spans="76:77" x14ac:dyDescent="0.2">
      <c r="BX9430" s="214" t="e">
        <f t="shared" si="310"/>
        <v>#DIV/0!</v>
      </c>
      <c r="BY9430" s="215">
        <f t="shared" si="311"/>
        <v>0</v>
      </c>
    </row>
    <row r="9431" spans="76:77" x14ac:dyDescent="0.2">
      <c r="BX9431" s="214" t="e">
        <f t="shared" si="310"/>
        <v>#DIV/0!</v>
      </c>
      <c r="BY9431" s="215">
        <f t="shared" si="311"/>
        <v>0</v>
      </c>
    </row>
    <row r="9432" spans="76:77" x14ac:dyDescent="0.2">
      <c r="BX9432" s="214" t="e">
        <f t="shared" si="310"/>
        <v>#DIV/0!</v>
      </c>
      <c r="BY9432" s="215">
        <f t="shared" si="311"/>
        <v>0</v>
      </c>
    </row>
    <row r="9433" spans="76:77" x14ac:dyDescent="0.2">
      <c r="BX9433" s="214" t="e">
        <f t="shared" si="310"/>
        <v>#DIV/0!</v>
      </c>
      <c r="BY9433" s="215">
        <f t="shared" si="311"/>
        <v>0</v>
      </c>
    </row>
    <row r="9434" spans="76:77" x14ac:dyDescent="0.2">
      <c r="BX9434" s="214" t="e">
        <f t="shared" si="310"/>
        <v>#DIV/0!</v>
      </c>
      <c r="BY9434" s="215">
        <f t="shared" si="311"/>
        <v>0</v>
      </c>
    </row>
    <row r="9435" spans="76:77" x14ac:dyDescent="0.2">
      <c r="BX9435" s="214" t="e">
        <f t="shared" si="310"/>
        <v>#DIV/0!</v>
      </c>
      <c r="BY9435" s="215">
        <f t="shared" si="311"/>
        <v>0</v>
      </c>
    </row>
    <row r="9436" spans="76:77" x14ac:dyDescent="0.2">
      <c r="BX9436" s="214" t="e">
        <f t="shared" si="310"/>
        <v>#DIV/0!</v>
      </c>
      <c r="BY9436" s="215">
        <f t="shared" si="311"/>
        <v>0</v>
      </c>
    </row>
    <row r="9437" spans="76:77" x14ac:dyDescent="0.2">
      <c r="BX9437" s="214" t="e">
        <f t="shared" si="310"/>
        <v>#DIV/0!</v>
      </c>
      <c r="BY9437" s="215">
        <f t="shared" si="311"/>
        <v>0</v>
      </c>
    </row>
    <row r="9438" spans="76:77" x14ac:dyDescent="0.2">
      <c r="BX9438" s="214" t="e">
        <f t="shared" si="310"/>
        <v>#DIV/0!</v>
      </c>
      <c r="BY9438" s="215">
        <f t="shared" si="311"/>
        <v>0</v>
      </c>
    </row>
    <row r="9439" spans="76:77" x14ac:dyDescent="0.2">
      <c r="BX9439" s="214" t="e">
        <f t="shared" si="310"/>
        <v>#DIV/0!</v>
      </c>
      <c r="BY9439" s="215">
        <f t="shared" si="311"/>
        <v>0</v>
      </c>
    </row>
    <row r="9440" spans="76:77" x14ac:dyDescent="0.2">
      <c r="BX9440" s="214" t="e">
        <f t="shared" si="310"/>
        <v>#DIV/0!</v>
      </c>
      <c r="BY9440" s="215">
        <f t="shared" si="311"/>
        <v>0</v>
      </c>
    </row>
    <row r="9441" spans="76:77" x14ac:dyDescent="0.2">
      <c r="BX9441" s="214" t="e">
        <f t="shared" si="310"/>
        <v>#DIV/0!</v>
      </c>
      <c r="BY9441" s="215">
        <f t="shared" si="311"/>
        <v>0</v>
      </c>
    </row>
    <row r="9442" spans="76:77" x14ac:dyDescent="0.2">
      <c r="BX9442" s="214" t="e">
        <f t="shared" si="310"/>
        <v>#DIV/0!</v>
      </c>
      <c r="BY9442" s="215">
        <f t="shared" si="311"/>
        <v>0</v>
      </c>
    </row>
    <row r="9443" spans="76:77" x14ac:dyDescent="0.2">
      <c r="BX9443" s="214" t="e">
        <f t="shared" si="310"/>
        <v>#DIV/0!</v>
      </c>
      <c r="BY9443" s="215">
        <f t="shared" si="311"/>
        <v>0</v>
      </c>
    </row>
    <row r="9444" spans="76:77" x14ac:dyDescent="0.2">
      <c r="BX9444" s="214" t="e">
        <f t="shared" si="310"/>
        <v>#DIV/0!</v>
      </c>
      <c r="BY9444" s="215">
        <f t="shared" si="311"/>
        <v>0</v>
      </c>
    </row>
    <row r="9445" spans="76:77" x14ac:dyDescent="0.2">
      <c r="BX9445" s="214" t="e">
        <f t="shared" si="310"/>
        <v>#DIV/0!</v>
      </c>
      <c r="BY9445" s="215">
        <f t="shared" si="311"/>
        <v>0</v>
      </c>
    </row>
    <row r="9446" spans="76:77" x14ac:dyDescent="0.2">
      <c r="BX9446" s="214" t="e">
        <f t="shared" si="310"/>
        <v>#DIV/0!</v>
      </c>
      <c r="BY9446" s="215">
        <f t="shared" si="311"/>
        <v>0</v>
      </c>
    </row>
    <row r="9447" spans="76:77" x14ac:dyDescent="0.2">
      <c r="BX9447" s="214" t="e">
        <f t="shared" si="310"/>
        <v>#DIV/0!</v>
      </c>
      <c r="BY9447" s="215">
        <f t="shared" si="311"/>
        <v>0</v>
      </c>
    </row>
    <row r="9448" spans="76:77" x14ac:dyDescent="0.2">
      <c r="BX9448" s="214" t="e">
        <f t="shared" si="310"/>
        <v>#DIV/0!</v>
      </c>
      <c r="BY9448" s="215">
        <f t="shared" si="311"/>
        <v>0</v>
      </c>
    </row>
    <row r="9449" spans="76:77" x14ac:dyDescent="0.2">
      <c r="BX9449" s="214" t="e">
        <f t="shared" si="310"/>
        <v>#DIV/0!</v>
      </c>
      <c r="BY9449" s="215">
        <f t="shared" si="311"/>
        <v>0</v>
      </c>
    </row>
    <row r="9450" spans="76:77" x14ac:dyDescent="0.2">
      <c r="BX9450" s="214" t="e">
        <f t="shared" si="310"/>
        <v>#DIV/0!</v>
      </c>
      <c r="BY9450" s="215">
        <f t="shared" si="311"/>
        <v>0</v>
      </c>
    </row>
    <row r="9451" spans="76:77" x14ac:dyDescent="0.2">
      <c r="BX9451" s="214" t="e">
        <f t="shared" si="310"/>
        <v>#DIV/0!</v>
      </c>
      <c r="BY9451" s="215">
        <f t="shared" si="311"/>
        <v>0</v>
      </c>
    </row>
    <row r="9452" spans="76:77" x14ac:dyDescent="0.2">
      <c r="BX9452" s="214" t="e">
        <f t="shared" si="310"/>
        <v>#DIV/0!</v>
      </c>
      <c r="BY9452" s="215">
        <f t="shared" si="311"/>
        <v>0</v>
      </c>
    </row>
    <row r="9453" spans="76:77" x14ac:dyDescent="0.2">
      <c r="BX9453" s="214" t="e">
        <f t="shared" si="310"/>
        <v>#DIV/0!</v>
      </c>
      <c r="BY9453" s="215">
        <f t="shared" si="311"/>
        <v>0</v>
      </c>
    </row>
    <row r="9454" spans="76:77" x14ac:dyDescent="0.2">
      <c r="BX9454" s="214" t="e">
        <f t="shared" si="310"/>
        <v>#DIV/0!</v>
      </c>
      <c r="BY9454" s="215">
        <f t="shared" si="311"/>
        <v>0</v>
      </c>
    </row>
    <row r="9455" spans="76:77" x14ac:dyDescent="0.2">
      <c r="BX9455" s="214" t="e">
        <f t="shared" si="310"/>
        <v>#DIV/0!</v>
      </c>
      <c r="BY9455" s="215">
        <f t="shared" si="311"/>
        <v>0</v>
      </c>
    </row>
    <row r="9456" spans="76:77" x14ac:dyDescent="0.2">
      <c r="BX9456" s="214" t="e">
        <f t="shared" si="310"/>
        <v>#DIV/0!</v>
      </c>
      <c r="BY9456" s="215">
        <f t="shared" si="311"/>
        <v>0</v>
      </c>
    </row>
    <row r="9457" spans="76:77" x14ac:dyDescent="0.2">
      <c r="BX9457" s="214" t="e">
        <f t="shared" si="310"/>
        <v>#DIV/0!</v>
      </c>
      <c r="BY9457" s="215">
        <f t="shared" si="311"/>
        <v>0</v>
      </c>
    </row>
    <row r="9458" spans="76:77" x14ac:dyDescent="0.2">
      <c r="BX9458" s="214" t="e">
        <f t="shared" si="310"/>
        <v>#DIV/0!</v>
      </c>
      <c r="BY9458" s="215">
        <f t="shared" si="311"/>
        <v>0</v>
      </c>
    </row>
    <row r="9459" spans="76:77" x14ac:dyDescent="0.2">
      <c r="BX9459" s="214" t="e">
        <f t="shared" si="310"/>
        <v>#DIV/0!</v>
      </c>
      <c r="BY9459" s="215">
        <f t="shared" si="311"/>
        <v>0</v>
      </c>
    </row>
    <row r="9460" spans="76:77" x14ac:dyDescent="0.2">
      <c r="BX9460" s="214" t="e">
        <f t="shared" si="310"/>
        <v>#DIV/0!</v>
      </c>
      <c r="BY9460" s="215">
        <f t="shared" si="311"/>
        <v>0</v>
      </c>
    </row>
    <row r="9461" spans="76:77" x14ac:dyDescent="0.2">
      <c r="BX9461" s="214" t="e">
        <f t="shared" si="310"/>
        <v>#DIV/0!</v>
      </c>
      <c r="BY9461" s="215">
        <f t="shared" si="311"/>
        <v>0</v>
      </c>
    </row>
    <row r="9462" spans="76:77" x14ac:dyDescent="0.2">
      <c r="BX9462" s="214" t="e">
        <f t="shared" si="310"/>
        <v>#DIV/0!</v>
      </c>
      <c r="BY9462" s="215">
        <f t="shared" si="311"/>
        <v>0</v>
      </c>
    </row>
    <row r="9463" spans="76:77" x14ac:dyDescent="0.2">
      <c r="BX9463" s="214" t="e">
        <f t="shared" si="310"/>
        <v>#DIV/0!</v>
      </c>
      <c r="BY9463" s="215">
        <f t="shared" si="311"/>
        <v>0</v>
      </c>
    </row>
    <row r="9464" spans="76:77" x14ac:dyDescent="0.2">
      <c r="BX9464" s="214" t="e">
        <f t="shared" si="310"/>
        <v>#DIV/0!</v>
      </c>
      <c r="BY9464" s="215">
        <f t="shared" si="311"/>
        <v>0</v>
      </c>
    </row>
    <row r="9465" spans="76:77" x14ac:dyDescent="0.2">
      <c r="BX9465" s="214" t="e">
        <f t="shared" si="310"/>
        <v>#DIV/0!</v>
      </c>
      <c r="BY9465" s="215">
        <f t="shared" si="311"/>
        <v>0</v>
      </c>
    </row>
    <row r="9466" spans="76:77" x14ac:dyDescent="0.2">
      <c r="BX9466" s="214" t="e">
        <f t="shared" si="310"/>
        <v>#DIV/0!</v>
      </c>
      <c r="BY9466" s="215">
        <f t="shared" si="311"/>
        <v>0</v>
      </c>
    </row>
    <row r="9467" spans="76:77" x14ac:dyDescent="0.2">
      <c r="BX9467" s="214" t="e">
        <f t="shared" si="310"/>
        <v>#DIV/0!</v>
      </c>
      <c r="BY9467" s="215">
        <f t="shared" si="311"/>
        <v>0</v>
      </c>
    </row>
    <row r="9468" spans="76:77" x14ac:dyDescent="0.2">
      <c r="BX9468" s="214" t="e">
        <f t="shared" si="310"/>
        <v>#DIV/0!</v>
      </c>
      <c r="BY9468" s="215">
        <f t="shared" si="311"/>
        <v>0</v>
      </c>
    </row>
    <row r="9469" spans="76:77" x14ac:dyDescent="0.2">
      <c r="BX9469" s="214" t="e">
        <f t="shared" si="310"/>
        <v>#DIV/0!</v>
      </c>
      <c r="BY9469" s="215">
        <f t="shared" si="311"/>
        <v>0</v>
      </c>
    </row>
    <row r="9470" spans="76:77" x14ac:dyDescent="0.2">
      <c r="BX9470" s="214" t="e">
        <f t="shared" si="310"/>
        <v>#DIV/0!</v>
      </c>
      <c r="BY9470" s="215">
        <f t="shared" si="311"/>
        <v>0</v>
      </c>
    </row>
    <row r="9471" spans="76:77" x14ac:dyDescent="0.2">
      <c r="BX9471" s="214" t="e">
        <f t="shared" si="310"/>
        <v>#DIV/0!</v>
      </c>
      <c r="BY9471" s="215">
        <f t="shared" si="311"/>
        <v>0</v>
      </c>
    </row>
    <row r="9472" spans="76:77" x14ac:dyDescent="0.2">
      <c r="BX9472" s="214" t="e">
        <f t="shared" si="310"/>
        <v>#DIV/0!</v>
      </c>
      <c r="BY9472" s="215">
        <f t="shared" si="311"/>
        <v>0</v>
      </c>
    </row>
    <row r="9473" spans="76:77" x14ac:dyDescent="0.2">
      <c r="BX9473" s="214" t="e">
        <f t="shared" si="310"/>
        <v>#DIV/0!</v>
      </c>
      <c r="BY9473" s="215">
        <f t="shared" si="311"/>
        <v>0</v>
      </c>
    </row>
    <row r="9474" spans="76:77" x14ac:dyDescent="0.2">
      <c r="BX9474" s="214" t="e">
        <f t="shared" si="310"/>
        <v>#DIV/0!</v>
      </c>
      <c r="BY9474" s="215">
        <f t="shared" si="311"/>
        <v>0</v>
      </c>
    </row>
    <row r="9475" spans="76:77" x14ac:dyDescent="0.2">
      <c r="BX9475" s="214" t="e">
        <f t="shared" si="310"/>
        <v>#DIV/0!</v>
      </c>
      <c r="BY9475" s="215">
        <f t="shared" si="311"/>
        <v>0</v>
      </c>
    </row>
    <row r="9476" spans="76:77" x14ac:dyDescent="0.2">
      <c r="BX9476" s="214" t="e">
        <f t="shared" si="310"/>
        <v>#DIV/0!</v>
      </c>
      <c r="BY9476" s="215">
        <f t="shared" si="311"/>
        <v>0</v>
      </c>
    </row>
    <row r="9477" spans="76:77" x14ac:dyDescent="0.2">
      <c r="BX9477" s="214" t="e">
        <f t="shared" si="310"/>
        <v>#DIV/0!</v>
      </c>
      <c r="BY9477" s="215">
        <f t="shared" si="311"/>
        <v>0</v>
      </c>
    </row>
    <row r="9478" spans="76:77" x14ac:dyDescent="0.2">
      <c r="BX9478" s="214" t="e">
        <f t="shared" si="310"/>
        <v>#DIV/0!</v>
      </c>
      <c r="BY9478" s="215">
        <f t="shared" si="311"/>
        <v>0</v>
      </c>
    </row>
    <row r="9479" spans="76:77" x14ac:dyDescent="0.2">
      <c r="BX9479" s="214" t="e">
        <f t="shared" si="310"/>
        <v>#DIV/0!</v>
      </c>
      <c r="BY9479" s="215">
        <f t="shared" si="311"/>
        <v>0</v>
      </c>
    </row>
    <row r="9480" spans="76:77" x14ac:dyDescent="0.2">
      <c r="BX9480" s="214" t="e">
        <f t="shared" si="310"/>
        <v>#DIV/0!</v>
      </c>
      <c r="BY9480" s="215">
        <f t="shared" si="311"/>
        <v>0</v>
      </c>
    </row>
    <row r="9481" spans="76:77" x14ac:dyDescent="0.2">
      <c r="BX9481" s="214" t="e">
        <f t="shared" si="310"/>
        <v>#DIV/0!</v>
      </c>
      <c r="BY9481" s="215">
        <f t="shared" si="311"/>
        <v>0</v>
      </c>
    </row>
    <row r="9482" spans="76:77" x14ac:dyDescent="0.2">
      <c r="BX9482" s="214" t="e">
        <f t="shared" si="310"/>
        <v>#DIV/0!</v>
      </c>
      <c r="BY9482" s="215">
        <f t="shared" si="311"/>
        <v>0</v>
      </c>
    </row>
    <row r="9483" spans="76:77" x14ac:dyDescent="0.2">
      <c r="BX9483" s="214" t="e">
        <f t="shared" si="310"/>
        <v>#DIV/0!</v>
      </c>
      <c r="BY9483" s="215">
        <f t="shared" si="311"/>
        <v>0</v>
      </c>
    </row>
    <row r="9484" spans="76:77" x14ac:dyDescent="0.2">
      <c r="BX9484" s="214" t="e">
        <f t="shared" si="310"/>
        <v>#DIV/0!</v>
      </c>
      <c r="BY9484" s="215">
        <f t="shared" si="311"/>
        <v>0</v>
      </c>
    </row>
    <row r="9485" spans="76:77" x14ac:dyDescent="0.2">
      <c r="BX9485" s="214" t="e">
        <f t="shared" ref="BX9485:BX9548" si="312">BY9485/BV9485</f>
        <v>#DIV/0!</v>
      </c>
      <c r="BY9485" s="215">
        <f t="shared" si="311"/>
        <v>0</v>
      </c>
    </row>
    <row r="9486" spans="76:77" x14ac:dyDescent="0.2">
      <c r="BX9486" s="214" t="e">
        <f t="shared" si="312"/>
        <v>#DIV/0!</v>
      </c>
      <c r="BY9486" s="215">
        <f t="shared" ref="BY9486:BY9549" si="313">BY9485+BW9486*(BV9486-BV9485)</f>
        <v>0</v>
      </c>
    </row>
    <row r="9487" spans="76:77" x14ac:dyDescent="0.2">
      <c r="BX9487" s="214" t="e">
        <f t="shared" si="312"/>
        <v>#DIV/0!</v>
      </c>
      <c r="BY9487" s="215">
        <f t="shared" si="313"/>
        <v>0</v>
      </c>
    </row>
    <row r="9488" spans="76:77" x14ac:dyDescent="0.2">
      <c r="BX9488" s="214" t="e">
        <f t="shared" si="312"/>
        <v>#DIV/0!</v>
      </c>
      <c r="BY9488" s="215">
        <f t="shared" si="313"/>
        <v>0</v>
      </c>
    </row>
    <row r="9489" spans="76:77" x14ac:dyDescent="0.2">
      <c r="BX9489" s="214" t="e">
        <f t="shared" si="312"/>
        <v>#DIV/0!</v>
      </c>
      <c r="BY9489" s="215">
        <f t="shared" si="313"/>
        <v>0</v>
      </c>
    </row>
    <row r="9490" spans="76:77" x14ac:dyDescent="0.2">
      <c r="BX9490" s="214" t="e">
        <f t="shared" si="312"/>
        <v>#DIV/0!</v>
      </c>
      <c r="BY9490" s="215">
        <f t="shared" si="313"/>
        <v>0</v>
      </c>
    </row>
    <row r="9491" spans="76:77" x14ac:dyDescent="0.2">
      <c r="BX9491" s="214" t="e">
        <f t="shared" si="312"/>
        <v>#DIV/0!</v>
      </c>
      <c r="BY9491" s="215">
        <f t="shared" si="313"/>
        <v>0</v>
      </c>
    </row>
    <row r="9492" spans="76:77" x14ac:dyDescent="0.2">
      <c r="BX9492" s="214" t="e">
        <f t="shared" si="312"/>
        <v>#DIV/0!</v>
      </c>
      <c r="BY9492" s="215">
        <f t="shared" si="313"/>
        <v>0</v>
      </c>
    </row>
    <row r="9493" spans="76:77" x14ac:dyDescent="0.2">
      <c r="BX9493" s="214" t="e">
        <f t="shared" si="312"/>
        <v>#DIV/0!</v>
      </c>
      <c r="BY9493" s="215">
        <f t="shared" si="313"/>
        <v>0</v>
      </c>
    </row>
    <row r="9494" spans="76:77" x14ac:dyDescent="0.2">
      <c r="BX9494" s="214" t="e">
        <f t="shared" si="312"/>
        <v>#DIV/0!</v>
      </c>
      <c r="BY9494" s="215">
        <f t="shared" si="313"/>
        <v>0</v>
      </c>
    </row>
    <row r="9495" spans="76:77" x14ac:dyDescent="0.2">
      <c r="BX9495" s="214" t="e">
        <f t="shared" si="312"/>
        <v>#DIV/0!</v>
      </c>
      <c r="BY9495" s="215">
        <f t="shared" si="313"/>
        <v>0</v>
      </c>
    </row>
    <row r="9496" spans="76:77" x14ac:dyDescent="0.2">
      <c r="BX9496" s="214" t="e">
        <f t="shared" si="312"/>
        <v>#DIV/0!</v>
      </c>
      <c r="BY9496" s="215">
        <f t="shared" si="313"/>
        <v>0</v>
      </c>
    </row>
    <row r="9497" spans="76:77" x14ac:dyDescent="0.2">
      <c r="BX9497" s="214" t="e">
        <f t="shared" si="312"/>
        <v>#DIV/0!</v>
      </c>
      <c r="BY9497" s="215">
        <f t="shared" si="313"/>
        <v>0</v>
      </c>
    </row>
    <row r="9498" spans="76:77" x14ac:dyDescent="0.2">
      <c r="BX9498" s="214" t="e">
        <f t="shared" si="312"/>
        <v>#DIV/0!</v>
      </c>
      <c r="BY9498" s="215">
        <f t="shared" si="313"/>
        <v>0</v>
      </c>
    </row>
    <row r="9499" spans="76:77" x14ac:dyDescent="0.2">
      <c r="BX9499" s="214" t="e">
        <f t="shared" si="312"/>
        <v>#DIV/0!</v>
      </c>
      <c r="BY9499" s="215">
        <f t="shared" si="313"/>
        <v>0</v>
      </c>
    </row>
    <row r="9500" spans="76:77" x14ac:dyDescent="0.2">
      <c r="BX9500" s="214" t="e">
        <f t="shared" si="312"/>
        <v>#DIV/0!</v>
      </c>
      <c r="BY9500" s="215">
        <f t="shared" si="313"/>
        <v>0</v>
      </c>
    </row>
    <row r="9501" spans="76:77" x14ac:dyDescent="0.2">
      <c r="BX9501" s="214" t="e">
        <f t="shared" si="312"/>
        <v>#DIV/0!</v>
      </c>
      <c r="BY9501" s="215">
        <f t="shared" si="313"/>
        <v>0</v>
      </c>
    </row>
    <row r="9502" spans="76:77" x14ac:dyDescent="0.2">
      <c r="BX9502" s="214" t="e">
        <f t="shared" si="312"/>
        <v>#DIV/0!</v>
      </c>
      <c r="BY9502" s="215">
        <f t="shared" si="313"/>
        <v>0</v>
      </c>
    </row>
    <row r="9503" spans="76:77" x14ac:dyDescent="0.2">
      <c r="BX9503" s="214" t="e">
        <f t="shared" si="312"/>
        <v>#DIV/0!</v>
      </c>
      <c r="BY9503" s="215">
        <f t="shared" si="313"/>
        <v>0</v>
      </c>
    </row>
    <row r="9504" spans="76:77" x14ac:dyDescent="0.2">
      <c r="BX9504" s="214" t="e">
        <f t="shared" si="312"/>
        <v>#DIV/0!</v>
      </c>
      <c r="BY9504" s="215">
        <f t="shared" si="313"/>
        <v>0</v>
      </c>
    </row>
    <row r="9505" spans="76:77" x14ac:dyDescent="0.2">
      <c r="BX9505" s="214" t="e">
        <f t="shared" si="312"/>
        <v>#DIV/0!</v>
      </c>
      <c r="BY9505" s="215">
        <f t="shared" si="313"/>
        <v>0</v>
      </c>
    </row>
    <row r="9506" spans="76:77" x14ac:dyDescent="0.2">
      <c r="BX9506" s="214" t="e">
        <f t="shared" si="312"/>
        <v>#DIV/0!</v>
      </c>
      <c r="BY9506" s="215">
        <f t="shared" si="313"/>
        <v>0</v>
      </c>
    </row>
    <row r="9507" spans="76:77" x14ac:dyDescent="0.2">
      <c r="BX9507" s="214" t="e">
        <f t="shared" si="312"/>
        <v>#DIV/0!</v>
      </c>
      <c r="BY9507" s="215">
        <f t="shared" si="313"/>
        <v>0</v>
      </c>
    </row>
    <row r="9508" spans="76:77" x14ac:dyDescent="0.2">
      <c r="BX9508" s="214" t="e">
        <f t="shared" si="312"/>
        <v>#DIV/0!</v>
      </c>
      <c r="BY9508" s="215">
        <f t="shared" si="313"/>
        <v>0</v>
      </c>
    </row>
    <row r="9509" spans="76:77" x14ac:dyDescent="0.2">
      <c r="BX9509" s="214" t="e">
        <f t="shared" si="312"/>
        <v>#DIV/0!</v>
      </c>
      <c r="BY9509" s="215">
        <f t="shared" si="313"/>
        <v>0</v>
      </c>
    </row>
    <row r="9510" spans="76:77" x14ac:dyDescent="0.2">
      <c r="BX9510" s="214" t="e">
        <f t="shared" si="312"/>
        <v>#DIV/0!</v>
      </c>
      <c r="BY9510" s="215">
        <f t="shared" si="313"/>
        <v>0</v>
      </c>
    </row>
    <row r="9511" spans="76:77" x14ac:dyDescent="0.2">
      <c r="BX9511" s="214" t="e">
        <f t="shared" si="312"/>
        <v>#DIV/0!</v>
      </c>
      <c r="BY9511" s="215">
        <f t="shared" si="313"/>
        <v>0</v>
      </c>
    </row>
    <row r="9512" spans="76:77" x14ac:dyDescent="0.2">
      <c r="BX9512" s="214" t="e">
        <f t="shared" si="312"/>
        <v>#DIV/0!</v>
      </c>
      <c r="BY9512" s="215">
        <f t="shared" si="313"/>
        <v>0</v>
      </c>
    </row>
    <row r="9513" spans="76:77" x14ac:dyDescent="0.2">
      <c r="BX9513" s="214" t="e">
        <f t="shared" si="312"/>
        <v>#DIV/0!</v>
      </c>
      <c r="BY9513" s="215">
        <f t="shared" si="313"/>
        <v>0</v>
      </c>
    </row>
    <row r="9514" spans="76:77" x14ac:dyDescent="0.2">
      <c r="BX9514" s="214" t="e">
        <f t="shared" si="312"/>
        <v>#DIV/0!</v>
      </c>
      <c r="BY9514" s="215">
        <f t="shared" si="313"/>
        <v>0</v>
      </c>
    </row>
    <row r="9515" spans="76:77" x14ac:dyDescent="0.2">
      <c r="BX9515" s="214" t="e">
        <f t="shared" si="312"/>
        <v>#DIV/0!</v>
      </c>
      <c r="BY9515" s="215">
        <f t="shared" si="313"/>
        <v>0</v>
      </c>
    </row>
    <row r="9516" spans="76:77" x14ac:dyDescent="0.2">
      <c r="BX9516" s="214" t="e">
        <f t="shared" si="312"/>
        <v>#DIV/0!</v>
      </c>
      <c r="BY9516" s="215">
        <f t="shared" si="313"/>
        <v>0</v>
      </c>
    </row>
    <row r="9517" spans="76:77" x14ac:dyDescent="0.2">
      <c r="BX9517" s="214" t="e">
        <f t="shared" si="312"/>
        <v>#DIV/0!</v>
      </c>
      <c r="BY9517" s="215">
        <f t="shared" si="313"/>
        <v>0</v>
      </c>
    </row>
    <row r="9518" spans="76:77" x14ac:dyDescent="0.2">
      <c r="BX9518" s="214" t="e">
        <f t="shared" si="312"/>
        <v>#DIV/0!</v>
      </c>
      <c r="BY9518" s="215">
        <f t="shared" si="313"/>
        <v>0</v>
      </c>
    </row>
    <row r="9519" spans="76:77" x14ac:dyDescent="0.2">
      <c r="BX9519" s="214" t="e">
        <f t="shared" si="312"/>
        <v>#DIV/0!</v>
      </c>
      <c r="BY9519" s="215">
        <f t="shared" si="313"/>
        <v>0</v>
      </c>
    </row>
    <row r="9520" spans="76:77" x14ac:dyDescent="0.2">
      <c r="BX9520" s="214" t="e">
        <f t="shared" si="312"/>
        <v>#DIV/0!</v>
      </c>
      <c r="BY9520" s="215">
        <f t="shared" si="313"/>
        <v>0</v>
      </c>
    </row>
    <row r="9521" spans="76:77" x14ac:dyDescent="0.2">
      <c r="BX9521" s="214" t="e">
        <f t="shared" si="312"/>
        <v>#DIV/0!</v>
      </c>
      <c r="BY9521" s="215">
        <f t="shared" si="313"/>
        <v>0</v>
      </c>
    </row>
    <row r="9522" spans="76:77" x14ac:dyDescent="0.2">
      <c r="BX9522" s="214" t="e">
        <f t="shared" si="312"/>
        <v>#DIV/0!</v>
      </c>
      <c r="BY9522" s="215">
        <f t="shared" si="313"/>
        <v>0</v>
      </c>
    </row>
    <row r="9523" spans="76:77" x14ac:dyDescent="0.2">
      <c r="BX9523" s="214" t="e">
        <f t="shared" si="312"/>
        <v>#DIV/0!</v>
      </c>
      <c r="BY9523" s="215">
        <f t="shared" si="313"/>
        <v>0</v>
      </c>
    </row>
    <row r="9524" spans="76:77" x14ac:dyDescent="0.2">
      <c r="BX9524" s="214" t="e">
        <f t="shared" si="312"/>
        <v>#DIV/0!</v>
      </c>
      <c r="BY9524" s="215">
        <f t="shared" si="313"/>
        <v>0</v>
      </c>
    </row>
    <row r="9525" spans="76:77" x14ac:dyDescent="0.2">
      <c r="BX9525" s="214" t="e">
        <f t="shared" si="312"/>
        <v>#DIV/0!</v>
      </c>
      <c r="BY9525" s="215">
        <f t="shared" si="313"/>
        <v>0</v>
      </c>
    </row>
    <row r="9526" spans="76:77" x14ac:dyDescent="0.2">
      <c r="BX9526" s="214" t="e">
        <f t="shared" si="312"/>
        <v>#DIV/0!</v>
      </c>
      <c r="BY9526" s="215">
        <f t="shared" si="313"/>
        <v>0</v>
      </c>
    </row>
    <row r="9527" spans="76:77" x14ac:dyDescent="0.2">
      <c r="BX9527" s="214" t="e">
        <f t="shared" si="312"/>
        <v>#DIV/0!</v>
      </c>
      <c r="BY9527" s="215">
        <f t="shared" si="313"/>
        <v>0</v>
      </c>
    </row>
    <row r="9528" spans="76:77" x14ac:dyDescent="0.2">
      <c r="BX9528" s="214" t="e">
        <f t="shared" si="312"/>
        <v>#DIV/0!</v>
      </c>
      <c r="BY9528" s="215">
        <f t="shared" si="313"/>
        <v>0</v>
      </c>
    </row>
    <row r="9529" spans="76:77" x14ac:dyDescent="0.2">
      <c r="BX9529" s="214" t="e">
        <f t="shared" si="312"/>
        <v>#DIV/0!</v>
      </c>
      <c r="BY9529" s="215">
        <f t="shared" si="313"/>
        <v>0</v>
      </c>
    </row>
    <row r="9530" spans="76:77" x14ac:dyDescent="0.2">
      <c r="BX9530" s="214" t="e">
        <f t="shared" si="312"/>
        <v>#DIV/0!</v>
      </c>
      <c r="BY9530" s="215">
        <f t="shared" si="313"/>
        <v>0</v>
      </c>
    </row>
    <row r="9531" spans="76:77" x14ac:dyDescent="0.2">
      <c r="BX9531" s="214" t="e">
        <f t="shared" si="312"/>
        <v>#DIV/0!</v>
      </c>
      <c r="BY9531" s="215">
        <f t="shared" si="313"/>
        <v>0</v>
      </c>
    </row>
    <row r="9532" spans="76:77" x14ac:dyDescent="0.2">
      <c r="BX9532" s="214" t="e">
        <f t="shared" si="312"/>
        <v>#DIV/0!</v>
      </c>
      <c r="BY9532" s="215">
        <f t="shared" si="313"/>
        <v>0</v>
      </c>
    </row>
    <row r="9533" spans="76:77" x14ac:dyDescent="0.2">
      <c r="BX9533" s="214" t="e">
        <f t="shared" si="312"/>
        <v>#DIV/0!</v>
      </c>
      <c r="BY9533" s="215">
        <f t="shared" si="313"/>
        <v>0</v>
      </c>
    </row>
    <row r="9534" spans="76:77" x14ac:dyDescent="0.2">
      <c r="BX9534" s="214" t="e">
        <f t="shared" si="312"/>
        <v>#DIV/0!</v>
      </c>
      <c r="BY9534" s="215">
        <f t="shared" si="313"/>
        <v>0</v>
      </c>
    </row>
    <row r="9535" spans="76:77" x14ac:dyDescent="0.2">
      <c r="BX9535" s="214" t="e">
        <f t="shared" si="312"/>
        <v>#DIV/0!</v>
      </c>
      <c r="BY9535" s="215">
        <f t="shared" si="313"/>
        <v>0</v>
      </c>
    </row>
    <row r="9536" spans="76:77" x14ac:dyDescent="0.2">
      <c r="BX9536" s="214" t="e">
        <f t="shared" si="312"/>
        <v>#DIV/0!</v>
      </c>
      <c r="BY9536" s="215">
        <f t="shared" si="313"/>
        <v>0</v>
      </c>
    </row>
    <row r="9537" spans="76:77" x14ac:dyDescent="0.2">
      <c r="BX9537" s="214" t="e">
        <f t="shared" si="312"/>
        <v>#DIV/0!</v>
      </c>
      <c r="BY9537" s="215">
        <f t="shared" si="313"/>
        <v>0</v>
      </c>
    </row>
    <row r="9538" spans="76:77" x14ac:dyDescent="0.2">
      <c r="BX9538" s="214" t="e">
        <f t="shared" si="312"/>
        <v>#DIV/0!</v>
      </c>
      <c r="BY9538" s="215">
        <f t="shared" si="313"/>
        <v>0</v>
      </c>
    </row>
    <row r="9539" spans="76:77" x14ac:dyDescent="0.2">
      <c r="BX9539" s="214" t="e">
        <f t="shared" si="312"/>
        <v>#DIV/0!</v>
      </c>
      <c r="BY9539" s="215">
        <f t="shared" si="313"/>
        <v>0</v>
      </c>
    </row>
    <row r="9540" spans="76:77" x14ac:dyDescent="0.2">
      <c r="BX9540" s="214" t="e">
        <f t="shared" si="312"/>
        <v>#DIV/0!</v>
      </c>
      <c r="BY9540" s="215">
        <f t="shared" si="313"/>
        <v>0</v>
      </c>
    </row>
    <row r="9541" spans="76:77" x14ac:dyDescent="0.2">
      <c r="BX9541" s="214" t="e">
        <f t="shared" si="312"/>
        <v>#DIV/0!</v>
      </c>
      <c r="BY9541" s="215">
        <f t="shared" si="313"/>
        <v>0</v>
      </c>
    </row>
    <row r="9542" spans="76:77" x14ac:dyDescent="0.2">
      <c r="BX9542" s="214" t="e">
        <f t="shared" si="312"/>
        <v>#DIV/0!</v>
      </c>
      <c r="BY9542" s="215">
        <f t="shared" si="313"/>
        <v>0</v>
      </c>
    </row>
    <row r="9543" spans="76:77" x14ac:dyDescent="0.2">
      <c r="BX9543" s="214" t="e">
        <f t="shared" si="312"/>
        <v>#DIV/0!</v>
      </c>
      <c r="BY9543" s="215">
        <f t="shared" si="313"/>
        <v>0</v>
      </c>
    </row>
    <row r="9544" spans="76:77" x14ac:dyDescent="0.2">
      <c r="BX9544" s="214" t="e">
        <f t="shared" si="312"/>
        <v>#DIV/0!</v>
      </c>
      <c r="BY9544" s="215">
        <f t="shared" si="313"/>
        <v>0</v>
      </c>
    </row>
    <row r="9545" spans="76:77" x14ac:dyDescent="0.2">
      <c r="BX9545" s="214" t="e">
        <f t="shared" si="312"/>
        <v>#DIV/0!</v>
      </c>
      <c r="BY9545" s="215">
        <f t="shared" si="313"/>
        <v>0</v>
      </c>
    </row>
    <row r="9546" spans="76:77" x14ac:dyDescent="0.2">
      <c r="BX9546" s="214" t="e">
        <f t="shared" si="312"/>
        <v>#DIV/0!</v>
      </c>
      <c r="BY9546" s="215">
        <f t="shared" si="313"/>
        <v>0</v>
      </c>
    </row>
    <row r="9547" spans="76:77" x14ac:dyDescent="0.2">
      <c r="BX9547" s="214" t="e">
        <f t="shared" si="312"/>
        <v>#DIV/0!</v>
      </c>
      <c r="BY9547" s="215">
        <f t="shared" si="313"/>
        <v>0</v>
      </c>
    </row>
    <row r="9548" spans="76:77" x14ac:dyDescent="0.2">
      <c r="BX9548" s="214" t="e">
        <f t="shared" si="312"/>
        <v>#DIV/0!</v>
      </c>
      <c r="BY9548" s="215">
        <f t="shared" si="313"/>
        <v>0</v>
      </c>
    </row>
    <row r="9549" spans="76:77" x14ac:dyDescent="0.2">
      <c r="BX9549" s="214" t="e">
        <f t="shared" ref="BX9549:BX9612" si="314">BY9549/BV9549</f>
        <v>#DIV/0!</v>
      </c>
      <c r="BY9549" s="215">
        <f t="shared" si="313"/>
        <v>0</v>
      </c>
    </row>
    <row r="9550" spans="76:77" x14ac:dyDescent="0.2">
      <c r="BX9550" s="214" t="e">
        <f t="shared" si="314"/>
        <v>#DIV/0!</v>
      </c>
      <c r="BY9550" s="215">
        <f t="shared" ref="BY9550:BY9613" si="315">BY9549+BW9550*(BV9550-BV9549)</f>
        <v>0</v>
      </c>
    </row>
    <row r="9551" spans="76:77" x14ac:dyDescent="0.2">
      <c r="BX9551" s="214" t="e">
        <f t="shared" si="314"/>
        <v>#DIV/0!</v>
      </c>
      <c r="BY9551" s="215">
        <f t="shared" si="315"/>
        <v>0</v>
      </c>
    </row>
    <row r="9552" spans="76:77" x14ac:dyDescent="0.2">
      <c r="BX9552" s="214" t="e">
        <f t="shared" si="314"/>
        <v>#DIV/0!</v>
      </c>
      <c r="BY9552" s="215">
        <f t="shared" si="315"/>
        <v>0</v>
      </c>
    </row>
    <row r="9553" spans="76:77" x14ac:dyDescent="0.2">
      <c r="BX9553" s="214" t="e">
        <f t="shared" si="314"/>
        <v>#DIV/0!</v>
      </c>
      <c r="BY9553" s="215">
        <f t="shared" si="315"/>
        <v>0</v>
      </c>
    </row>
    <row r="9554" spans="76:77" x14ac:dyDescent="0.2">
      <c r="BX9554" s="214" t="e">
        <f t="shared" si="314"/>
        <v>#DIV/0!</v>
      </c>
      <c r="BY9554" s="215">
        <f t="shared" si="315"/>
        <v>0</v>
      </c>
    </row>
    <row r="9555" spans="76:77" x14ac:dyDescent="0.2">
      <c r="BX9555" s="214" t="e">
        <f t="shared" si="314"/>
        <v>#DIV/0!</v>
      </c>
      <c r="BY9555" s="215">
        <f t="shared" si="315"/>
        <v>0</v>
      </c>
    </row>
    <row r="9556" spans="76:77" x14ac:dyDescent="0.2">
      <c r="BX9556" s="214" t="e">
        <f t="shared" si="314"/>
        <v>#DIV/0!</v>
      </c>
      <c r="BY9556" s="215">
        <f t="shared" si="315"/>
        <v>0</v>
      </c>
    </row>
    <row r="9557" spans="76:77" x14ac:dyDescent="0.2">
      <c r="BX9557" s="214" t="e">
        <f t="shared" si="314"/>
        <v>#DIV/0!</v>
      </c>
      <c r="BY9557" s="215">
        <f t="shared" si="315"/>
        <v>0</v>
      </c>
    </row>
    <row r="9558" spans="76:77" x14ac:dyDescent="0.2">
      <c r="BX9558" s="214" t="e">
        <f t="shared" si="314"/>
        <v>#DIV/0!</v>
      </c>
      <c r="BY9558" s="215">
        <f t="shared" si="315"/>
        <v>0</v>
      </c>
    </row>
    <row r="9559" spans="76:77" x14ac:dyDescent="0.2">
      <c r="BX9559" s="214" t="e">
        <f t="shared" si="314"/>
        <v>#DIV/0!</v>
      </c>
      <c r="BY9559" s="215">
        <f t="shared" si="315"/>
        <v>0</v>
      </c>
    </row>
    <row r="9560" spans="76:77" x14ac:dyDescent="0.2">
      <c r="BX9560" s="214" t="e">
        <f t="shared" si="314"/>
        <v>#DIV/0!</v>
      </c>
      <c r="BY9560" s="215">
        <f t="shared" si="315"/>
        <v>0</v>
      </c>
    </row>
    <row r="9561" spans="76:77" x14ac:dyDescent="0.2">
      <c r="BX9561" s="214" t="e">
        <f t="shared" si="314"/>
        <v>#DIV/0!</v>
      </c>
      <c r="BY9561" s="215">
        <f t="shared" si="315"/>
        <v>0</v>
      </c>
    </row>
    <row r="9562" spans="76:77" x14ac:dyDescent="0.2">
      <c r="BX9562" s="214" t="e">
        <f t="shared" si="314"/>
        <v>#DIV/0!</v>
      </c>
      <c r="BY9562" s="215">
        <f t="shared" si="315"/>
        <v>0</v>
      </c>
    </row>
    <row r="9563" spans="76:77" x14ac:dyDescent="0.2">
      <c r="BX9563" s="214" t="e">
        <f t="shared" si="314"/>
        <v>#DIV/0!</v>
      </c>
      <c r="BY9563" s="215">
        <f t="shared" si="315"/>
        <v>0</v>
      </c>
    </row>
    <row r="9564" spans="76:77" x14ac:dyDescent="0.2">
      <c r="BX9564" s="214" t="e">
        <f t="shared" si="314"/>
        <v>#DIV/0!</v>
      </c>
      <c r="BY9564" s="215">
        <f t="shared" si="315"/>
        <v>0</v>
      </c>
    </row>
    <row r="9565" spans="76:77" x14ac:dyDescent="0.2">
      <c r="BX9565" s="214" t="e">
        <f t="shared" si="314"/>
        <v>#DIV/0!</v>
      </c>
      <c r="BY9565" s="215">
        <f t="shared" si="315"/>
        <v>0</v>
      </c>
    </row>
    <row r="9566" spans="76:77" x14ac:dyDescent="0.2">
      <c r="BX9566" s="214" t="e">
        <f t="shared" si="314"/>
        <v>#DIV/0!</v>
      </c>
      <c r="BY9566" s="215">
        <f t="shared" si="315"/>
        <v>0</v>
      </c>
    </row>
    <row r="9567" spans="76:77" x14ac:dyDescent="0.2">
      <c r="BX9567" s="214" t="e">
        <f t="shared" si="314"/>
        <v>#DIV/0!</v>
      </c>
      <c r="BY9567" s="215">
        <f t="shared" si="315"/>
        <v>0</v>
      </c>
    </row>
    <row r="9568" spans="76:77" x14ac:dyDescent="0.2">
      <c r="BX9568" s="214" t="e">
        <f t="shared" si="314"/>
        <v>#DIV/0!</v>
      </c>
      <c r="BY9568" s="215">
        <f t="shared" si="315"/>
        <v>0</v>
      </c>
    </row>
    <row r="9569" spans="76:77" x14ac:dyDescent="0.2">
      <c r="BX9569" s="214" t="e">
        <f t="shared" si="314"/>
        <v>#DIV/0!</v>
      </c>
      <c r="BY9569" s="215">
        <f t="shared" si="315"/>
        <v>0</v>
      </c>
    </row>
    <row r="9570" spans="76:77" x14ac:dyDescent="0.2">
      <c r="BX9570" s="214" t="e">
        <f t="shared" si="314"/>
        <v>#DIV/0!</v>
      </c>
      <c r="BY9570" s="215">
        <f t="shared" si="315"/>
        <v>0</v>
      </c>
    </row>
    <row r="9571" spans="76:77" x14ac:dyDescent="0.2">
      <c r="BX9571" s="214" t="e">
        <f t="shared" si="314"/>
        <v>#DIV/0!</v>
      </c>
      <c r="BY9571" s="215">
        <f t="shared" si="315"/>
        <v>0</v>
      </c>
    </row>
    <row r="9572" spans="76:77" x14ac:dyDescent="0.2">
      <c r="BX9572" s="214" t="e">
        <f t="shared" si="314"/>
        <v>#DIV/0!</v>
      </c>
      <c r="BY9572" s="215">
        <f t="shared" si="315"/>
        <v>0</v>
      </c>
    </row>
    <row r="9573" spans="76:77" x14ac:dyDescent="0.2">
      <c r="BX9573" s="214" t="e">
        <f t="shared" si="314"/>
        <v>#DIV/0!</v>
      </c>
      <c r="BY9573" s="215">
        <f t="shared" si="315"/>
        <v>0</v>
      </c>
    </row>
    <row r="9574" spans="76:77" x14ac:dyDescent="0.2">
      <c r="BX9574" s="214" t="e">
        <f t="shared" si="314"/>
        <v>#DIV/0!</v>
      </c>
      <c r="BY9574" s="215">
        <f t="shared" si="315"/>
        <v>0</v>
      </c>
    </row>
    <row r="9575" spans="76:77" x14ac:dyDescent="0.2">
      <c r="BX9575" s="214" t="e">
        <f t="shared" si="314"/>
        <v>#DIV/0!</v>
      </c>
      <c r="BY9575" s="215">
        <f t="shared" si="315"/>
        <v>0</v>
      </c>
    </row>
    <row r="9576" spans="76:77" x14ac:dyDescent="0.2">
      <c r="BX9576" s="214" t="e">
        <f t="shared" si="314"/>
        <v>#DIV/0!</v>
      </c>
      <c r="BY9576" s="215">
        <f t="shared" si="315"/>
        <v>0</v>
      </c>
    </row>
    <row r="9577" spans="76:77" x14ac:dyDescent="0.2">
      <c r="BX9577" s="214" t="e">
        <f t="shared" si="314"/>
        <v>#DIV/0!</v>
      </c>
      <c r="BY9577" s="215">
        <f t="shared" si="315"/>
        <v>0</v>
      </c>
    </row>
    <row r="9578" spans="76:77" x14ac:dyDescent="0.2">
      <c r="BX9578" s="214" t="e">
        <f t="shared" si="314"/>
        <v>#DIV/0!</v>
      </c>
      <c r="BY9578" s="215">
        <f t="shared" si="315"/>
        <v>0</v>
      </c>
    </row>
    <row r="9579" spans="76:77" x14ac:dyDescent="0.2">
      <c r="BX9579" s="214" t="e">
        <f t="shared" si="314"/>
        <v>#DIV/0!</v>
      </c>
      <c r="BY9579" s="215">
        <f t="shared" si="315"/>
        <v>0</v>
      </c>
    </row>
    <row r="9580" spans="76:77" x14ac:dyDescent="0.2">
      <c r="BX9580" s="214" t="e">
        <f t="shared" si="314"/>
        <v>#DIV/0!</v>
      </c>
      <c r="BY9580" s="215">
        <f t="shared" si="315"/>
        <v>0</v>
      </c>
    </row>
    <row r="9581" spans="76:77" x14ac:dyDescent="0.2">
      <c r="BX9581" s="214" t="e">
        <f t="shared" si="314"/>
        <v>#DIV/0!</v>
      </c>
      <c r="BY9581" s="215">
        <f t="shared" si="315"/>
        <v>0</v>
      </c>
    </row>
    <row r="9582" spans="76:77" x14ac:dyDescent="0.2">
      <c r="BX9582" s="214" t="e">
        <f t="shared" si="314"/>
        <v>#DIV/0!</v>
      </c>
      <c r="BY9582" s="215">
        <f t="shared" si="315"/>
        <v>0</v>
      </c>
    </row>
    <row r="9583" spans="76:77" x14ac:dyDescent="0.2">
      <c r="BX9583" s="214" t="e">
        <f t="shared" si="314"/>
        <v>#DIV/0!</v>
      </c>
      <c r="BY9583" s="215">
        <f t="shared" si="315"/>
        <v>0</v>
      </c>
    </row>
    <row r="9584" spans="76:77" x14ac:dyDescent="0.2">
      <c r="BX9584" s="214" t="e">
        <f t="shared" si="314"/>
        <v>#DIV/0!</v>
      </c>
      <c r="BY9584" s="215">
        <f t="shared" si="315"/>
        <v>0</v>
      </c>
    </row>
    <row r="9585" spans="76:77" x14ac:dyDescent="0.2">
      <c r="BX9585" s="214" t="e">
        <f t="shared" si="314"/>
        <v>#DIV/0!</v>
      </c>
      <c r="BY9585" s="215">
        <f t="shared" si="315"/>
        <v>0</v>
      </c>
    </row>
    <row r="9586" spans="76:77" x14ac:dyDescent="0.2">
      <c r="BX9586" s="214" t="e">
        <f t="shared" si="314"/>
        <v>#DIV/0!</v>
      </c>
      <c r="BY9586" s="215">
        <f t="shared" si="315"/>
        <v>0</v>
      </c>
    </row>
    <row r="9587" spans="76:77" x14ac:dyDescent="0.2">
      <c r="BX9587" s="214" t="e">
        <f t="shared" si="314"/>
        <v>#DIV/0!</v>
      </c>
      <c r="BY9587" s="215">
        <f t="shared" si="315"/>
        <v>0</v>
      </c>
    </row>
    <row r="9588" spans="76:77" x14ac:dyDescent="0.2">
      <c r="BX9588" s="214" t="e">
        <f t="shared" si="314"/>
        <v>#DIV/0!</v>
      </c>
      <c r="BY9588" s="215">
        <f t="shared" si="315"/>
        <v>0</v>
      </c>
    </row>
    <row r="9589" spans="76:77" x14ac:dyDescent="0.2">
      <c r="BX9589" s="214" t="e">
        <f t="shared" si="314"/>
        <v>#DIV/0!</v>
      </c>
      <c r="BY9589" s="215">
        <f t="shared" si="315"/>
        <v>0</v>
      </c>
    </row>
    <row r="9590" spans="76:77" x14ac:dyDescent="0.2">
      <c r="BX9590" s="214" t="e">
        <f t="shared" si="314"/>
        <v>#DIV/0!</v>
      </c>
      <c r="BY9590" s="215">
        <f t="shared" si="315"/>
        <v>0</v>
      </c>
    </row>
    <row r="9591" spans="76:77" x14ac:dyDescent="0.2">
      <c r="BX9591" s="214" t="e">
        <f t="shared" si="314"/>
        <v>#DIV/0!</v>
      </c>
      <c r="BY9591" s="215">
        <f t="shared" si="315"/>
        <v>0</v>
      </c>
    </row>
    <row r="9592" spans="76:77" x14ac:dyDescent="0.2">
      <c r="BX9592" s="214" t="e">
        <f t="shared" si="314"/>
        <v>#DIV/0!</v>
      </c>
      <c r="BY9592" s="215">
        <f t="shared" si="315"/>
        <v>0</v>
      </c>
    </row>
    <row r="9593" spans="76:77" x14ac:dyDescent="0.2">
      <c r="BX9593" s="214" t="e">
        <f t="shared" si="314"/>
        <v>#DIV/0!</v>
      </c>
      <c r="BY9593" s="215">
        <f t="shared" si="315"/>
        <v>0</v>
      </c>
    </row>
    <row r="9594" spans="76:77" x14ac:dyDescent="0.2">
      <c r="BX9594" s="214" t="e">
        <f t="shared" si="314"/>
        <v>#DIV/0!</v>
      </c>
      <c r="BY9594" s="215">
        <f t="shared" si="315"/>
        <v>0</v>
      </c>
    </row>
    <row r="9595" spans="76:77" x14ac:dyDescent="0.2">
      <c r="BX9595" s="214" t="e">
        <f t="shared" si="314"/>
        <v>#DIV/0!</v>
      </c>
      <c r="BY9595" s="215">
        <f t="shared" si="315"/>
        <v>0</v>
      </c>
    </row>
    <row r="9596" spans="76:77" x14ac:dyDescent="0.2">
      <c r="BX9596" s="214" t="e">
        <f t="shared" si="314"/>
        <v>#DIV/0!</v>
      </c>
      <c r="BY9596" s="215">
        <f t="shared" si="315"/>
        <v>0</v>
      </c>
    </row>
    <row r="9597" spans="76:77" x14ac:dyDescent="0.2">
      <c r="BX9597" s="214" t="e">
        <f t="shared" si="314"/>
        <v>#DIV/0!</v>
      </c>
      <c r="BY9597" s="215">
        <f t="shared" si="315"/>
        <v>0</v>
      </c>
    </row>
    <row r="9598" spans="76:77" x14ac:dyDescent="0.2">
      <c r="BX9598" s="214" t="e">
        <f t="shared" si="314"/>
        <v>#DIV/0!</v>
      </c>
      <c r="BY9598" s="215">
        <f t="shared" si="315"/>
        <v>0</v>
      </c>
    </row>
    <row r="9599" spans="76:77" x14ac:dyDescent="0.2">
      <c r="BX9599" s="214" t="e">
        <f t="shared" si="314"/>
        <v>#DIV/0!</v>
      </c>
      <c r="BY9599" s="215">
        <f t="shared" si="315"/>
        <v>0</v>
      </c>
    </row>
    <row r="9600" spans="76:77" x14ac:dyDescent="0.2">
      <c r="BX9600" s="214" t="e">
        <f t="shared" si="314"/>
        <v>#DIV/0!</v>
      </c>
      <c r="BY9600" s="215">
        <f t="shared" si="315"/>
        <v>0</v>
      </c>
    </row>
    <row r="9601" spans="76:77" x14ac:dyDescent="0.2">
      <c r="BX9601" s="214" t="e">
        <f t="shared" si="314"/>
        <v>#DIV/0!</v>
      </c>
      <c r="BY9601" s="215">
        <f t="shared" si="315"/>
        <v>0</v>
      </c>
    </row>
    <row r="9602" spans="76:77" x14ac:dyDescent="0.2">
      <c r="BX9602" s="214" t="e">
        <f t="shared" si="314"/>
        <v>#DIV/0!</v>
      </c>
      <c r="BY9602" s="215">
        <f t="shared" si="315"/>
        <v>0</v>
      </c>
    </row>
    <row r="9603" spans="76:77" x14ac:dyDescent="0.2">
      <c r="BX9603" s="214" t="e">
        <f t="shared" si="314"/>
        <v>#DIV/0!</v>
      </c>
      <c r="BY9603" s="215">
        <f t="shared" si="315"/>
        <v>0</v>
      </c>
    </row>
    <row r="9604" spans="76:77" x14ac:dyDescent="0.2">
      <c r="BX9604" s="214" t="e">
        <f t="shared" si="314"/>
        <v>#DIV/0!</v>
      </c>
      <c r="BY9604" s="215">
        <f t="shared" si="315"/>
        <v>0</v>
      </c>
    </row>
    <row r="9605" spans="76:77" x14ac:dyDescent="0.2">
      <c r="BX9605" s="214" t="e">
        <f t="shared" si="314"/>
        <v>#DIV/0!</v>
      </c>
      <c r="BY9605" s="215">
        <f t="shared" si="315"/>
        <v>0</v>
      </c>
    </row>
    <row r="9606" spans="76:77" x14ac:dyDescent="0.2">
      <c r="BX9606" s="214" t="e">
        <f t="shared" si="314"/>
        <v>#DIV/0!</v>
      </c>
      <c r="BY9606" s="215">
        <f t="shared" si="315"/>
        <v>0</v>
      </c>
    </row>
    <row r="9607" spans="76:77" x14ac:dyDescent="0.2">
      <c r="BX9607" s="214" t="e">
        <f t="shared" si="314"/>
        <v>#DIV/0!</v>
      </c>
      <c r="BY9607" s="215">
        <f t="shared" si="315"/>
        <v>0</v>
      </c>
    </row>
    <row r="9608" spans="76:77" x14ac:dyDescent="0.2">
      <c r="BX9608" s="214" t="e">
        <f t="shared" si="314"/>
        <v>#DIV/0!</v>
      </c>
      <c r="BY9608" s="215">
        <f t="shared" si="315"/>
        <v>0</v>
      </c>
    </row>
    <row r="9609" spans="76:77" x14ac:dyDescent="0.2">
      <c r="BX9609" s="214" t="e">
        <f t="shared" si="314"/>
        <v>#DIV/0!</v>
      </c>
      <c r="BY9609" s="215">
        <f t="shared" si="315"/>
        <v>0</v>
      </c>
    </row>
    <row r="9610" spans="76:77" x14ac:dyDescent="0.2">
      <c r="BX9610" s="214" t="e">
        <f t="shared" si="314"/>
        <v>#DIV/0!</v>
      </c>
      <c r="BY9610" s="215">
        <f t="shared" si="315"/>
        <v>0</v>
      </c>
    </row>
    <row r="9611" spans="76:77" x14ac:dyDescent="0.2">
      <c r="BX9611" s="214" t="e">
        <f t="shared" si="314"/>
        <v>#DIV/0!</v>
      </c>
      <c r="BY9611" s="215">
        <f t="shared" si="315"/>
        <v>0</v>
      </c>
    </row>
    <row r="9612" spans="76:77" x14ac:dyDescent="0.2">
      <c r="BX9612" s="214" t="e">
        <f t="shared" si="314"/>
        <v>#DIV/0!</v>
      </c>
      <c r="BY9612" s="215">
        <f t="shared" si="315"/>
        <v>0</v>
      </c>
    </row>
    <row r="9613" spans="76:77" x14ac:dyDescent="0.2">
      <c r="BX9613" s="214" t="e">
        <f t="shared" ref="BX9613:BX9676" si="316">BY9613/BV9613</f>
        <v>#DIV/0!</v>
      </c>
      <c r="BY9613" s="215">
        <f t="shared" si="315"/>
        <v>0</v>
      </c>
    </row>
    <row r="9614" spans="76:77" x14ac:dyDescent="0.2">
      <c r="BX9614" s="214" t="e">
        <f t="shared" si="316"/>
        <v>#DIV/0!</v>
      </c>
      <c r="BY9614" s="215">
        <f t="shared" ref="BY9614:BY9677" si="317">BY9613+BW9614*(BV9614-BV9613)</f>
        <v>0</v>
      </c>
    </row>
    <row r="9615" spans="76:77" x14ac:dyDescent="0.2">
      <c r="BX9615" s="214" t="e">
        <f t="shared" si="316"/>
        <v>#DIV/0!</v>
      </c>
      <c r="BY9615" s="215">
        <f t="shared" si="317"/>
        <v>0</v>
      </c>
    </row>
    <row r="9616" spans="76:77" x14ac:dyDescent="0.2">
      <c r="BX9616" s="214" t="e">
        <f t="shared" si="316"/>
        <v>#DIV/0!</v>
      </c>
      <c r="BY9616" s="215">
        <f t="shared" si="317"/>
        <v>0</v>
      </c>
    </row>
    <row r="9617" spans="76:77" x14ac:dyDescent="0.2">
      <c r="BX9617" s="214" t="e">
        <f t="shared" si="316"/>
        <v>#DIV/0!</v>
      </c>
      <c r="BY9617" s="215">
        <f t="shared" si="317"/>
        <v>0</v>
      </c>
    </row>
    <row r="9618" spans="76:77" x14ac:dyDescent="0.2">
      <c r="BX9618" s="214" t="e">
        <f t="shared" si="316"/>
        <v>#DIV/0!</v>
      </c>
      <c r="BY9618" s="215">
        <f t="shared" si="317"/>
        <v>0</v>
      </c>
    </row>
    <row r="9619" spans="76:77" x14ac:dyDescent="0.2">
      <c r="BX9619" s="214" t="e">
        <f t="shared" si="316"/>
        <v>#DIV/0!</v>
      </c>
      <c r="BY9619" s="215">
        <f t="shared" si="317"/>
        <v>0</v>
      </c>
    </row>
    <row r="9620" spans="76:77" x14ac:dyDescent="0.2">
      <c r="BX9620" s="214" t="e">
        <f t="shared" si="316"/>
        <v>#DIV/0!</v>
      </c>
      <c r="BY9620" s="215">
        <f t="shared" si="317"/>
        <v>0</v>
      </c>
    </row>
    <row r="9621" spans="76:77" x14ac:dyDescent="0.2">
      <c r="BX9621" s="214" t="e">
        <f t="shared" si="316"/>
        <v>#DIV/0!</v>
      </c>
      <c r="BY9621" s="215">
        <f t="shared" si="317"/>
        <v>0</v>
      </c>
    </row>
    <row r="9622" spans="76:77" x14ac:dyDescent="0.2">
      <c r="BX9622" s="214" t="e">
        <f t="shared" si="316"/>
        <v>#DIV/0!</v>
      </c>
      <c r="BY9622" s="215">
        <f t="shared" si="317"/>
        <v>0</v>
      </c>
    </row>
    <row r="9623" spans="76:77" x14ac:dyDescent="0.2">
      <c r="BX9623" s="214" t="e">
        <f t="shared" si="316"/>
        <v>#DIV/0!</v>
      </c>
      <c r="BY9623" s="215">
        <f t="shared" si="317"/>
        <v>0</v>
      </c>
    </row>
    <row r="9624" spans="76:77" x14ac:dyDescent="0.2">
      <c r="BX9624" s="214" t="e">
        <f t="shared" si="316"/>
        <v>#DIV/0!</v>
      </c>
      <c r="BY9624" s="215">
        <f t="shared" si="317"/>
        <v>0</v>
      </c>
    </row>
    <row r="9625" spans="76:77" x14ac:dyDescent="0.2">
      <c r="BX9625" s="214" t="e">
        <f t="shared" si="316"/>
        <v>#DIV/0!</v>
      </c>
      <c r="BY9625" s="215">
        <f t="shared" si="317"/>
        <v>0</v>
      </c>
    </row>
    <row r="9626" spans="76:77" x14ac:dyDescent="0.2">
      <c r="BX9626" s="214" t="e">
        <f t="shared" si="316"/>
        <v>#DIV/0!</v>
      </c>
      <c r="BY9626" s="215">
        <f t="shared" si="317"/>
        <v>0</v>
      </c>
    </row>
    <row r="9627" spans="76:77" x14ac:dyDescent="0.2">
      <c r="BX9627" s="214" t="e">
        <f t="shared" si="316"/>
        <v>#DIV/0!</v>
      </c>
      <c r="BY9627" s="215">
        <f t="shared" si="317"/>
        <v>0</v>
      </c>
    </row>
    <row r="9628" spans="76:77" x14ac:dyDescent="0.2">
      <c r="BX9628" s="214" t="e">
        <f t="shared" si="316"/>
        <v>#DIV/0!</v>
      </c>
      <c r="BY9628" s="215">
        <f t="shared" si="317"/>
        <v>0</v>
      </c>
    </row>
    <row r="9629" spans="76:77" x14ac:dyDescent="0.2">
      <c r="BX9629" s="214" t="e">
        <f t="shared" si="316"/>
        <v>#DIV/0!</v>
      </c>
      <c r="BY9629" s="215">
        <f t="shared" si="317"/>
        <v>0</v>
      </c>
    </row>
    <row r="9630" spans="76:77" x14ac:dyDescent="0.2">
      <c r="BX9630" s="214" t="e">
        <f t="shared" si="316"/>
        <v>#DIV/0!</v>
      </c>
      <c r="BY9630" s="215">
        <f t="shared" si="317"/>
        <v>0</v>
      </c>
    </row>
    <row r="9631" spans="76:77" x14ac:dyDescent="0.2">
      <c r="BX9631" s="214" t="e">
        <f t="shared" si="316"/>
        <v>#DIV/0!</v>
      </c>
      <c r="BY9631" s="215">
        <f t="shared" si="317"/>
        <v>0</v>
      </c>
    </row>
    <row r="9632" spans="76:77" x14ac:dyDescent="0.2">
      <c r="BX9632" s="214" t="e">
        <f t="shared" si="316"/>
        <v>#DIV/0!</v>
      </c>
      <c r="BY9632" s="215">
        <f t="shared" si="317"/>
        <v>0</v>
      </c>
    </row>
    <row r="9633" spans="76:77" x14ac:dyDescent="0.2">
      <c r="BX9633" s="214" t="e">
        <f t="shared" si="316"/>
        <v>#DIV/0!</v>
      </c>
      <c r="BY9633" s="215">
        <f t="shared" si="317"/>
        <v>0</v>
      </c>
    </row>
    <row r="9634" spans="76:77" x14ac:dyDescent="0.2">
      <c r="BX9634" s="214" t="e">
        <f t="shared" si="316"/>
        <v>#DIV/0!</v>
      </c>
      <c r="BY9634" s="215">
        <f t="shared" si="317"/>
        <v>0</v>
      </c>
    </row>
    <row r="9635" spans="76:77" x14ac:dyDescent="0.2">
      <c r="BX9635" s="214" t="e">
        <f t="shared" si="316"/>
        <v>#DIV/0!</v>
      </c>
      <c r="BY9635" s="215">
        <f t="shared" si="317"/>
        <v>0</v>
      </c>
    </row>
    <row r="9636" spans="76:77" x14ac:dyDescent="0.2">
      <c r="BX9636" s="214" t="e">
        <f t="shared" si="316"/>
        <v>#DIV/0!</v>
      </c>
      <c r="BY9636" s="215">
        <f t="shared" si="317"/>
        <v>0</v>
      </c>
    </row>
    <row r="9637" spans="76:77" x14ac:dyDescent="0.2">
      <c r="BX9637" s="214" t="e">
        <f t="shared" si="316"/>
        <v>#DIV/0!</v>
      </c>
      <c r="BY9637" s="215">
        <f t="shared" si="317"/>
        <v>0</v>
      </c>
    </row>
    <row r="9638" spans="76:77" x14ac:dyDescent="0.2">
      <c r="BX9638" s="214" t="e">
        <f t="shared" si="316"/>
        <v>#DIV/0!</v>
      </c>
      <c r="BY9638" s="215">
        <f t="shared" si="317"/>
        <v>0</v>
      </c>
    </row>
    <row r="9639" spans="76:77" x14ac:dyDescent="0.2">
      <c r="BX9639" s="214" t="e">
        <f t="shared" si="316"/>
        <v>#DIV/0!</v>
      </c>
      <c r="BY9639" s="215">
        <f t="shared" si="317"/>
        <v>0</v>
      </c>
    </row>
    <row r="9640" spans="76:77" x14ac:dyDescent="0.2">
      <c r="BX9640" s="214" t="e">
        <f t="shared" si="316"/>
        <v>#DIV/0!</v>
      </c>
      <c r="BY9640" s="215">
        <f t="shared" si="317"/>
        <v>0</v>
      </c>
    </row>
    <row r="9641" spans="76:77" x14ac:dyDescent="0.2">
      <c r="BX9641" s="214" t="e">
        <f t="shared" si="316"/>
        <v>#DIV/0!</v>
      </c>
      <c r="BY9641" s="215">
        <f t="shared" si="317"/>
        <v>0</v>
      </c>
    </row>
    <row r="9642" spans="76:77" x14ac:dyDescent="0.2">
      <c r="BX9642" s="214" t="e">
        <f t="shared" si="316"/>
        <v>#DIV/0!</v>
      </c>
      <c r="BY9642" s="215">
        <f t="shared" si="317"/>
        <v>0</v>
      </c>
    </row>
    <row r="9643" spans="76:77" x14ac:dyDescent="0.2">
      <c r="BX9643" s="214" t="e">
        <f t="shared" si="316"/>
        <v>#DIV/0!</v>
      </c>
      <c r="BY9643" s="215">
        <f t="shared" si="317"/>
        <v>0</v>
      </c>
    </row>
    <row r="9644" spans="76:77" x14ac:dyDescent="0.2">
      <c r="BX9644" s="214" t="e">
        <f t="shared" si="316"/>
        <v>#DIV/0!</v>
      </c>
      <c r="BY9644" s="215">
        <f t="shared" si="317"/>
        <v>0</v>
      </c>
    </row>
    <row r="9645" spans="76:77" x14ac:dyDescent="0.2">
      <c r="BX9645" s="214" t="e">
        <f t="shared" si="316"/>
        <v>#DIV/0!</v>
      </c>
      <c r="BY9645" s="215">
        <f t="shared" si="317"/>
        <v>0</v>
      </c>
    </row>
    <row r="9646" spans="76:77" x14ac:dyDescent="0.2">
      <c r="BX9646" s="214" t="e">
        <f t="shared" si="316"/>
        <v>#DIV/0!</v>
      </c>
      <c r="BY9646" s="215">
        <f t="shared" si="317"/>
        <v>0</v>
      </c>
    </row>
    <row r="9647" spans="76:77" x14ac:dyDescent="0.2">
      <c r="BX9647" s="214" t="e">
        <f t="shared" si="316"/>
        <v>#DIV/0!</v>
      </c>
      <c r="BY9647" s="215">
        <f t="shared" si="317"/>
        <v>0</v>
      </c>
    </row>
    <row r="9648" spans="76:77" x14ac:dyDescent="0.2">
      <c r="BX9648" s="214" t="e">
        <f t="shared" si="316"/>
        <v>#DIV/0!</v>
      </c>
      <c r="BY9648" s="215">
        <f t="shared" si="317"/>
        <v>0</v>
      </c>
    </row>
    <row r="9649" spans="76:77" x14ac:dyDescent="0.2">
      <c r="BX9649" s="214" t="e">
        <f t="shared" si="316"/>
        <v>#DIV/0!</v>
      </c>
      <c r="BY9649" s="215">
        <f t="shared" si="317"/>
        <v>0</v>
      </c>
    </row>
    <row r="9650" spans="76:77" x14ac:dyDescent="0.2">
      <c r="BX9650" s="214" t="e">
        <f t="shared" si="316"/>
        <v>#DIV/0!</v>
      </c>
      <c r="BY9650" s="215">
        <f t="shared" si="317"/>
        <v>0</v>
      </c>
    </row>
    <row r="9651" spans="76:77" x14ac:dyDescent="0.2">
      <c r="BX9651" s="214" t="e">
        <f t="shared" si="316"/>
        <v>#DIV/0!</v>
      </c>
      <c r="BY9651" s="215">
        <f t="shared" si="317"/>
        <v>0</v>
      </c>
    </row>
    <row r="9652" spans="76:77" x14ac:dyDescent="0.2">
      <c r="BX9652" s="214" t="e">
        <f t="shared" si="316"/>
        <v>#DIV/0!</v>
      </c>
      <c r="BY9652" s="215">
        <f t="shared" si="317"/>
        <v>0</v>
      </c>
    </row>
    <row r="9653" spans="76:77" x14ac:dyDescent="0.2">
      <c r="BX9653" s="214" t="e">
        <f t="shared" si="316"/>
        <v>#DIV/0!</v>
      </c>
      <c r="BY9653" s="215">
        <f t="shared" si="317"/>
        <v>0</v>
      </c>
    </row>
    <row r="9654" spans="76:77" x14ac:dyDescent="0.2">
      <c r="BX9654" s="214" t="e">
        <f t="shared" si="316"/>
        <v>#DIV/0!</v>
      </c>
      <c r="BY9654" s="215">
        <f t="shared" si="317"/>
        <v>0</v>
      </c>
    </row>
    <row r="9655" spans="76:77" x14ac:dyDescent="0.2">
      <c r="BX9655" s="214" t="e">
        <f t="shared" si="316"/>
        <v>#DIV/0!</v>
      </c>
      <c r="BY9655" s="215">
        <f t="shared" si="317"/>
        <v>0</v>
      </c>
    </row>
    <row r="9656" spans="76:77" x14ac:dyDescent="0.2">
      <c r="BX9656" s="214" t="e">
        <f t="shared" si="316"/>
        <v>#DIV/0!</v>
      </c>
      <c r="BY9656" s="215">
        <f t="shared" si="317"/>
        <v>0</v>
      </c>
    </row>
    <row r="9657" spans="76:77" x14ac:dyDescent="0.2">
      <c r="BX9657" s="214" t="e">
        <f t="shared" si="316"/>
        <v>#DIV/0!</v>
      </c>
      <c r="BY9657" s="215">
        <f t="shared" si="317"/>
        <v>0</v>
      </c>
    </row>
    <row r="9658" spans="76:77" x14ac:dyDescent="0.2">
      <c r="BX9658" s="214" t="e">
        <f t="shared" si="316"/>
        <v>#DIV/0!</v>
      </c>
      <c r="BY9658" s="215">
        <f t="shared" si="317"/>
        <v>0</v>
      </c>
    </row>
    <row r="9659" spans="76:77" x14ac:dyDescent="0.2">
      <c r="BX9659" s="214" t="e">
        <f t="shared" si="316"/>
        <v>#DIV/0!</v>
      </c>
      <c r="BY9659" s="215">
        <f t="shared" si="317"/>
        <v>0</v>
      </c>
    </row>
    <row r="9660" spans="76:77" x14ac:dyDescent="0.2">
      <c r="BX9660" s="214" t="e">
        <f t="shared" si="316"/>
        <v>#DIV/0!</v>
      </c>
      <c r="BY9660" s="215">
        <f t="shared" si="317"/>
        <v>0</v>
      </c>
    </row>
    <row r="9661" spans="76:77" x14ac:dyDescent="0.2">
      <c r="BX9661" s="214" t="e">
        <f t="shared" si="316"/>
        <v>#DIV/0!</v>
      </c>
      <c r="BY9661" s="215">
        <f t="shared" si="317"/>
        <v>0</v>
      </c>
    </row>
    <row r="9662" spans="76:77" x14ac:dyDescent="0.2">
      <c r="BX9662" s="214" t="e">
        <f t="shared" si="316"/>
        <v>#DIV/0!</v>
      </c>
      <c r="BY9662" s="215">
        <f t="shared" si="317"/>
        <v>0</v>
      </c>
    </row>
    <row r="9663" spans="76:77" x14ac:dyDescent="0.2">
      <c r="BX9663" s="214" t="e">
        <f t="shared" si="316"/>
        <v>#DIV/0!</v>
      </c>
      <c r="BY9663" s="215">
        <f t="shared" si="317"/>
        <v>0</v>
      </c>
    </row>
    <row r="9664" spans="76:77" x14ac:dyDescent="0.2">
      <c r="BX9664" s="214" t="e">
        <f t="shared" si="316"/>
        <v>#DIV/0!</v>
      </c>
      <c r="BY9664" s="215">
        <f t="shared" si="317"/>
        <v>0</v>
      </c>
    </row>
    <row r="9665" spans="76:77" x14ac:dyDescent="0.2">
      <c r="BX9665" s="214" t="e">
        <f t="shared" si="316"/>
        <v>#DIV/0!</v>
      </c>
      <c r="BY9665" s="215">
        <f t="shared" si="317"/>
        <v>0</v>
      </c>
    </row>
    <row r="9666" spans="76:77" x14ac:dyDescent="0.2">
      <c r="BX9666" s="214" t="e">
        <f t="shared" si="316"/>
        <v>#DIV/0!</v>
      </c>
      <c r="BY9666" s="215">
        <f t="shared" si="317"/>
        <v>0</v>
      </c>
    </row>
    <row r="9667" spans="76:77" x14ac:dyDescent="0.2">
      <c r="BX9667" s="214" t="e">
        <f t="shared" si="316"/>
        <v>#DIV/0!</v>
      </c>
      <c r="BY9667" s="215">
        <f t="shared" si="317"/>
        <v>0</v>
      </c>
    </row>
    <row r="9668" spans="76:77" x14ac:dyDescent="0.2">
      <c r="BX9668" s="214" t="e">
        <f t="shared" si="316"/>
        <v>#DIV/0!</v>
      </c>
      <c r="BY9668" s="215">
        <f t="shared" si="317"/>
        <v>0</v>
      </c>
    </row>
    <row r="9669" spans="76:77" x14ac:dyDescent="0.2">
      <c r="BX9669" s="214" t="e">
        <f t="shared" si="316"/>
        <v>#DIV/0!</v>
      </c>
      <c r="BY9669" s="215">
        <f t="shared" si="317"/>
        <v>0</v>
      </c>
    </row>
    <row r="9670" spans="76:77" x14ac:dyDescent="0.2">
      <c r="BX9670" s="214" t="e">
        <f t="shared" si="316"/>
        <v>#DIV/0!</v>
      </c>
      <c r="BY9670" s="215">
        <f t="shared" si="317"/>
        <v>0</v>
      </c>
    </row>
    <row r="9671" spans="76:77" x14ac:dyDescent="0.2">
      <c r="BX9671" s="214" t="e">
        <f t="shared" si="316"/>
        <v>#DIV/0!</v>
      </c>
      <c r="BY9671" s="215">
        <f t="shared" si="317"/>
        <v>0</v>
      </c>
    </row>
    <row r="9672" spans="76:77" x14ac:dyDescent="0.2">
      <c r="BX9672" s="214" t="e">
        <f t="shared" si="316"/>
        <v>#DIV/0!</v>
      </c>
      <c r="BY9672" s="215">
        <f t="shared" si="317"/>
        <v>0</v>
      </c>
    </row>
    <row r="9673" spans="76:77" x14ac:dyDescent="0.2">
      <c r="BX9673" s="214" t="e">
        <f t="shared" si="316"/>
        <v>#DIV/0!</v>
      </c>
      <c r="BY9673" s="215">
        <f t="shared" si="317"/>
        <v>0</v>
      </c>
    </row>
    <row r="9674" spans="76:77" x14ac:dyDescent="0.2">
      <c r="BX9674" s="214" t="e">
        <f t="shared" si="316"/>
        <v>#DIV/0!</v>
      </c>
      <c r="BY9674" s="215">
        <f t="shared" si="317"/>
        <v>0</v>
      </c>
    </row>
    <row r="9675" spans="76:77" x14ac:dyDescent="0.2">
      <c r="BX9675" s="214" t="e">
        <f t="shared" si="316"/>
        <v>#DIV/0!</v>
      </c>
      <c r="BY9675" s="215">
        <f t="shared" si="317"/>
        <v>0</v>
      </c>
    </row>
    <row r="9676" spans="76:77" x14ac:dyDescent="0.2">
      <c r="BX9676" s="214" t="e">
        <f t="shared" si="316"/>
        <v>#DIV/0!</v>
      </c>
      <c r="BY9676" s="215">
        <f t="shared" si="317"/>
        <v>0</v>
      </c>
    </row>
    <row r="9677" spans="76:77" x14ac:dyDescent="0.2">
      <c r="BX9677" s="214" t="e">
        <f t="shared" ref="BX9677:BX9740" si="318">BY9677/BV9677</f>
        <v>#DIV/0!</v>
      </c>
      <c r="BY9677" s="215">
        <f t="shared" si="317"/>
        <v>0</v>
      </c>
    </row>
    <row r="9678" spans="76:77" x14ac:dyDescent="0.2">
      <c r="BX9678" s="214" t="e">
        <f t="shared" si="318"/>
        <v>#DIV/0!</v>
      </c>
      <c r="BY9678" s="215">
        <f t="shared" ref="BY9678:BY9741" si="319">BY9677+BW9678*(BV9678-BV9677)</f>
        <v>0</v>
      </c>
    </row>
    <row r="9679" spans="76:77" x14ac:dyDescent="0.2">
      <c r="BX9679" s="214" t="e">
        <f t="shared" si="318"/>
        <v>#DIV/0!</v>
      </c>
      <c r="BY9679" s="215">
        <f t="shared" si="319"/>
        <v>0</v>
      </c>
    </row>
    <row r="9680" spans="76:77" x14ac:dyDescent="0.2">
      <c r="BX9680" s="214" t="e">
        <f t="shared" si="318"/>
        <v>#DIV/0!</v>
      </c>
      <c r="BY9680" s="215">
        <f t="shared" si="319"/>
        <v>0</v>
      </c>
    </row>
    <row r="9681" spans="76:77" x14ac:dyDescent="0.2">
      <c r="BX9681" s="214" t="e">
        <f t="shared" si="318"/>
        <v>#DIV/0!</v>
      </c>
      <c r="BY9681" s="215">
        <f t="shared" si="319"/>
        <v>0</v>
      </c>
    </row>
    <row r="9682" spans="76:77" x14ac:dyDescent="0.2">
      <c r="BX9682" s="214" t="e">
        <f t="shared" si="318"/>
        <v>#DIV/0!</v>
      </c>
      <c r="BY9682" s="215">
        <f t="shared" si="319"/>
        <v>0</v>
      </c>
    </row>
    <row r="9683" spans="76:77" x14ac:dyDescent="0.2">
      <c r="BX9683" s="214" t="e">
        <f t="shared" si="318"/>
        <v>#DIV/0!</v>
      </c>
      <c r="BY9683" s="215">
        <f t="shared" si="319"/>
        <v>0</v>
      </c>
    </row>
    <row r="9684" spans="76:77" x14ac:dyDescent="0.2">
      <c r="BX9684" s="214" t="e">
        <f t="shared" si="318"/>
        <v>#DIV/0!</v>
      </c>
      <c r="BY9684" s="215">
        <f t="shared" si="319"/>
        <v>0</v>
      </c>
    </row>
    <row r="9685" spans="76:77" x14ac:dyDescent="0.2">
      <c r="BX9685" s="214" t="e">
        <f t="shared" si="318"/>
        <v>#DIV/0!</v>
      </c>
      <c r="BY9685" s="215">
        <f t="shared" si="319"/>
        <v>0</v>
      </c>
    </row>
    <row r="9686" spans="76:77" x14ac:dyDescent="0.2">
      <c r="BX9686" s="214" t="e">
        <f t="shared" si="318"/>
        <v>#DIV/0!</v>
      </c>
      <c r="BY9686" s="215">
        <f t="shared" si="319"/>
        <v>0</v>
      </c>
    </row>
    <row r="9687" spans="76:77" x14ac:dyDescent="0.2">
      <c r="BX9687" s="214" t="e">
        <f t="shared" si="318"/>
        <v>#DIV/0!</v>
      </c>
      <c r="BY9687" s="215">
        <f t="shared" si="319"/>
        <v>0</v>
      </c>
    </row>
    <row r="9688" spans="76:77" x14ac:dyDescent="0.2">
      <c r="BX9688" s="214" t="e">
        <f t="shared" si="318"/>
        <v>#DIV/0!</v>
      </c>
      <c r="BY9688" s="215">
        <f t="shared" si="319"/>
        <v>0</v>
      </c>
    </row>
    <row r="9689" spans="76:77" x14ac:dyDescent="0.2">
      <c r="BX9689" s="214" t="e">
        <f t="shared" si="318"/>
        <v>#DIV/0!</v>
      </c>
      <c r="BY9689" s="215">
        <f t="shared" si="319"/>
        <v>0</v>
      </c>
    </row>
    <row r="9690" spans="76:77" x14ac:dyDescent="0.2">
      <c r="BX9690" s="214" t="e">
        <f t="shared" si="318"/>
        <v>#DIV/0!</v>
      </c>
      <c r="BY9690" s="215">
        <f t="shared" si="319"/>
        <v>0</v>
      </c>
    </row>
    <row r="9691" spans="76:77" x14ac:dyDescent="0.2">
      <c r="BX9691" s="214" t="e">
        <f t="shared" si="318"/>
        <v>#DIV/0!</v>
      </c>
      <c r="BY9691" s="215">
        <f t="shared" si="319"/>
        <v>0</v>
      </c>
    </row>
    <row r="9692" spans="76:77" x14ac:dyDescent="0.2">
      <c r="BX9692" s="214" t="e">
        <f t="shared" si="318"/>
        <v>#DIV/0!</v>
      </c>
      <c r="BY9692" s="215">
        <f t="shared" si="319"/>
        <v>0</v>
      </c>
    </row>
    <row r="9693" spans="76:77" x14ac:dyDescent="0.2">
      <c r="BX9693" s="214" t="e">
        <f t="shared" si="318"/>
        <v>#DIV/0!</v>
      </c>
      <c r="BY9693" s="215">
        <f t="shared" si="319"/>
        <v>0</v>
      </c>
    </row>
    <row r="9694" spans="76:77" x14ac:dyDescent="0.2">
      <c r="BX9694" s="214" t="e">
        <f t="shared" si="318"/>
        <v>#DIV/0!</v>
      </c>
      <c r="BY9694" s="215">
        <f t="shared" si="319"/>
        <v>0</v>
      </c>
    </row>
    <row r="9695" spans="76:77" x14ac:dyDescent="0.2">
      <c r="BX9695" s="214" t="e">
        <f t="shared" si="318"/>
        <v>#DIV/0!</v>
      </c>
      <c r="BY9695" s="215">
        <f t="shared" si="319"/>
        <v>0</v>
      </c>
    </row>
    <row r="9696" spans="76:77" x14ac:dyDescent="0.2">
      <c r="BX9696" s="214" t="e">
        <f t="shared" si="318"/>
        <v>#DIV/0!</v>
      </c>
      <c r="BY9696" s="215">
        <f t="shared" si="319"/>
        <v>0</v>
      </c>
    </row>
    <row r="9697" spans="76:77" x14ac:dyDescent="0.2">
      <c r="BX9697" s="214" t="e">
        <f t="shared" si="318"/>
        <v>#DIV/0!</v>
      </c>
      <c r="BY9697" s="215">
        <f t="shared" si="319"/>
        <v>0</v>
      </c>
    </row>
    <row r="9698" spans="76:77" x14ac:dyDescent="0.2">
      <c r="BX9698" s="214" t="e">
        <f t="shared" si="318"/>
        <v>#DIV/0!</v>
      </c>
      <c r="BY9698" s="215">
        <f t="shared" si="319"/>
        <v>0</v>
      </c>
    </row>
    <row r="9699" spans="76:77" x14ac:dyDescent="0.2">
      <c r="BX9699" s="214" t="e">
        <f t="shared" si="318"/>
        <v>#DIV/0!</v>
      </c>
      <c r="BY9699" s="215">
        <f t="shared" si="319"/>
        <v>0</v>
      </c>
    </row>
    <row r="9700" spans="76:77" x14ac:dyDescent="0.2">
      <c r="BX9700" s="214" t="e">
        <f t="shared" si="318"/>
        <v>#DIV/0!</v>
      </c>
      <c r="BY9700" s="215">
        <f t="shared" si="319"/>
        <v>0</v>
      </c>
    </row>
    <row r="9701" spans="76:77" x14ac:dyDescent="0.2">
      <c r="BX9701" s="214" t="e">
        <f t="shared" si="318"/>
        <v>#DIV/0!</v>
      </c>
      <c r="BY9701" s="215">
        <f t="shared" si="319"/>
        <v>0</v>
      </c>
    </row>
    <row r="9702" spans="76:77" x14ac:dyDescent="0.2">
      <c r="BX9702" s="214" t="e">
        <f t="shared" si="318"/>
        <v>#DIV/0!</v>
      </c>
      <c r="BY9702" s="215">
        <f t="shared" si="319"/>
        <v>0</v>
      </c>
    </row>
    <row r="9703" spans="76:77" x14ac:dyDescent="0.2">
      <c r="BX9703" s="214" t="e">
        <f t="shared" si="318"/>
        <v>#DIV/0!</v>
      </c>
      <c r="BY9703" s="215">
        <f t="shared" si="319"/>
        <v>0</v>
      </c>
    </row>
    <row r="9704" spans="76:77" x14ac:dyDescent="0.2">
      <c r="BX9704" s="214" t="e">
        <f t="shared" si="318"/>
        <v>#DIV/0!</v>
      </c>
      <c r="BY9704" s="215">
        <f t="shared" si="319"/>
        <v>0</v>
      </c>
    </row>
    <row r="9705" spans="76:77" x14ac:dyDescent="0.2">
      <c r="BX9705" s="214" t="e">
        <f t="shared" si="318"/>
        <v>#DIV/0!</v>
      </c>
      <c r="BY9705" s="215">
        <f t="shared" si="319"/>
        <v>0</v>
      </c>
    </row>
    <row r="9706" spans="76:77" x14ac:dyDescent="0.2">
      <c r="BX9706" s="214" t="e">
        <f t="shared" si="318"/>
        <v>#DIV/0!</v>
      </c>
      <c r="BY9706" s="215">
        <f t="shared" si="319"/>
        <v>0</v>
      </c>
    </row>
    <row r="9707" spans="76:77" x14ac:dyDescent="0.2">
      <c r="BX9707" s="214" t="e">
        <f t="shared" si="318"/>
        <v>#DIV/0!</v>
      </c>
      <c r="BY9707" s="215">
        <f t="shared" si="319"/>
        <v>0</v>
      </c>
    </row>
    <row r="9708" spans="76:77" x14ac:dyDescent="0.2">
      <c r="BX9708" s="214" t="e">
        <f t="shared" si="318"/>
        <v>#DIV/0!</v>
      </c>
      <c r="BY9708" s="215">
        <f t="shared" si="319"/>
        <v>0</v>
      </c>
    </row>
    <row r="9709" spans="76:77" x14ac:dyDescent="0.2">
      <c r="BX9709" s="214" t="e">
        <f t="shared" si="318"/>
        <v>#DIV/0!</v>
      </c>
      <c r="BY9709" s="215">
        <f t="shared" si="319"/>
        <v>0</v>
      </c>
    </row>
    <row r="9710" spans="76:77" x14ac:dyDescent="0.2">
      <c r="BX9710" s="214" t="e">
        <f t="shared" si="318"/>
        <v>#DIV/0!</v>
      </c>
      <c r="BY9710" s="215">
        <f t="shared" si="319"/>
        <v>0</v>
      </c>
    </row>
    <row r="9711" spans="76:77" x14ac:dyDescent="0.2">
      <c r="BX9711" s="214" t="e">
        <f t="shared" si="318"/>
        <v>#DIV/0!</v>
      </c>
      <c r="BY9711" s="215">
        <f t="shared" si="319"/>
        <v>0</v>
      </c>
    </row>
    <row r="9712" spans="76:77" x14ac:dyDescent="0.2">
      <c r="BX9712" s="214" t="e">
        <f t="shared" si="318"/>
        <v>#DIV/0!</v>
      </c>
      <c r="BY9712" s="215">
        <f t="shared" si="319"/>
        <v>0</v>
      </c>
    </row>
    <row r="9713" spans="76:77" x14ac:dyDescent="0.2">
      <c r="BX9713" s="214" t="e">
        <f t="shared" si="318"/>
        <v>#DIV/0!</v>
      </c>
      <c r="BY9713" s="215">
        <f t="shared" si="319"/>
        <v>0</v>
      </c>
    </row>
    <row r="9714" spans="76:77" x14ac:dyDescent="0.2">
      <c r="BX9714" s="214" t="e">
        <f t="shared" si="318"/>
        <v>#DIV/0!</v>
      </c>
      <c r="BY9714" s="215">
        <f t="shared" si="319"/>
        <v>0</v>
      </c>
    </row>
    <row r="9715" spans="76:77" x14ac:dyDescent="0.2">
      <c r="BX9715" s="214" t="e">
        <f t="shared" si="318"/>
        <v>#DIV/0!</v>
      </c>
      <c r="BY9715" s="215">
        <f t="shared" si="319"/>
        <v>0</v>
      </c>
    </row>
    <row r="9716" spans="76:77" x14ac:dyDescent="0.2">
      <c r="BX9716" s="214" t="e">
        <f t="shared" si="318"/>
        <v>#DIV/0!</v>
      </c>
      <c r="BY9716" s="215">
        <f t="shared" si="319"/>
        <v>0</v>
      </c>
    </row>
    <row r="9717" spans="76:77" x14ac:dyDescent="0.2">
      <c r="BX9717" s="214" t="e">
        <f t="shared" si="318"/>
        <v>#DIV/0!</v>
      </c>
      <c r="BY9717" s="215">
        <f t="shared" si="319"/>
        <v>0</v>
      </c>
    </row>
    <row r="9718" spans="76:77" x14ac:dyDescent="0.2">
      <c r="BX9718" s="214" t="e">
        <f t="shared" si="318"/>
        <v>#DIV/0!</v>
      </c>
      <c r="BY9718" s="215">
        <f t="shared" si="319"/>
        <v>0</v>
      </c>
    </row>
    <row r="9719" spans="76:77" x14ac:dyDescent="0.2">
      <c r="BX9719" s="214" t="e">
        <f t="shared" si="318"/>
        <v>#DIV/0!</v>
      </c>
      <c r="BY9719" s="215">
        <f t="shared" si="319"/>
        <v>0</v>
      </c>
    </row>
    <row r="9720" spans="76:77" x14ac:dyDescent="0.2">
      <c r="BX9720" s="214" t="e">
        <f t="shared" si="318"/>
        <v>#DIV/0!</v>
      </c>
      <c r="BY9720" s="215">
        <f t="shared" si="319"/>
        <v>0</v>
      </c>
    </row>
    <row r="9721" spans="76:77" x14ac:dyDescent="0.2">
      <c r="BX9721" s="214" t="e">
        <f t="shared" si="318"/>
        <v>#DIV/0!</v>
      </c>
      <c r="BY9721" s="215">
        <f t="shared" si="319"/>
        <v>0</v>
      </c>
    </row>
    <row r="9722" spans="76:77" x14ac:dyDescent="0.2">
      <c r="BX9722" s="214" t="e">
        <f t="shared" si="318"/>
        <v>#DIV/0!</v>
      </c>
      <c r="BY9722" s="215">
        <f t="shared" si="319"/>
        <v>0</v>
      </c>
    </row>
    <row r="9723" spans="76:77" x14ac:dyDescent="0.2">
      <c r="BX9723" s="214" t="e">
        <f t="shared" si="318"/>
        <v>#DIV/0!</v>
      </c>
      <c r="BY9723" s="215">
        <f t="shared" si="319"/>
        <v>0</v>
      </c>
    </row>
    <row r="9724" spans="76:77" x14ac:dyDescent="0.2">
      <c r="BX9724" s="214" t="e">
        <f t="shared" si="318"/>
        <v>#DIV/0!</v>
      </c>
      <c r="BY9724" s="215">
        <f t="shared" si="319"/>
        <v>0</v>
      </c>
    </row>
    <row r="9725" spans="76:77" x14ac:dyDescent="0.2">
      <c r="BX9725" s="214" t="e">
        <f t="shared" si="318"/>
        <v>#DIV/0!</v>
      </c>
      <c r="BY9725" s="215">
        <f t="shared" si="319"/>
        <v>0</v>
      </c>
    </row>
    <row r="9726" spans="76:77" x14ac:dyDescent="0.2">
      <c r="BX9726" s="214" t="e">
        <f t="shared" si="318"/>
        <v>#DIV/0!</v>
      </c>
      <c r="BY9726" s="215">
        <f t="shared" si="319"/>
        <v>0</v>
      </c>
    </row>
    <row r="9727" spans="76:77" x14ac:dyDescent="0.2">
      <c r="BX9727" s="214" t="e">
        <f t="shared" si="318"/>
        <v>#DIV/0!</v>
      </c>
      <c r="BY9727" s="215">
        <f t="shared" si="319"/>
        <v>0</v>
      </c>
    </row>
    <row r="9728" spans="76:77" x14ac:dyDescent="0.2">
      <c r="BX9728" s="214" t="e">
        <f t="shared" si="318"/>
        <v>#DIV/0!</v>
      </c>
      <c r="BY9728" s="215">
        <f t="shared" si="319"/>
        <v>0</v>
      </c>
    </row>
    <row r="9729" spans="76:77" x14ac:dyDescent="0.2">
      <c r="BX9729" s="214" t="e">
        <f t="shared" si="318"/>
        <v>#DIV/0!</v>
      </c>
      <c r="BY9729" s="215">
        <f t="shared" si="319"/>
        <v>0</v>
      </c>
    </row>
    <row r="9730" spans="76:77" x14ac:dyDescent="0.2">
      <c r="BX9730" s="214" t="e">
        <f t="shared" si="318"/>
        <v>#DIV/0!</v>
      </c>
      <c r="BY9730" s="215">
        <f t="shared" si="319"/>
        <v>0</v>
      </c>
    </row>
    <row r="9731" spans="76:77" x14ac:dyDescent="0.2">
      <c r="BX9731" s="214" t="e">
        <f t="shared" si="318"/>
        <v>#DIV/0!</v>
      </c>
      <c r="BY9731" s="215">
        <f t="shared" si="319"/>
        <v>0</v>
      </c>
    </row>
    <row r="9732" spans="76:77" x14ac:dyDescent="0.2">
      <c r="BX9732" s="214" t="e">
        <f t="shared" si="318"/>
        <v>#DIV/0!</v>
      </c>
      <c r="BY9732" s="215">
        <f t="shared" si="319"/>
        <v>0</v>
      </c>
    </row>
    <row r="9733" spans="76:77" x14ac:dyDescent="0.2">
      <c r="BX9733" s="214" t="e">
        <f t="shared" si="318"/>
        <v>#DIV/0!</v>
      </c>
      <c r="BY9733" s="215">
        <f t="shared" si="319"/>
        <v>0</v>
      </c>
    </row>
    <row r="9734" spans="76:77" x14ac:dyDescent="0.2">
      <c r="BX9734" s="214" t="e">
        <f t="shared" si="318"/>
        <v>#DIV/0!</v>
      </c>
      <c r="BY9734" s="215">
        <f t="shared" si="319"/>
        <v>0</v>
      </c>
    </row>
    <row r="9735" spans="76:77" x14ac:dyDescent="0.2">
      <c r="BX9735" s="214" t="e">
        <f t="shared" si="318"/>
        <v>#DIV/0!</v>
      </c>
      <c r="BY9735" s="215">
        <f t="shared" si="319"/>
        <v>0</v>
      </c>
    </row>
    <row r="9736" spans="76:77" x14ac:dyDescent="0.2">
      <c r="BX9736" s="214" t="e">
        <f t="shared" si="318"/>
        <v>#DIV/0!</v>
      </c>
      <c r="BY9736" s="215">
        <f t="shared" si="319"/>
        <v>0</v>
      </c>
    </row>
    <row r="9737" spans="76:77" x14ac:dyDescent="0.2">
      <c r="BX9737" s="214" t="e">
        <f t="shared" si="318"/>
        <v>#DIV/0!</v>
      </c>
      <c r="BY9737" s="215">
        <f t="shared" si="319"/>
        <v>0</v>
      </c>
    </row>
    <row r="9738" spans="76:77" x14ac:dyDescent="0.2">
      <c r="BX9738" s="214" t="e">
        <f t="shared" si="318"/>
        <v>#DIV/0!</v>
      </c>
      <c r="BY9738" s="215">
        <f t="shared" si="319"/>
        <v>0</v>
      </c>
    </row>
    <row r="9739" spans="76:77" x14ac:dyDescent="0.2">
      <c r="BX9739" s="214" t="e">
        <f t="shared" si="318"/>
        <v>#DIV/0!</v>
      </c>
      <c r="BY9739" s="215">
        <f t="shared" si="319"/>
        <v>0</v>
      </c>
    </row>
    <row r="9740" spans="76:77" x14ac:dyDescent="0.2">
      <c r="BX9740" s="214" t="e">
        <f t="shared" si="318"/>
        <v>#DIV/0!</v>
      </c>
      <c r="BY9740" s="215">
        <f t="shared" si="319"/>
        <v>0</v>
      </c>
    </row>
    <row r="9741" spans="76:77" x14ac:dyDescent="0.2">
      <c r="BX9741" s="214" t="e">
        <f t="shared" ref="BX9741:BX9804" si="320">BY9741/BV9741</f>
        <v>#DIV/0!</v>
      </c>
      <c r="BY9741" s="215">
        <f t="shared" si="319"/>
        <v>0</v>
      </c>
    </row>
    <row r="9742" spans="76:77" x14ac:dyDescent="0.2">
      <c r="BX9742" s="214" t="e">
        <f t="shared" si="320"/>
        <v>#DIV/0!</v>
      </c>
      <c r="BY9742" s="215">
        <f t="shared" ref="BY9742:BY9805" si="321">BY9741+BW9742*(BV9742-BV9741)</f>
        <v>0</v>
      </c>
    </row>
    <row r="9743" spans="76:77" x14ac:dyDescent="0.2">
      <c r="BX9743" s="214" t="e">
        <f t="shared" si="320"/>
        <v>#DIV/0!</v>
      </c>
      <c r="BY9743" s="215">
        <f t="shared" si="321"/>
        <v>0</v>
      </c>
    </row>
    <row r="9744" spans="76:77" x14ac:dyDescent="0.2">
      <c r="BX9744" s="214" t="e">
        <f t="shared" si="320"/>
        <v>#DIV/0!</v>
      </c>
      <c r="BY9744" s="215">
        <f t="shared" si="321"/>
        <v>0</v>
      </c>
    </row>
    <row r="9745" spans="76:77" x14ac:dyDescent="0.2">
      <c r="BX9745" s="214" t="e">
        <f t="shared" si="320"/>
        <v>#DIV/0!</v>
      </c>
      <c r="BY9745" s="215">
        <f t="shared" si="321"/>
        <v>0</v>
      </c>
    </row>
    <row r="9746" spans="76:77" x14ac:dyDescent="0.2">
      <c r="BX9746" s="214" t="e">
        <f t="shared" si="320"/>
        <v>#DIV/0!</v>
      </c>
      <c r="BY9746" s="215">
        <f t="shared" si="321"/>
        <v>0</v>
      </c>
    </row>
    <row r="9747" spans="76:77" x14ac:dyDescent="0.2">
      <c r="BX9747" s="214" t="e">
        <f t="shared" si="320"/>
        <v>#DIV/0!</v>
      </c>
      <c r="BY9747" s="215">
        <f t="shared" si="321"/>
        <v>0</v>
      </c>
    </row>
    <row r="9748" spans="76:77" x14ac:dyDescent="0.2">
      <c r="BX9748" s="214" t="e">
        <f t="shared" si="320"/>
        <v>#DIV/0!</v>
      </c>
      <c r="BY9748" s="215">
        <f t="shared" si="321"/>
        <v>0</v>
      </c>
    </row>
    <row r="9749" spans="76:77" x14ac:dyDescent="0.2">
      <c r="BX9749" s="214" t="e">
        <f t="shared" si="320"/>
        <v>#DIV/0!</v>
      </c>
      <c r="BY9749" s="215">
        <f t="shared" si="321"/>
        <v>0</v>
      </c>
    </row>
    <row r="9750" spans="76:77" x14ac:dyDescent="0.2">
      <c r="BX9750" s="214" t="e">
        <f t="shared" si="320"/>
        <v>#DIV/0!</v>
      </c>
      <c r="BY9750" s="215">
        <f t="shared" si="321"/>
        <v>0</v>
      </c>
    </row>
    <row r="9751" spans="76:77" x14ac:dyDescent="0.2">
      <c r="BX9751" s="214" t="e">
        <f t="shared" si="320"/>
        <v>#DIV/0!</v>
      </c>
      <c r="BY9751" s="215">
        <f t="shared" si="321"/>
        <v>0</v>
      </c>
    </row>
    <row r="9752" spans="76:77" x14ac:dyDescent="0.2">
      <c r="BX9752" s="214" t="e">
        <f t="shared" si="320"/>
        <v>#DIV/0!</v>
      </c>
      <c r="BY9752" s="215">
        <f t="shared" si="321"/>
        <v>0</v>
      </c>
    </row>
    <row r="9753" spans="76:77" x14ac:dyDescent="0.2">
      <c r="BX9753" s="214" t="e">
        <f t="shared" si="320"/>
        <v>#DIV/0!</v>
      </c>
      <c r="BY9753" s="215">
        <f t="shared" si="321"/>
        <v>0</v>
      </c>
    </row>
    <row r="9754" spans="76:77" x14ac:dyDescent="0.2">
      <c r="BX9754" s="214" t="e">
        <f t="shared" si="320"/>
        <v>#DIV/0!</v>
      </c>
      <c r="BY9754" s="215">
        <f t="shared" si="321"/>
        <v>0</v>
      </c>
    </row>
    <row r="9755" spans="76:77" x14ac:dyDescent="0.2">
      <c r="BX9755" s="214" t="e">
        <f t="shared" si="320"/>
        <v>#DIV/0!</v>
      </c>
      <c r="BY9755" s="215">
        <f t="shared" si="321"/>
        <v>0</v>
      </c>
    </row>
    <row r="9756" spans="76:77" x14ac:dyDescent="0.2">
      <c r="BX9756" s="214" t="e">
        <f t="shared" si="320"/>
        <v>#DIV/0!</v>
      </c>
      <c r="BY9756" s="215">
        <f t="shared" si="321"/>
        <v>0</v>
      </c>
    </row>
    <row r="9757" spans="76:77" x14ac:dyDescent="0.2">
      <c r="BX9757" s="214" t="e">
        <f t="shared" si="320"/>
        <v>#DIV/0!</v>
      </c>
      <c r="BY9757" s="215">
        <f t="shared" si="321"/>
        <v>0</v>
      </c>
    </row>
    <row r="9758" spans="76:77" x14ac:dyDescent="0.2">
      <c r="BX9758" s="214" t="e">
        <f t="shared" si="320"/>
        <v>#DIV/0!</v>
      </c>
      <c r="BY9758" s="215">
        <f t="shared" si="321"/>
        <v>0</v>
      </c>
    </row>
    <row r="9759" spans="76:77" x14ac:dyDescent="0.2">
      <c r="BX9759" s="214" t="e">
        <f t="shared" si="320"/>
        <v>#DIV/0!</v>
      </c>
      <c r="BY9759" s="215">
        <f t="shared" si="321"/>
        <v>0</v>
      </c>
    </row>
    <row r="9760" spans="76:77" x14ac:dyDescent="0.2">
      <c r="BX9760" s="214" t="e">
        <f t="shared" si="320"/>
        <v>#DIV/0!</v>
      </c>
      <c r="BY9760" s="215">
        <f t="shared" si="321"/>
        <v>0</v>
      </c>
    </row>
    <row r="9761" spans="76:77" x14ac:dyDescent="0.2">
      <c r="BX9761" s="214" t="e">
        <f t="shared" si="320"/>
        <v>#DIV/0!</v>
      </c>
      <c r="BY9761" s="215">
        <f t="shared" si="321"/>
        <v>0</v>
      </c>
    </row>
    <row r="9762" spans="76:77" x14ac:dyDescent="0.2">
      <c r="BX9762" s="214" t="e">
        <f t="shared" si="320"/>
        <v>#DIV/0!</v>
      </c>
      <c r="BY9762" s="215">
        <f t="shared" si="321"/>
        <v>0</v>
      </c>
    </row>
    <row r="9763" spans="76:77" x14ac:dyDescent="0.2">
      <c r="BX9763" s="214" t="e">
        <f t="shared" si="320"/>
        <v>#DIV/0!</v>
      </c>
      <c r="BY9763" s="215">
        <f t="shared" si="321"/>
        <v>0</v>
      </c>
    </row>
    <row r="9764" spans="76:77" x14ac:dyDescent="0.2">
      <c r="BX9764" s="214" t="e">
        <f t="shared" si="320"/>
        <v>#DIV/0!</v>
      </c>
      <c r="BY9764" s="215">
        <f t="shared" si="321"/>
        <v>0</v>
      </c>
    </row>
    <row r="9765" spans="76:77" x14ac:dyDescent="0.2">
      <c r="BX9765" s="214" t="e">
        <f t="shared" si="320"/>
        <v>#DIV/0!</v>
      </c>
      <c r="BY9765" s="215">
        <f t="shared" si="321"/>
        <v>0</v>
      </c>
    </row>
    <row r="9766" spans="76:77" x14ac:dyDescent="0.2">
      <c r="BX9766" s="214" t="e">
        <f t="shared" si="320"/>
        <v>#DIV/0!</v>
      </c>
      <c r="BY9766" s="215">
        <f t="shared" si="321"/>
        <v>0</v>
      </c>
    </row>
    <row r="9767" spans="76:77" x14ac:dyDescent="0.2">
      <c r="BX9767" s="214" t="e">
        <f t="shared" si="320"/>
        <v>#DIV/0!</v>
      </c>
      <c r="BY9767" s="215">
        <f t="shared" si="321"/>
        <v>0</v>
      </c>
    </row>
    <row r="9768" spans="76:77" x14ac:dyDescent="0.2">
      <c r="BX9768" s="214" t="e">
        <f t="shared" si="320"/>
        <v>#DIV/0!</v>
      </c>
      <c r="BY9768" s="215">
        <f t="shared" si="321"/>
        <v>0</v>
      </c>
    </row>
    <row r="9769" spans="76:77" x14ac:dyDescent="0.2">
      <c r="BX9769" s="214" t="e">
        <f t="shared" si="320"/>
        <v>#DIV/0!</v>
      </c>
      <c r="BY9769" s="215">
        <f t="shared" si="321"/>
        <v>0</v>
      </c>
    </row>
    <row r="9770" spans="76:77" x14ac:dyDescent="0.2">
      <c r="BX9770" s="214" t="e">
        <f t="shared" si="320"/>
        <v>#DIV/0!</v>
      </c>
      <c r="BY9770" s="215">
        <f t="shared" si="321"/>
        <v>0</v>
      </c>
    </row>
    <row r="9771" spans="76:77" x14ac:dyDescent="0.2">
      <c r="BX9771" s="214" t="e">
        <f t="shared" si="320"/>
        <v>#DIV/0!</v>
      </c>
      <c r="BY9771" s="215">
        <f t="shared" si="321"/>
        <v>0</v>
      </c>
    </row>
    <row r="9772" spans="76:77" x14ac:dyDescent="0.2">
      <c r="BX9772" s="214" t="e">
        <f t="shared" si="320"/>
        <v>#DIV/0!</v>
      </c>
      <c r="BY9772" s="215">
        <f t="shared" si="321"/>
        <v>0</v>
      </c>
    </row>
    <row r="9773" spans="76:77" x14ac:dyDescent="0.2">
      <c r="BX9773" s="214" t="e">
        <f t="shared" si="320"/>
        <v>#DIV/0!</v>
      </c>
      <c r="BY9773" s="215">
        <f t="shared" si="321"/>
        <v>0</v>
      </c>
    </row>
    <row r="9774" spans="76:77" x14ac:dyDescent="0.2">
      <c r="BX9774" s="214" t="e">
        <f t="shared" si="320"/>
        <v>#DIV/0!</v>
      </c>
      <c r="BY9774" s="215">
        <f t="shared" si="321"/>
        <v>0</v>
      </c>
    </row>
    <row r="9775" spans="76:77" x14ac:dyDescent="0.2">
      <c r="BX9775" s="214" t="e">
        <f t="shared" si="320"/>
        <v>#DIV/0!</v>
      </c>
      <c r="BY9775" s="215">
        <f t="shared" si="321"/>
        <v>0</v>
      </c>
    </row>
    <row r="9776" spans="76:77" x14ac:dyDescent="0.2">
      <c r="BX9776" s="214" t="e">
        <f t="shared" si="320"/>
        <v>#DIV/0!</v>
      </c>
      <c r="BY9776" s="215">
        <f t="shared" si="321"/>
        <v>0</v>
      </c>
    </row>
    <row r="9777" spans="76:77" x14ac:dyDescent="0.2">
      <c r="BX9777" s="214" t="e">
        <f t="shared" si="320"/>
        <v>#DIV/0!</v>
      </c>
      <c r="BY9777" s="215">
        <f t="shared" si="321"/>
        <v>0</v>
      </c>
    </row>
    <row r="9778" spans="76:77" x14ac:dyDescent="0.2">
      <c r="BX9778" s="214" t="e">
        <f t="shared" si="320"/>
        <v>#DIV/0!</v>
      </c>
      <c r="BY9778" s="215">
        <f t="shared" si="321"/>
        <v>0</v>
      </c>
    </row>
    <row r="9779" spans="76:77" x14ac:dyDescent="0.2">
      <c r="BX9779" s="214" t="e">
        <f t="shared" si="320"/>
        <v>#DIV/0!</v>
      </c>
      <c r="BY9779" s="215">
        <f t="shared" si="321"/>
        <v>0</v>
      </c>
    </row>
    <row r="9780" spans="76:77" x14ac:dyDescent="0.2">
      <c r="BX9780" s="214" t="e">
        <f t="shared" si="320"/>
        <v>#DIV/0!</v>
      </c>
      <c r="BY9780" s="215">
        <f t="shared" si="321"/>
        <v>0</v>
      </c>
    </row>
    <row r="9781" spans="76:77" x14ac:dyDescent="0.2">
      <c r="BX9781" s="214" t="e">
        <f t="shared" si="320"/>
        <v>#DIV/0!</v>
      </c>
      <c r="BY9781" s="215">
        <f t="shared" si="321"/>
        <v>0</v>
      </c>
    </row>
    <row r="9782" spans="76:77" x14ac:dyDescent="0.2">
      <c r="BX9782" s="214" t="e">
        <f t="shared" si="320"/>
        <v>#DIV/0!</v>
      </c>
      <c r="BY9782" s="215">
        <f t="shared" si="321"/>
        <v>0</v>
      </c>
    </row>
    <row r="9783" spans="76:77" x14ac:dyDescent="0.2">
      <c r="BX9783" s="214" t="e">
        <f t="shared" si="320"/>
        <v>#DIV/0!</v>
      </c>
      <c r="BY9783" s="215">
        <f t="shared" si="321"/>
        <v>0</v>
      </c>
    </row>
    <row r="9784" spans="76:77" x14ac:dyDescent="0.2">
      <c r="BX9784" s="214" t="e">
        <f t="shared" si="320"/>
        <v>#DIV/0!</v>
      </c>
      <c r="BY9784" s="215">
        <f t="shared" si="321"/>
        <v>0</v>
      </c>
    </row>
    <row r="9785" spans="76:77" x14ac:dyDescent="0.2">
      <c r="BX9785" s="214" t="e">
        <f t="shared" si="320"/>
        <v>#DIV/0!</v>
      </c>
      <c r="BY9785" s="215">
        <f t="shared" si="321"/>
        <v>0</v>
      </c>
    </row>
    <row r="9786" spans="76:77" x14ac:dyDescent="0.2">
      <c r="BX9786" s="214" t="e">
        <f t="shared" si="320"/>
        <v>#DIV/0!</v>
      </c>
      <c r="BY9786" s="215">
        <f t="shared" si="321"/>
        <v>0</v>
      </c>
    </row>
    <row r="9787" spans="76:77" x14ac:dyDescent="0.2">
      <c r="BX9787" s="214" t="e">
        <f t="shared" si="320"/>
        <v>#DIV/0!</v>
      </c>
      <c r="BY9787" s="215">
        <f t="shared" si="321"/>
        <v>0</v>
      </c>
    </row>
    <row r="9788" spans="76:77" x14ac:dyDescent="0.2">
      <c r="BX9788" s="214" t="e">
        <f t="shared" si="320"/>
        <v>#DIV/0!</v>
      </c>
      <c r="BY9788" s="215">
        <f t="shared" si="321"/>
        <v>0</v>
      </c>
    </row>
    <row r="9789" spans="76:77" x14ac:dyDescent="0.2">
      <c r="BX9789" s="214" t="e">
        <f t="shared" si="320"/>
        <v>#DIV/0!</v>
      </c>
      <c r="BY9789" s="215">
        <f t="shared" si="321"/>
        <v>0</v>
      </c>
    </row>
    <row r="9790" spans="76:77" x14ac:dyDescent="0.2">
      <c r="BX9790" s="214" t="e">
        <f t="shared" si="320"/>
        <v>#DIV/0!</v>
      </c>
      <c r="BY9790" s="215">
        <f t="shared" si="321"/>
        <v>0</v>
      </c>
    </row>
    <row r="9791" spans="76:77" x14ac:dyDescent="0.2">
      <c r="BX9791" s="214" t="e">
        <f t="shared" si="320"/>
        <v>#DIV/0!</v>
      </c>
      <c r="BY9791" s="215">
        <f t="shared" si="321"/>
        <v>0</v>
      </c>
    </row>
    <row r="9792" spans="76:77" x14ac:dyDescent="0.2">
      <c r="BX9792" s="214" t="e">
        <f t="shared" si="320"/>
        <v>#DIV/0!</v>
      </c>
      <c r="BY9792" s="215">
        <f t="shared" si="321"/>
        <v>0</v>
      </c>
    </row>
    <row r="9793" spans="76:77" x14ac:dyDescent="0.2">
      <c r="BX9793" s="214" t="e">
        <f t="shared" si="320"/>
        <v>#DIV/0!</v>
      </c>
      <c r="BY9793" s="215">
        <f t="shared" si="321"/>
        <v>0</v>
      </c>
    </row>
    <row r="9794" spans="76:77" x14ac:dyDescent="0.2">
      <c r="BX9794" s="214" t="e">
        <f t="shared" si="320"/>
        <v>#DIV/0!</v>
      </c>
      <c r="BY9794" s="215">
        <f t="shared" si="321"/>
        <v>0</v>
      </c>
    </row>
    <row r="9795" spans="76:77" x14ac:dyDescent="0.2">
      <c r="BX9795" s="214" t="e">
        <f t="shared" si="320"/>
        <v>#DIV/0!</v>
      </c>
      <c r="BY9795" s="215">
        <f t="shared" si="321"/>
        <v>0</v>
      </c>
    </row>
    <row r="9796" spans="76:77" x14ac:dyDescent="0.2">
      <c r="BX9796" s="214" t="e">
        <f t="shared" si="320"/>
        <v>#DIV/0!</v>
      </c>
      <c r="BY9796" s="215">
        <f t="shared" si="321"/>
        <v>0</v>
      </c>
    </row>
    <row r="9797" spans="76:77" x14ac:dyDescent="0.2">
      <c r="BX9797" s="214" t="e">
        <f t="shared" si="320"/>
        <v>#DIV/0!</v>
      </c>
      <c r="BY9797" s="215">
        <f t="shared" si="321"/>
        <v>0</v>
      </c>
    </row>
    <row r="9798" spans="76:77" x14ac:dyDescent="0.2">
      <c r="BX9798" s="214" t="e">
        <f t="shared" si="320"/>
        <v>#DIV/0!</v>
      </c>
      <c r="BY9798" s="215">
        <f t="shared" si="321"/>
        <v>0</v>
      </c>
    </row>
    <row r="9799" spans="76:77" x14ac:dyDescent="0.2">
      <c r="BX9799" s="214" t="e">
        <f t="shared" si="320"/>
        <v>#DIV/0!</v>
      </c>
      <c r="BY9799" s="215">
        <f t="shared" si="321"/>
        <v>0</v>
      </c>
    </row>
    <row r="9800" spans="76:77" x14ac:dyDescent="0.2">
      <c r="BX9800" s="214" t="e">
        <f t="shared" si="320"/>
        <v>#DIV/0!</v>
      </c>
      <c r="BY9800" s="215">
        <f t="shared" si="321"/>
        <v>0</v>
      </c>
    </row>
    <row r="9801" spans="76:77" x14ac:dyDescent="0.2">
      <c r="BX9801" s="214" t="e">
        <f t="shared" si="320"/>
        <v>#DIV/0!</v>
      </c>
      <c r="BY9801" s="215">
        <f t="shared" si="321"/>
        <v>0</v>
      </c>
    </row>
    <row r="9802" spans="76:77" x14ac:dyDescent="0.2">
      <c r="BX9802" s="214" t="e">
        <f t="shared" si="320"/>
        <v>#DIV/0!</v>
      </c>
      <c r="BY9802" s="215">
        <f t="shared" si="321"/>
        <v>0</v>
      </c>
    </row>
    <row r="9803" spans="76:77" x14ac:dyDescent="0.2">
      <c r="BX9803" s="214" t="e">
        <f t="shared" si="320"/>
        <v>#DIV/0!</v>
      </c>
      <c r="BY9803" s="215">
        <f t="shared" si="321"/>
        <v>0</v>
      </c>
    </row>
    <row r="9804" spans="76:77" x14ac:dyDescent="0.2">
      <c r="BX9804" s="214" t="e">
        <f t="shared" si="320"/>
        <v>#DIV/0!</v>
      </c>
      <c r="BY9804" s="215">
        <f t="shared" si="321"/>
        <v>0</v>
      </c>
    </row>
    <row r="9805" spans="76:77" x14ac:dyDescent="0.2">
      <c r="BX9805" s="214" t="e">
        <f t="shared" ref="BX9805:BX9868" si="322">BY9805/BV9805</f>
        <v>#DIV/0!</v>
      </c>
      <c r="BY9805" s="215">
        <f t="shared" si="321"/>
        <v>0</v>
      </c>
    </row>
    <row r="9806" spans="76:77" x14ac:dyDescent="0.2">
      <c r="BX9806" s="214" t="e">
        <f t="shared" si="322"/>
        <v>#DIV/0!</v>
      </c>
      <c r="BY9806" s="215">
        <f t="shared" ref="BY9806:BY9869" si="323">BY9805+BW9806*(BV9806-BV9805)</f>
        <v>0</v>
      </c>
    </row>
    <row r="9807" spans="76:77" x14ac:dyDescent="0.2">
      <c r="BX9807" s="214" t="e">
        <f t="shared" si="322"/>
        <v>#DIV/0!</v>
      </c>
      <c r="BY9807" s="215">
        <f t="shared" si="323"/>
        <v>0</v>
      </c>
    </row>
    <row r="9808" spans="76:77" x14ac:dyDescent="0.2">
      <c r="BX9808" s="214" t="e">
        <f t="shared" si="322"/>
        <v>#DIV/0!</v>
      </c>
      <c r="BY9808" s="215">
        <f t="shared" si="323"/>
        <v>0</v>
      </c>
    </row>
    <row r="9809" spans="76:77" x14ac:dyDescent="0.2">
      <c r="BX9809" s="214" t="e">
        <f t="shared" si="322"/>
        <v>#DIV/0!</v>
      </c>
      <c r="BY9809" s="215">
        <f t="shared" si="323"/>
        <v>0</v>
      </c>
    </row>
    <row r="9810" spans="76:77" x14ac:dyDescent="0.2">
      <c r="BX9810" s="214" t="e">
        <f t="shared" si="322"/>
        <v>#DIV/0!</v>
      </c>
      <c r="BY9810" s="215">
        <f t="shared" si="323"/>
        <v>0</v>
      </c>
    </row>
    <row r="9811" spans="76:77" x14ac:dyDescent="0.2">
      <c r="BX9811" s="214" t="e">
        <f t="shared" si="322"/>
        <v>#DIV/0!</v>
      </c>
      <c r="BY9811" s="215">
        <f t="shared" si="323"/>
        <v>0</v>
      </c>
    </row>
    <row r="9812" spans="76:77" x14ac:dyDescent="0.2">
      <c r="BX9812" s="214" t="e">
        <f t="shared" si="322"/>
        <v>#DIV/0!</v>
      </c>
      <c r="BY9812" s="215">
        <f t="shared" si="323"/>
        <v>0</v>
      </c>
    </row>
    <row r="9813" spans="76:77" x14ac:dyDescent="0.2">
      <c r="BX9813" s="214" t="e">
        <f t="shared" si="322"/>
        <v>#DIV/0!</v>
      </c>
      <c r="BY9813" s="215">
        <f t="shared" si="323"/>
        <v>0</v>
      </c>
    </row>
    <row r="9814" spans="76:77" x14ac:dyDescent="0.2">
      <c r="BX9814" s="214" t="e">
        <f t="shared" si="322"/>
        <v>#DIV/0!</v>
      </c>
      <c r="BY9814" s="215">
        <f t="shared" si="323"/>
        <v>0</v>
      </c>
    </row>
    <row r="9815" spans="76:77" x14ac:dyDescent="0.2">
      <c r="BX9815" s="214" t="e">
        <f t="shared" si="322"/>
        <v>#DIV/0!</v>
      </c>
      <c r="BY9815" s="215">
        <f t="shared" si="323"/>
        <v>0</v>
      </c>
    </row>
    <row r="9816" spans="76:77" x14ac:dyDescent="0.2">
      <c r="BX9816" s="214" t="e">
        <f t="shared" si="322"/>
        <v>#DIV/0!</v>
      </c>
      <c r="BY9816" s="215">
        <f t="shared" si="323"/>
        <v>0</v>
      </c>
    </row>
    <row r="9817" spans="76:77" x14ac:dyDescent="0.2">
      <c r="BX9817" s="214" t="e">
        <f t="shared" si="322"/>
        <v>#DIV/0!</v>
      </c>
      <c r="BY9817" s="215">
        <f t="shared" si="323"/>
        <v>0</v>
      </c>
    </row>
    <row r="9818" spans="76:77" x14ac:dyDescent="0.2">
      <c r="BX9818" s="214" t="e">
        <f t="shared" si="322"/>
        <v>#DIV/0!</v>
      </c>
      <c r="BY9818" s="215">
        <f t="shared" si="323"/>
        <v>0</v>
      </c>
    </row>
    <row r="9819" spans="76:77" x14ac:dyDescent="0.2">
      <c r="BX9819" s="214" t="e">
        <f t="shared" si="322"/>
        <v>#DIV/0!</v>
      </c>
      <c r="BY9819" s="215">
        <f t="shared" si="323"/>
        <v>0</v>
      </c>
    </row>
    <row r="9820" spans="76:77" x14ac:dyDescent="0.2">
      <c r="BX9820" s="214" t="e">
        <f t="shared" si="322"/>
        <v>#DIV/0!</v>
      </c>
      <c r="BY9820" s="215">
        <f t="shared" si="323"/>
        <v>0</v>
      </c>
    </row>
    <row r="9821" spans="76:77" x14ac:dyDescent="0.2">
      <c r="BX9821" s="214" t="e">
        <f t="shared" si="322"/>
        <v>#DIV/0!</v>
      </c>
      <c r="BY9821" s="215">
        <f t="shared" si="323"/>
        <v>0</v>
      </c>
    </row>
    <row r="9822" spans="76:77" x14ac:dyDescent="0.2">
      <c r="BX9822" s="214" t="e">
        <f t="shared" si="322"/>
        <v>#DIV/0!</v>
      </c>
      <c r="BY9822" s="215">
        <f t="shared" si="323"/>
        <v>0</v>
      </c>
    </row>
    <row r="9823" spans="76:77" x14ac:dyDescent="0.2">
      <c r="BX9823" s="214" t="e">
        <f t="shared" si="322"/>
        <v>#DIV/0!</v>
      </c>
      <c r="BY9823" s="215">
        <f t="shared" si="323"/>
        <v>0</v>
      </c>
    </row>
    <row r="9824" spans="76:77" x14ac:dyDescent="0.2">
      <c r="BX9824" s="214" t="e">
        <f t="shared" si="322"/>
        <v>#DIV/0!</v>
      </c>
      <c r="BY9824" s="215">
        <f t="shared" si="323"/>
        <v>0</v>
      </c>
    </row>
    <row r="9825" spans="76:77" x14ac:dyDescent="0.2">
      <c r="BX9825" s="214" t="e">
        <f t="shared" si="322"/>
        <v>#DIV/0!</v>
      </c>
      <c r="BY9825" s="215">
        <f t="shared" si="323"/>
        <v>0</v>
      </c>
    </row>
    <row r="9826" spans="76:77" x14ac:dyDescent="0.2">
      <c r="BX9826" s="214" t="e">
        <f t="shared" si="322"/>
        <v>#DIV/0!</v>
      </c>
      <c r="BY9826" s="215">
        <f t="shared" si="323"/>
        <v>0</v>
      </c>
    </row>
    <row r="9827" spans="76:77" x14ac:dyDescent="0.2">
      <c r="BX9827" s="214" t="e">
        <f t="shared" si="322"/>
        <v>#DIV/0!</v>
      </c>
      <c r="BY9827" s="215">
        <f t="shared" si="323"/>
        <v>0</v>
      </c>
    </row>
    <row r="9828" spans="76:77" x14ac:dyDescent="0.2">
      <c r="BX9828" s="214" t="e">
        <f t="shared" si="322"/>
        <v>#DIV/0!</v>
      </c>
      <c r="BY9828" s="215">
        <f t="shared" si="323"/>
        <v>0</v>
      </c>
    </row>
    <row r="9829" spans="76:77" x14ac:dyDescent="0.2">
      <c r="BX9829" s="214" t="e">
        <f t="shared" si="322"/>
        <v>#DIV/0!</v>
      </c>
      <c r="BY9829" s="215">
        <f t="shared" si="323"/>
        <v>0</v>
      </c>
    </row>
    <row r="9830" spans="76:77" x14ac:dyDescent="0.2">
      <c r="BX9830" s="214" t="e">
        <f t="shared" si="322"/>
        <v>#DIV/0!</v>
      </c>
      <c r="BY9830" s="215">
        <f t="shared" si="323"/>
        <v>0</v>
      </c>
    </row>
    <row r="9831" spans="76:77" x14ac:dyDescent="0.2">
      <c r="BX9831" s="214" t="e">
        <f t="shared" si="322"/>
        <v>#DIV/0!</v>
      </c>
      <c r="BY9831" s="215">
        <f t="shared" si="323"/>
        <v>0</v>
      </c>
    </row>
    <row r="9832" spans="76:77" x14ac:dyDescent="0.2">
      <c r="BX9832" s="214" t="e">
        <f t="shared" si="322"/>
        <v>#DIV/0!</v>
      </c>
      <c r="BY9832" s="215">
        <f t="shared" si="323"/>
        <v>0</v>
      </c>
    </row>
    <row r="9833" spans="76:77" x14ac:dyDescent="0.2">
      <c r="BX9833" s="214" t="e">
        <f t="shared" si="322"/>
        <v>#DIV/0!</v>
      </c>
      <c r="BY9833" s="215">
        <f t="shared" si="323"/>
        <v>0</v>
      </c>
    </row>
    <row r="9834" spans="76:77" x14ac:dyDescent="0.2">
      <c r="BX9834" s="214" t="e">
        <f t="shared" si="322"/>
        <v>#DIV/0!</v>
      </c>
      <c r="BY9834" s="215">
        <f t="shared" si="323"/>
        <v>0</v>
      </c>
    </row>
    <row r="9835" spans="76:77" x14ac:dyDescent="0.2">
      <c r="BX9835" s="214" t="e">
        <f t="shared" si="322"/>
        <v>#DIV/0!</v>
      </c>
      <c r="BY9835" s="215">
        <f t="shared" si="323"/>
        <v>0</v>
      </c>
    </row>
    <row r="9836" spans="76:77" x14ac:dyDescent="0.2">
      <c r="BX9836" s="214" t="e">
        <f t="shared" si="322"/>
        <v>#DIV/0!</v>
      </c>
      <c r="BY9836" s="215">
        <f t="shared" si="323"/>
        <v>0</v>
      </c>
    </row>
    <row r="9837" spans="76:77" x14ac:dyDescent="0.2">
      <c r="BX9837" s="214" t="e">
        <f t="shared" si="322"/>
        <v>#DIV/0!</v>
      </c>
      <c r="BY9837" s="215">
        <f t="shared" si="323"/>
        <v>0</v>
      </c>
    </row>
    <row r="9838" spans="76:77" x14ac:dyDescent="0.2">
      <c r="BX9838" s="214" t="e">
        <f t="shared" si="322"/>
        <v>#DIV/0!</v>
      </c>
      <c r="BY9838" s="215">
        <f t="shared" si="323"/>
        <v>0</v>
      </c>
    </row>
    <row r="9839" spans="76:77" x14ac:dyDescent="0.2">
      <c r="BX9839" s="214" t="e">
        <f t="shared" si="322"/>
        <v>#DIV/0!</v>
      </c>
      <c r="BY9839" s="215">
        <f t="shared" si="323"/>
        <v>0</v>
      </c>
    </row>
    <row r="9840" spans="76:77" x14ac:dyDescent="0.2">
      <c r="BX9840" s="214" t="e">
        <f t="shared" si="322"/>
        <v>#DIV/0!</v>
      </c>
      <c r="BY9840" s="215">
        <f t="shared" si="323"/>
        <v>0</v>
      </c>
    </row>
    <row r="9841" spans="76:77" x14ac:dyDescent="0.2">
      <c r="BX9841" s="214" t="e">
        <f t="shared" si="322"/>
        <v>#DIV/0!</v>
      </c>
      <c r="BY9841" s="215">
        <f t="shared" si="323"/>
        <v>0</v>
      </c>
    </row>
    <row r="9842" spans="76:77" x14ac:dyDescent="0.2">
      <c r="BX9842" s="214" t="e">
        <f t="shared" si="322"/>
        <v>#DIV/0!</v>
      </c>
      <c r="BY9842" s="215">
        <f t="shared" si="323"/>
        <v>0</v>
      </c>
    </row>
    <row r="9843" spans="76:77" x14ac:dyDescent="0.2">
      <c r="BX9843" s="214" t="e">
        <f t="shared" si="322"/>
        <v>#DIV/0!</v>
      </c>
      <c r="BY9843" s="215">
        <f t="shared" si="323"/>
        <v>0</v>
      </c>
    </row>
    <row r="9844" spans="76:77" x14ac:dyDescent="0.2">
      <c r="BX9844" s="214" t="e">
        <f t="shared" si="322"/>
        <v>#DIV/0!</v>
      </c>
      <c r="BY9844" s="215">
        <f t="shared" si="323"/>
        <v>0</v>
      </c>
    </row>
    <row r="9845" spans="76:77" x14ac:dyDescent="0.2">
      <c r="BX9845" s="214" t="e">
        <f t="shared" si="322"/>
        <v>#DIV/0!</v>
      </c>
      <c r="BY9845" s="215">
        <f t="shared" si="323"/>
        <v>0</v>
      </c>
    </row>
    <row r="9846" spans="76:77" x14ac:dyDescent="0.2">
      <c r="BX9846" s="214" t="e">
        <f t="shared" si="322"/>
        <v>#DIV/0!</v>
      </c>
      <c r="BY9846" s="215">
        <f t="shared" si="323"/>
        <v>0</v>
      </c>
    </row>
    <row r="9847" spans="76:77" x14ac:dyDescent="0.2">
      <c r="BX9847" s="214" t="e">
        <f t="shared" si="322"/>
        <v>#DIV/0!</v>
      </c>
      <c r="BY9847" s="215">
        <f t="shared" si="323"/>
        <v>0</v>
      </c>
    </row>
    <row r="9848" spans="76:77" x14ac:dyDescent="0.2">
      <c r="BX9848" s="214" t="e">
        <f t="shared" si="322"/>
        <v>#DIV/0!</v>
      </c>
      <c r="BY9848" s="215">
        <f t="shared" si="323"/>
        <v>0</v>
      </c>
    </row>
    <row r="9849" spans="76:77" x14ac:dyDescent="0.2">
      <c r="BX9849" s="214" t="e">
        <f t="shared" si="322"/>
        <v>#DIV/0!</v>
      </c>
      <c r="BY9849" s="215">
        <f t="shared" si="323"/>
        <v>0</v>
      </c>
    </row>
    <row r="9850" spans="76:77" x14ac:dyDescent="0.2">
      <c r="BX9850" s="214" t="e">
        <f t="shared" si="322"/>
        <v>#DIV/0!</v>
      </c>
      <c r="BY9850" s="215">
        <f t="shared" si="323"/>
        <v>0</v>
      </c>
    </row>
    <row r="9851" spans="76:77" x14ac:dyDescent="0.2">
      <c r="BX9851" s="214" t="e">
        <f t="shared" si="322"/>
        <v>#DIV/0!</v>
      </c>
      <c r="BY9851" s="215">
        <f t="shared" si="323"/>
        <v>0</v>
      </c>
    </row>
    <row r="9852" spans="76:77" x14ac:dyDescent="0.2">
      <c r="BX9852" s="214" t="e">
        <f t="shared" si="322"/>
        <v>#DIV/0!</v>
      </c>
      <c r="BY9852" s="215">
        <f t="shared" si="323"/>
        <v>0</v>
      </c>
    </row>
    <row r="9853" spans="76:77" x14ac:dyDescent="0.2">
      <c r="BX9853" s="214" t="e">
        <f t="shared" si="322"/>
        <v>#DIV/0!</v>
      </c>
      <c r="BY9853" s="215">
        <f t="shared" si="323"/>
        <v>0</v>
      </c>
    </row>
    <row r="9854" spans="76:77" x14ac:dyDescent="0.2">
      <c r="BX9854" s="214" t="e">
        <f t="shared" si="322"/>
        <v>#DIV/0!</v>
      </c>
      <c r="BY9854" s="215">
        <f t="shared" si="323"/>
        <v>0</v>
      </c>
    </row>
    <row r="9855" spans="76:77" x14ac:dyDescent="0.2">
      <c r="BX9855" s="214" t="e">
        <f t="shared" si="322"/>
        <v>#DIV/0!</v>
      </c>
      <c r="BY9855" s="215">
        <f t="shared" si="323"/>
        <v>0</v>
      </c>
    </row>
    <row r="9856" spans="76:77" x14ac:dyDescent="0.2">
      <c r="BX9856" s="214" t="e">
        <f t="shared" si="322"/>
        <v>#DIV/0!</v>
      </c>
      <c r="BY9856" s="215">
        <f t="shared" si="323"/>
        <v>0</v>
      </c>
    </row>
    <row r="9857" spans="76:77" x14ac:dyDescent="0.2">
      <c r="BX9857" s="214" t="e">
        <f t="shared" si="322"/>
        <v>#DIV/0!</v>
      </c>
      <c r="BY9857" s="215">
        <f t="shared" si="323"/>
        <v>0</v>
      </c>
    </row>
    <row r="9858" spans="76:77" x14ac:dyDescent="0.2">
      <c r="BX9858" s="214" t="e">
        <f t="shared" si="322"/>
        <v>#DIV/0!</v>
      </c>
      <c r="BY9858" s="215">
        <f t="shared" si="323"/>
        <v>0</v>
      </c>
    </row>
    <row r="9859" spans="76:77" x14ac:dyDescent="0.2">
      <c r="BX9859" s="214" t="e">
        <f t="shared" si="322"/>
        <v>#DIV/0!</v>
      </c>
      <c r="BY9859" s="215">
        <f t="shared" si="323"/>
        <v>0</v>
      </c>
    </row>
    <row r="9860" spans="76:77" x14ac:dyDescent="0.2">
      <c r="BX9860" s="214" t="e">
        <f t="shared" si="322"/>
        <v>#DIV/0!</v>
      </c>
      <c r="BY9860" s="215">
        <f t="shared" si="323"/>
        <v>0</v>
      </c>
    </row>
    <row r="9861" spans="76:77" x14ac:dyDescent="0.2">
      <c r="BX9861" s="214" t="e">
        <f t="shared" si="322"/>
        <v>#DIV/0!</v>
      </c>
      <c r="BY9861" s="215">
        <f t="shared" si="323"/>
        <v>0</v>
      </c>
    </row>
    <row r="9862" spans="76:77" x14ac:dyDescent="0.2">
      <c r="BX9862" s="214" t="e">
        <f t="shared" si="322"/>
        <v>#DIV/0!</v>
      </c>
      <c r="BY9862" s="215">
        <f t="shared" si="323"/>
        <v>0</v>
      </c>
    </row>
    <row r="9863" spans="76:77" x14ac:dyDescent="0.2">
      <c r="BX9863" s="214" t="e">
        <f t="shared" si="322"/>
        <v>#DIV/0!</v>
      </c>
      <c r="BY9863" s="215">
        <f t="shared" si="323"/>
        <v>0</v>
      </c>
    </row>
    <row r="9864" spans="76:77" x14ac:dyDescent="0.2">
      <c r="BX9864" s="214" t="e">
        <f t="shared" si="322"/>
        <v>#DIV/0!</v>
      </c>
      <c r="BY9864" s="215">
        <f t="shared" si="323"/>
        <v>0</v>
      </c>
    </row>
    <row r="9865" spans="76:77" x14ac:dyDescent="0.2">
      <c r="BX9865" s="214" t="e">
        <f t="shared" si="322"/>
        <v>#DIV/0!</v>
      </c>
      <c r="BY9865" s="215">
        <f t="shared" si="323"/>
        <v>0</v>
      </c>
    </row>
    <row r="9866" spans="76:77" x14ac:dyDescent="0.2">
      <c r="BX9866" s="214" t="e">
        <f t="shared" si="322"/>
        <v>#DIV/0!</v>
      </c>
      <c r="BY9866" s="215">
        <f t="shared" si="323"/>
        <v>0</v>
      </c>
    </row>
    <row r="9867" spans="76:77" x14ac:dyDescent="0.2">
      <c r="BX9867" s="214" t="e">
        <f t="shared" si="322"/>
        <v>#DIV/0!</v>
      </c>
      <c r="BY9867" s="215">
        <f t="shared" si="323"/>
        <v>0</v>
      </c>
    </row>
    <row r="9868" spans="76:77" x14ac:dyDescent="0.2">
      <c r="BX9868" s="214" t="e">
        <f t="shared" si="322"/>
        <v>#DIV/0!</v>
      </c>
      <c r="BY9868" s="215">
        <f t="shared" si="323"/>
        <v>0</v>
      </c>
    </row>
    <row r="9869" spans="76:77" x14ac:dyDescent="0.2">
      <c r="BX9869" s="214" t="e">
        <f t="shared" ref="BX9869:BX9932" si="324">BY9869/BV9869</f>
        <v>#DIV/0!</v>
      </c>
      <c r="BY9869" s="215">
        <f t="shared" si="323"/>
        <v>0</v>
      </c>
    </row>
    <row r="9870" spans="76:77" x14ac:dyDescent="0.2">
      <c r="BX9870" s="214" t="e">
        <f t="shared" si="324"/>
        <v>#DIV/0!</v>
      </c>
      <c r="BY9870" s="215">
        <f t="shared" ref="BY9870:BY9933" si="325">BY9869+BW9870*(BV9870-BV9869)</f>
        <v>0</v>
      </c>
    </row>
    <row r="9871" spans="76:77" x14ac:dyDescent="0.2">
      <c r="BX9871" s="214" t="e">
        <f t="shared" si="324"/>
        <v>#DIV/0!</v>
      </c>
      <c r="BY9871" s="215">
        <f t="shared" si="325"/>
        <v>0</v>
      </c>
    </row>
    <row r="9872" spans="76:77" x14ac:dyDescent="0.2">
      <c r="BX9872" s="214" t="e">
        <f t="shared" si="324"/>
        <v>#DIV/0!</v>
      </c>
      <c r="BY9872" s="215">
        <f t="shared" si="325"/>
        <v>0</v>
      </c>
    </row>
    <row r="9873" spans="76:77" x14ac:dyDescent="0.2">
      <c r="BX9873" s="214" t="e">
        <f t="shared" si="324"/>
        <v>#DIV/0!</v>
      </c>
      <c r="BY9873" s="215">
        <f t="shared" si="325"/>
        <v>0</v>
      </c>
    </row>
    <row r="9874" spans="76:77" x14ac:dyDescent="0.2">
      <c r="BX9874" s="214" t="e">
        <f t="shared" si="324"/>
        <v>#DIV/0!</v>
      </c>
      <c r="BY9874" s="215">
        <f t="shared" si="325"/>
        <v>0</v>
      </c>
    </row>
    <row r="9875" spans="76:77" x14ac:dyDescent="0.2">
      <c r="BX9875" s="214" t="e">
        <f t="shared" si="324"/>
        <v>#DIV/0!</v>
      </c>
      <c r="BY9875" s="215">
        <f t="shared" si="325"/>
        <v>0</v>
      </c>
    </row>
    <row r="9876" spans="76:77" x14ac:dyDescent="0.2">
      <c r="BX9876" s="214" t="e">
        <f t="shared" si="324"/>
        <v>#DIV/0!</v>
      </c>
      <c r="BY9876" s="215">
        <f t="shared" si="325"/>
        <v>0</v>
      </c>
    </row>
    <row r="9877" spans="76:77" x14ac:dyDescent="0.2">
      <c r="BX9877" s="214" t="e">
        <f t="shared" si="324"/>
        <v>#DIV/0!</v>
      </c>
      <c r="BY9877" s="215">
        <f t="shared" si="325"/>
        <v>0</v>
      </c>
    </row>
    <row r="9878" spans="76:77" x14ac:dyDescent="0.2">
      <c r="BX9878" s="214" t="e">
        <f t="shared" si="324"/>
        <v>#DIV/0!</v>
      </c>
      <c r="BY9878" s="215">
        <f t="shared" si="325"/>
        <v>0</v>
      </c>
    </row>
    <row r="9879" spans="76:77" x14ac:dyDescent="0.2">
      <c r="BX9879" s="214" t="e">
        <f t="shared" si="324"/>
        <v>#DIV/0!</v>
      </c>
      <c r="BY9879" s="215">
        <f t="shared" si="325"/>
        <v>0</v>
      </c>
    </row>
    <row r="9880" spans="76:77" x14ac:dyDescent="0.2">
      <c r="BX9880" s="214" t="e">
        <f t="shared" si="324"/>
        <v>#DIV/0!</v>
      </c>
      <c r="BY9880" s="215">
        <f t="shared" si="325"/>
        <v>0</v>
      </c>
    </row>
    <row r="9881" spans="76:77" x14ac:dyDescent="0.2">
      <c r="BX9881" s="214" t="e">
        <f t="shared" si="324"/>
        <v>#DIV/0!</v>
      </c>
      <c r="BY9881" s="215">
        <f t="shared" si="325"/>
        <v>0</v>
      </c>
    </row>
    <row r="9882" spans="76:77" x14ac:dyDescent="0.2">
      <c r="BX9882" s="214" t="e">
        <f t="shared" si="324"/>
        <v>#DIV/0!</v>
      </c>
      <c r="BY9882" s="215">
        <f t="shared" si="325"/>
        <v>0</v>
      </c>
    </row>
    <row r="9883" spans="76:77" x14ac:dyDescent="0.2">
      <c r="BX9883" s="214" t="e">
        <f t="shared" si="324"/>
        <v>#DIV/0!</v>
      </c>
      <c r="BY9883" s="215">
        <f t="shared" si="325"/>
        <v>0</v>
      </c>
    </row>
    <row r="9884" spans="76:77" x14ac:dyDescent="0.2">
      <c r="BX9884" s="214" t="e">
        <f t="shared" si="324"/>
        <v>#DIV/0!</v>
      </c>
      <c r="BY9884" s="215">
        <f t="shared" si="325"/>
        <v>0</v>
      </c>
    </row>
    <row r="9885" spans="76:77" x14ac:dyDescent="0.2">
      <c r="BX9885" s="214" t="e">
        <f t="shared" si="324"/>
        <v>#DIV/0!</v>
      </c>
      <c r="BY9885" s="215">
        <f t="shared" si="325"/>
        <v>0</v>
      </c>
    </row>
    <row r="9886" spans="76:77" x14ac:dyDescent="0.2">
      <c r="BX9886" s="214" t="e">
        <f t="shared" si="324"/>
        <v>#DIV/0!</v>
      </c>
      <c r="BY9886" s="215">
        <f t="shared" si="325"/>
        <v>0</v>
      </c>
    </row>
    <row r="9887" spans="76:77" x14ac:dyDescent="0.2">
      <c r="BX9887" s="214" t="e">
        <f t="shared" si="324"/>
        <v>#DIV/0!</v>
      </c>
      <c r="BY9887" s="215">
        <f t="shared" si="325"/>
        <v>0</v>
      </c>
    </row>
    <row r="9888" spans="76:77" x14ac:dyDescent="0.2">
      <c r="BX9888" s="214" t="e">
        <f t="shared" si="324"/>
        <v>#DIV/0!</v>
      </c>
      <c r="BY9888" s="215">
        <f t="shared" si="325"/>
        <v>0</v>
      </c>
    </row>
    <row r="9889" spans="76:77" x14ac:dyDescent="0.2">
      <c r="BX9889" s="214" t="e">
        <f t="shared" si="324"/>
        <v>#DIV/0!</v>
      </c>
      <c r="BY9889" s="215">
        <f t="shared" si="325"/>
        <v>0</v>
      </c>
    </row>
    <row r="9890" spans="76:77" x14ac:dyDescent="0.2">
      <c r="BX9890" s="214" t="e">
        <f t="shared" si="324"/>
        <v>#DIV/0!</v>
      </c>
      <c r="BY9890" s="215">
        <f t="shared" si="325"/>
        <v>0</v>
      </c>
    </row>
    <row r="9891" spans="76:77" x14ac:dyDescent="0.2">
      <c r="BX9891" s="214" t="e">
        <f t="shared" si="324"/>
        <v>#DIV/0!</v>
      </c>
      <c r="BY9891" s="215">
        <f t="shared" si="325"/>
        <v>0</v>
      </c>
    </row>
    <row r="9892" spans="76:77" x14ac:dyDescent="0.2">
      <c r="BX9892" s="214" t="e">
        <f t="shared" si="324"/>
        <v>#DIV/0!</v>
      </c>
      <c r="BY9892" s="215">
        <f t="shared" si="325"/>
        <v>0</v>
      </c>
    </row>
    <row r="9893" spans="76:77" x14ac:dyDescent="0.2">
      <c r="BX9893" s="214" t="e">
        <f t="shared" si="324"/>
        <v>#DIV/0!</v>
      </c>
      <c r="BY9893" s="215">
        <f t="shared" si="325"/>
        <v>0</v>
      </c>
    </row>
    <row r="9894" spans="76:77" x14ac:dyDescent="0.2">
      <c r="BX9894" s="214" t="e">
        <f t="shared" si="324"/>
        <v>#DIV/0!</v>
      </c>
      <c r="BY9894" s="215">
        <f t="shared" si="325"/>
        <v>0</v>
      </c>
    </row>
    <row r="9895" spans="76:77" x14ac:dyDescent="0.2">
      <c r="BX9895" s="214" t="e">
        <f t="shared" si="324"/>
        <v>#DIV/0!</v>
      </c>
      <c r="BY9895" s="215">
        <f t="shared" si="325"/>
        <v>0</v>
      </c>
    </row>
    <row r="9896" spans="76:77" x14ac:dyDescent="0.2">
      <c r="BX9896" s="214" t="e">
        <f t="shared" si="324"/>
        <v>#DIV/0!</v>
      </c>
      <c r="BY9896" s="215">
        <f t="shared" si="325"/>
        <v>0</v>
      </c>
    </row>
    <row r="9897" spans="76:77" x14ac:dyDescent="0.2">
      <c r="BX9897" s="214" t="e">
        <f t="shared" si="324"/>
        <v>#DIV/0!</v>
      </c>
      <c r="BY9897" s="215">
        <f t="shared" si="325"/>
        <v>0</v>
      </c>
    </row>
    <row r="9898" spans="76:77" x14ac:dyDescent="0.2">
      <c r="BX9898" s="214" t="e">
        <f t="shared" si="324"/>
        <v>#DIV/0!</v>
      </c>
      <c r="BY9898" s="215">
        <f t="shared" si="325"/>
        <v>0</v>
      </c>
    </row>
    <row r="9899" spans="76:77" x14ac:dyDescent="0.2">
      <c r="BX9899" s="214" t="e">
        <f t="shared" si="324"/>
        <v>#DIV/0!</v>
      </c>
      <c r="BY9899" s="215">
        <f t="shared" si="325"/>
        <v>0</v>
      </c>
    </row>
    <row r="9900" spans="76:77" x14ac:dyDescent="0.2">
      <c r="BX9900" s="214" t="e">
        <f t="shared" si="324"/>
        <v>#DIV/0!</v>
      </c>
      <c r="BY9900" s="215">
        <f t="shared" si="325"/>
        <v>0</v>
      </c>
    </row>
    <row r="9901" spans="76:77" x14ac:dyDescent="0.2">
      <c r="BX9901" s="214" t="e">
        <f t="shared" si="324"/>
        <v>#DIV/0!</v>
      </c>
      <c r="BY9901" s="215">
        <f t="shared" si="325"/>
        <v>0</v>
      </c>
    </row>
    <row r="9902" spans="76:77" x14ac:dyDescent="0.2">
      <c r="BX9902" s="214" t="e">
        <f t="shared" si="324"/>
        <v>#DIV/0!</v>
      </c>
      <c r="BY9902" s="215">
        <f t="shared" si="325"/>
        <v>0</v>
      </c>
    </row>
    <row r="9903" spans="76:77" x14ac:dyDescent="0.2">
      <c r="BX9903" s="214" t="e">
        <f t="shared" si="324"/>
        <v>#DIV/0!</v>
      </c>
      <c r="BY9903" s="215">
        <f t="shared" si="325"/>
        <v>0</v>
      </c>
    </row>
    <row r="9904" spans="76:77" x14ac:dyDescent="0.2">
      <c r="BX9904" s="214" t="e">
        <f t="shared" si="324"/>
        <v>#DIV/0!</v>
      </c>
      <c r="BY9904" s="215">
        <f t="shared" si="325"/>
        <v>0</v>
      </c>
    </row>
    <row r="9905" spans="76:77" x14ac:dyDescent="0.2">
      <c r="BX9905" s="214" t="e">
        <f t="shared" si="324"/>
        <v>#DIV/0!</v>
      </c>
      <c r="BY9905" s="215">
        <f t="shared" si="325"/>
        <v>0</v>
      </c>
    </row>
    <row r="9906" spans="76:77" x14ac:dyDescent="0.2">
      <c r="BX9906" s="214" t="e">
        <f t="shared" si="324"/>
        <v>#DIV/0!</v>
      </c>
      <c r="BY9906" s="215">
        <f t="shared" si="325"/>
        <v>0</v>
      </c>
    </row>
    <row r="9907" spans="76:77" x14ac:dyDescent="0.2">
      <c r="BX9907" s="214" t="e">
        <f t="shared" si="324"/>
        <v>#DIV/0!</v>
      </c>
      <c r="BY9907" s="215">
        <f t="shared" si="325"/>
        <v>0</v>
      </c>
    </row>
    <row r="9908" spans="76:77" x14ac:dyDescent="0.2">
      <c r="BX9908" s="214" t="e">
        <f t="shared" si="324"/>
        <v>#DIV/0!</v>
      </c>
      <c r="BY9908" s="215">
        <f t="shared" si="325"/>
        <v>0</v>
      </c>
    </row>
    <row r="9909" spans="76:77" x14ac:dyDescent="0.2">
      <c r="BX9909" s="214" t="e">
        <f t="shared" si="324"/>
        <v>#DIV/0!</v>
      </c>
      <c r="BY9909" s="215">
        <f t="shared" si="325"/>
        <v>0</v>
      </c>
    </row>
    <row r="9910" spans="76:77" x14ac:dyDescent="0.2">
      <c r="BX9910" s="214" t="e">
        <f t="shared" si="324"/>
        <v>#DIV/0!</v>
      </c>
      <c r="BY9910" s="215">
        <f t="shared" si="325"/>
        <v>0</v>
      </c>
    </row>
    <row r="9911" spans="76:77" x14ac:dyDescent="0.2">
      <c r="BX9911" s="214" t="e">
        <f t="shared" si="324"/>
        <v>#DIV/0!</v>
      </c>
      <c r="BY9911" s="215">
        <f t="shared" si="325"/>
        <v>0</v>
      </c>
    </row>
    <row r="9912" spans="76:77" x14ac:dyDescent="0.2">
      <c r="BX9912" s="214" t="e">
        <f t="shared" si="324"/>
        <v>#DIV/0!</v>
      </c>
      <c r="BY9912" s="215">
        <f t="shared" si="325"/>
        <v>0</v>
      </c>
    </row>
    <row r="9913" spans="76:77" x14ac:dyDescent="0.2">
      <c r="BX9913" s="214" t="e">
        <f t="shared" si="324"/>
        <v>#DIV/0!</v>
      </c>
      <c r="BY9913" s="215">
        <f t="shared" si="325"/>
        <v>0</v>
      </c>
    </row>
    <row r="9914" spans="76:77" x14ac:dyDescent="0.2">
      <c r="BX9914" s="214" t="e">
        <f t="shared" si="324"/>
        <v>#DIV/0!</v>
      </c>
      <c r="BY9914" s="215">
        <f t="shared" si="325"/>
        <v>0</v>
      </c>
    </row>
    <row r="9915" spans="76:77" x14ac:dyDescent="0.2">
      <c r="BX9915" s="214" t="e">
        <f t="shared" si="324"/>
        <v>#DIV/0!</v>
      </c>
      <c r="BY9915" s="215">
        <f t="shared" si="325"/>
        <v>0</v>
      </c>
    </row>
    <row r="9916" spans="76:77" x14ac:dyDescent="0.2">
      <c r="BX9916" s="214" t="e">
        <f t="shared" si="324"/>
        <v>#DIV/0!</v>
      </c>
      <c r="BY9916" s="215">
        <f t="shared" si="325"/>
        <v>0</v>
      </c>
    </row>
    <row r="9917" spans="76:77" x14ac:dyDescent="0.2">
      <c r="BX9917" s="214" t="e">
        <f t="shared" si="324"/>
        <v>#DIV/0!</v>
      </c>
      <c r="BY9917" s="215">
        <f t="shared" si="325"/>
        <v>0</v>
      </c>
    </row>
    <row r="9918" spans="76:77" x14ac:dyDescent="0.2">
      <c r="BX9918" s="214" t="e">
        <f t="shared" si="324"/>
        <v>#DIV/0!</v>
      </c>
      <c r="BY9918" s="215">
        <f t="shared" si="325"/>
        <v>0</v>
      </c>
    </row>
    <row r="9919" spans="76:77" x14ac:dyDescent="0.2">
      <c r="BX9919" s="214" t="e">
        <f t="shared" si="324"/>
        <v>#DIV/0!</v>
      </c>
      <c r="BY9919" s="215">
        <f t="shared" si="325"/>
        <v>0</v>
      </c>
    </row>
    <row r="9920" spans="76:77" x14ac:dyDescent="0.2">
      <c r="BX9920" s="214" t="e">
        <f t="shared" si="324"/>
        <v>#DIV/0!</v>
      </c>
      <c r="BY9920" s="215">
        <f t="shared" si="325"/>
        <v>0</v>
      </c>
    </row>
    <row r="9921" spans="76:77" x14ac:dyDescent="0.2">
      <c r="BX9921" s="214" t="e">
        <f t="shared" si="324"/>
        <v>#DIV/0!</v>
      </c>
      <c r="BY9921" s="215">
        <f t="shared" si="325"/>
        <v>0</v>
      </c>
    </row>
    <row r="9922" spans="76:77" x14ac:dyDescent="0.2">
      <c r="BX9922" s="214" t="e">
        <f t="shared" si="324"/>
        <v>#DIV/0!</v>
      </c>
      <c r="BY9922" s="215">
        <f t="shared" si="325"/>
        <v>0</v>
      </c>
    </row>
    <row r="9923" spans="76:77" x14ac:dyDescent="0.2">
      <c r="BX9923" s="214" t="e">
        <f t="shared" si="324"/>
        <v>#DIV/0!</v>
      </c>
      <c r="BY9923" s="215">
        <f t="shared" si="325"/>
        <v>0</v>
      </c>
    </row>
    <row r="9924" spans="76:77" x14ac:dyDescent="0.2">
      <c r="BX9924" s="214" t="e">
        <f t="shared" si="324"/>
        <v>#DIV/0!</v>
      </c>
      <c r="BY9924" s="215">
        <f t="shared" si="325"/>
        <v>0</v>
      </c>
    </row>
    <row r="9925" spans="76:77" x14ac:dyDescent="0.2">
      <c r="BX9925" s="214" t="e">
        <f t="shared" si="324"/>
        <v>#DIV/0!</v>
      </c>
      <c r="BY9925" s="215">
        <f t="shared" si="325"/>
        <v>0</v>
      </c>
    </row>
    <row r="9926" spans="76:77" x14ac:dyDescent="0.2">
      <c r="BX9926" s="214" t="e">
        <f t="shared" si="324"/>
        <v>#DIV/0!</v>
      </c>
      <c r="BY9926" s="215">
        <f t="shared" si="325"/>
        <v>0</v>
      </c>
    </row>
    <row r="9927" spans="76:77" x14ac:dyDescent="0.2">
      <c r="BX9927" s="214" t="e">
        <f t="shared" si="324"/>
        <v>#DIV/0!</v>
      </c>
      <c r="BY9927" s="215">
        <f t="shared" si="325"/>
        <v>0</v>
      </c>
    </row>
    <row r="9928" spans="76:77" x14ac:dyDescent="0.2">
      <c r="BX9928" s="214" t="e">
        <f t="shared" si="324"/>
        <v>#DIV/0!</v>
      </c>
      <c r="BY9928" s="215">
        <f t="shared" si="325"/>
        <v>0</v>
      </c>
    </row>
    <row r="9929" spans="76:77" x14ac:dyDescent="0.2">
      <c r="BX9929" s="214" t="e">
        <f t="shared" si="324"/>
        <v>#DIV/0!</v>
      </c>
      <c r="BY9929" s="215">
        <f t="shared" si="325"/>
        <v>0</v>
      </c>
    </row>
    <row r="9930" spans="76:77" x14ac:dyDescent="0.2">
      <c r="BX9930" s="214" t="e">
        <f t="shared" si="324"/>
        <v>#DIV/0!</v>
      </c>
      <c r="BY9930" s="215">
        <f t="shared" si="325"/>
        <v>0</v>
      </c>
    </row>
    <row r="9931" spans="76:77" x14ac:dyDescent="0.2">
      <c r="BX9931" s="214" t="e">
        <f t="shared" si="324"/>
        <v>#DIV/0!</v>
      </c>
      <c r="BY9931" s="215">
        <f t="shared" si="325"/>
        <v>0</v>
      </c>
    </row>
    <row r="9932" spans="76:77" x14ac:dyDescent="0.2">
      <c r="BX9932" s="214" t="e">
        <f t="shared" si="324"/>
        <v>#DIV/0!</v>
      </c>
      <c r="BY9932" s="215">
        <f t="shared" si="325"/>
        <v>0</v>
      </c>
    </row>
    <row r="9933" spans="76:77" x14ac:dyDescent="0.2">
      <c r="BX9933" s="214" t="e">
        <f t="shared" ref="BX9933:BX9996" si="326">BY9933/BV9933</f>
        <v>#DIV/0!</v>
      </c>
      <c r="BY9933" s="215">
        <f t="shared" si="325"/>
        <v>0</v>
      </c>
    </row>
    <row r="9934" spans="76:77" x14ac:dyDescent="0.2">
      <c r="BX9934" s="214" t="e">
        <f t="shared" si="326"/>
        <v>#DIV/0!</v>
      </c>
      <c r="BY9934" s="215">
        <f t="shared" ref="BY9934:BY9997" si="327">BY9933+BW9934*(BV9934-BV9933)</f>
        <v>0</v>
      </c>
    </row>
    <row r="9935" spans="76:77" x14ac:dyDescent="0.2">
      <c r="BX9935" s="214" t="e">
        <f t="shared" si="326"/>
        <v>#DIV/0!</v>
      </c>
      <c r="BY9935" s="215">
        <f t="shared" si="327"/>
        <v>0</v>
      </c>
    </row>
    <row r="9936" spans="76:77" x14ac:dyDescent="0.2">
      <c r="BX9936" s="214" t="e">
        <f t="shared" si="326"/>
        <v>#DIV/0!</v>
      </c>
      <c r="BY9936" s="215">
        <f t="shared" si="327"/>
        <v>0</v>
      </c>
    </row>
    <row r="9937" spans="76:77" x14ac:dyDescent="0.2">
      <c r="BX9937" s="214" t="e">
        <f t="shared" si="326"/>
        <v>#DIV/0!</v>
      </c>
      <c r="BY9937" s="215">
        <f t="shared" si="327"/>
        <v>0</v>
      </c>
    </row>
    <row r="9938" spans="76:77" x14ac:dyDescent="0.2">
      <c r="BX9938" s="214" t="e">
        <f t="shared" si="326"/>
        <v>#DIV/0!</v>
      </c>
      <c r="BY9938" s="215">
        <f t="shared" si="327"/>
        <v>0</v>
      </c>
    </row>
    <row r="9939" spans="76:77" x14ac:dyDescent="0.2">
      <c r="BX9939" s="214" t="e">
        <f t="shared" si="326"/>
        <v>#DIV/0!</v>
      </c>
      <c r="BY9939" s="215">
        <f t="shared" si="327"/>
        <v>0</v>
      </c>
    </row>
    <row r="9940" spans="76:77" x14ac:dyDescent="0.2">
      <c r="BX9940" s="214" t="e">
        <f t="shared" si="326"/>
        <v>#DIV/0!</v>
      </c>
      <c r="BY9940" s="215">
        <f t="shared" si="327"/>
        <v>0</v>
      </c>
    </row>
    <row r="9941" spans="76:77" x14ac:dyDescent="0.2">
      <c r="BX9941" s="214" t="e">
        <f t="shared" si="326"/>
        <v>#DIV/0!</v>
      </c>
      <c r="BY9941" s="215">
        <f t="shared" si="327"/>
        <v>0</v>
      </c>
    </row>
    <row r="9942" spans="76:77" x14ac:dyDescent="0.2">
      <c r="BX9942" s="214" t="e">
        <f t="shared" si="326"/>
        <v>#DIV/0!</v>
      </c>
      <c r="BY9942" s="215">
        <f t="shared" si="327"/>
        <v>0</v>
      </c>
    </row>
    <row r="9943" spans="76:77" x14ac:dyDescent="0.2">
      <c r="BX9943" s="214" t="e">
        <f t="shared" si="326"/>
        <v>#DIV/0!</v>
      </c>
      <c r="BY9943" s="215">
        <f t="shared" si="327"/>
        <v>0</v>
      </c>
    </row>
    <row r="9944" spans="76:77" x14ac:dyDescent="0.2">
      <c r="BX9944" s="214" t="e">
        <f t="shared" si="326"/>
        <v>#DIV/0!</v>
      </c>
      <c r="BY9944" s="215">
        <f t="shared" si="327"/>
        <v>0</v>
      </c>
    </row>
    <row r="9945" spans="76:77" x14ac:dyDescent="0.2">
      <c r="BX9945" s="214" t="e">
        <f t="shared" si="326"/>
        <v>#DIV/0!</v>
      </c>
      <c r="BY9945" s="215">
        <f t="shared" si="327"/>
        <v>0</v>
      </c>
    </row>
    <row r="9946" spans="76:77" x14ac:dyDescent="0.2">
      <c r="BX9946" s="214" t="e">
        <f t="shared" si="326"/>
        <v>#DIV/0!</v>
      </c>
      <c r="BY9946" s="215">
        <f t="shared" si="327"/>
        <v>0</v>
      </c>
    </row>
    <row r="9947" spans="76:77" x14ac:dyDescent="0.2">
      <c r="BX9947" s="214" t="e">
        <f t="shared" si="326"/>
        <v>#DIV/0!</v>
      </c>
      <c r="BY9947" s="215">
        <f t="shared" si="327"/>
        <v>0</v>
      </c>
    </row>
    <row r="9948" spans="76:77" x14ac:dyDescent="0.2">
      <c r="BX9948" s="214" t="e">
        <f t="shared" si="326"/>
        <v>#DIV/0!</v>
      </c>
      <c r="BY9948" s="215">
        <f t="shared" si="327"/>
        <v>0</v>
      </c>
    </row>
    <row r="9949" spans="76:77" x14ac:dyDescent="0.2">
      <c r="BX9949" s="214" t="e">
        <f t="shared" si="326"/>
        <v>#DIV/0!</v>
      </c>
      <c r="BY9949" s="215">
        <f t="shared" si="327"/>
        <v>0</v>
      </c>
    </row>
    <row r="9950" spans="76:77" x14ac:dyDescent="0.2">
      <c r="BX9950" s="214" t="e">
        <f t="shared" si="326"/>
        <v>#DIV/0!</v>
      </c>
      <c r="BY9950" s="215">
        <f t="shared" si="327"/>
        <v>0</v>
      </c>
    </row>
    <row r="9951" spans="76:77" x14ac:dyDescent="0.2">
      <c r="BX9951" s="214" t="e">
        <f t="shared" si="326"/>
        <v>#DIV/0!</v>
      </c>
      <c r="BY9951" s="215">
        <f t="shared" si="327"/>
        <v>0</v>
      </c>
    </row>
    <row r="9952" spans="76:77" x14ac:dyDescent="0.2">
      <c r="BX9952" s="214" t="e">
        <f t="shared" si="326"/>
        <v>#DIV/0!</v>
      </c>
      <c r="BY9952" s="215">
        <f t="shared" si="327"/>
        <v>0</v>
      </c>
    </row>
    <row r="9953" spans="76:77" x14ac:dyDescent="0.2">
      <c r="BX9953" s="214" t="e">
        <f t="shared" si="326"/>
        <v>#DIV/0!</v>
      </c>
      <c r="BY9953" s="215">
        <f t="shared" si="327"/>
        <v>0</v>
      </c>
    </row>
    <row r="9954" spans="76:77" x14ac:dyDescent="0.2">
      <c r="BX9954" s="214" t="e">
        <f t="shared" si="326"/>
        <v>#DIV/0!</v>
      </c>
      <c r="BY9954" s="215">
        <f t="shared" si="327"/>
        <v>0</v>
      </c>
    </row>
    <row r="9955" spans="76:77" x14ac:dyDescent="0.2">
      <c r="BX9955" s="214" t="e">
        <f t="shared" si="326"/>
        <v>#DIV/0!</v>
      </c>
      <c r="BY9955" s="215">
        <f t="shared" si="327"/>
        <v>0</v>
      </c>
    </row>
    <row r="9956" spans="76:77" x14ac:dyDescent="0.2">
      <c r="BX9956" s="214" t="e">
        <f t="shared" si="326"/>
        <v>#DIV/0!</v>
      </c>
      <c r="BY9956" s="215">
        <f t="shared" si="327"/>
        <v>0</v>
      </c>
    </row>
    <row r="9957" spans="76:77" x14ac:dyDescent="0.2">
      <c r="BX9957" s="214" t="e">
        <f t="shared" si="326"/>
        <v>#DIV/0!</v>
      </c>
      <c r="BY9957" s="215">
        <f t="shared" si="327"/>
        <v>0</v>
      </c>
    </row>
    <row r="9958" spans="76:77" x14ac:dyDescent="0.2">
      <c r="BX9958" s="214" t="e">
        <f t="shared" si="326"/>
        <v>#DIV/0!</v>
      </c>
      <c r="BY9958" s="215">
        <f t="shared" si="327"/>
        <v>0</v>
      </c>
    </row>
    <row r="9959" spans="76:77" x14ac:dyDescent="0.2">
      <c r="BX9959" s="214" t="e">
        <f t="shared" si="326"/>
        <v>#DIV/0!</v>
      </c>
      <c r="BY9959" s="215">
        <f t="shared" si="327"/>
        <v>0</v>
      </c>
    </row>
    <row r="9960" spans="76:77" x14ac:dyDescent="0.2">
      <c r="BX9960" s="214" t="e">
        <f t="shared" si="326"/>
        <v>#DIV/0!</v>
      </c>
      <c r="BY9960" s="215">
        <f t="shared" si="327"/>
        <v>0</v>
      </c>
    </row>
    <row r="9961" spans="76:77" x14ac:dyDescent="0.2">
      <c r="BX9961" s="214" t="e">
        <f t="shared" si="326"/>
        <v>#DIV/0!</v>
      </c>
      <c r="BY9961" s="215">
        <f t="shared" si="327"/>
        <v>0</v>
      </c>
    </row>
    <row r="9962" spans="76:77" x14ac:dyDescent="0.2">
      <c r="BX9962" s="214" t="e">
        <f t="shared" si="326"/>
        <v>#DIV/0!</v>
      </c>
      <c r="BY9962" s="215">
        <f t="shared" si="327"/>
        <v>0</v>
      </c>
    </row>
    <row r="9963" spans="76:77" x14ac:dyDescent="0.2">
      <c r="BX9963" s="214" t="e">
        <f t="shared" si="326"/>
        <v>#DIV/0!</v>
      </c>
      <c r="BY9963" s="215">
        <f t="shared" si="327"/>
        <v>0</v>
      </c>
    </row>
    <row r="9964" spans="76:77" x14ac:dyDescent="0.2">
      <c r="BX9964" s="214" t="e">
        <f t="shared" si="326"/>
        <v>#DIV/0!</v>
      </c>
      <c r="BY9964" s="215">
        <f t="shared" si="327"/>
        <v>0</v>
      </c>
    </row>
    <row r="9965" spans="76:77" x14ac:dyDescent="0.2">
      <c r="BX9965" s="214" t="e">
        <f t="shared" si="326"/>
        <v>#DIV/0!</v>
      </c>
      <c r="BY9965" s="215">
        <f t="shared" si="327"/>
        <v>0</v>
      </c>
    </row>
    <row r="9966" spans="76:77" x14ac:dyDescent="0.2">
      <c r="BX9966" s="214" t="e">
        <f t="shared" si="326"/>
        <v>#DIV/0!</v>
      </c>
      <c r="BY9966" s="215">
        <f t="shared" si="327"/>
        <v>0</v>
      </c>
    </row>
    <row r="9967" spans="76:77" x14ac:dyDescent="0.2">
      <c r="BX9967" s="214" t="e">
        <f t="shared" si="326"/>
        <v>#DIV/0!</v>
      </c>
      <c r="BY9967" s="215">
        <f t="shared" si="327"/>
        <v>0</v>
      </c>
    </row>
    <row r="9968" spans="76:77" x14ac:dyDescent="0.2">
      <c r="BX9968" s="214" t="e">
        <f t="shared" si="326"/>
        <v>#DIV/0!</v>
      </c>
      <c r="BY9968" s="215">
        <f t="shared" si="327"/>
        <v>0</v>
      </c>
    </row>
    <row r="9969" spans="76:77" x14ac:dyDescent="0.2">
      <c r="BX9969" s="214" t="e">
        <f t="shared" si="326"/>
        <v>#DIV/0!</v>
      </c>
      <c r="BY9969" s="215">
        <f t="shared" si="327"/>
        <v>0</v>
      </c>
    </row>
    <row r="9970" spans="76:77" x14ac:dyDescent="0.2">
      <c r="BX9970" s="214" t="e">
        <f t="shared" si="326"/>
        <v>#DIV/0!</v>
      </c>
      <c r="BY9970" s="215">
        <f t="shared" si="327"/>
        <v>0</v>
      </c>
    </row>
    <row r="9971" spans="76:77" x14ac:dyDescent="0.2">
      <c r="BX9971" s="214" t="e">
        <f t="shared" si="326"/>
        <v>#DIV/0!</v>
      </c>
      <c r="BY9971" s="215">
        <f t="shared" si="327"/>
        <v>0</v>
      </c>
    </row>
    <row r="9972" spans="76:77" x14ac:dyDescent="0.2">
      <c r="BX9972" s="214" t="e">
        <f t="shared" si="326"/>
        <v>#DIV/0!</v>
      </c>
      <c r="BY9972" s="215">
        <f t="shared" si="327"/>
        <v>0</v>
      </c>
    </row>
    <row r="9973" spans="76:77" x14ac:dyDescent="0.2">
      <c r="BX9973" s="214" t="e">
        <f t="shared" si="326"/>
        <v>#DIV/0!</v>
      </c>
      <c r="BY9973" s="215">
        <f t="shared" si="327"/>
        <v>0</v>
      </c>
    </row>
    <row r="9974" spans="76:77" x14ac:dyDescent="0.2">
      <c r="BX9974" s="214" t="e">
        <f t="shared" si="326"/>
        <v>#DIV/0!</v>
      </c>
      <c r="BY9974" s="215">
        <f t="shared" si="327"/>
        <v>0</v>
      </c>
    </row>
    <row r="9975" spans="76:77" x14ac:dyDescent="0.2">
      <c r="BX9975" s="214" t="e">
        <f t="shared" si="326"/>
        <v>#DIV/0!</v>
      </c>
      <c r="BY9975" s="215">
        <f t="shared" si="327"/>
        <v>0</v>
      </c>
    </row>
    <row r="9976" spans="76:77" x14ac:dyDescent="0.2">
      <c r="BX9976" s="214" t="e">
        <f t="shared" si="326"/>
        <v>#DIV/0!</v>
      </c>
      <c r="BY9976" s="215">
        <f t="shared" si="327"/>
        <v>0</v>
      </c>
    </row>
    <row r="9977" spans="76:77" x14ac:dyDescent="0.2">
      <c r="BX9977" s="214" t="e">
        <f t="shared" si="326"/>
        <v>#DIV/0!</v>
      </c>
      <c r="BY9977" s="215">
        <f t="shared" si="327"/>
        <v>0</v>
      </c>
    </row>
    <row r="9978" spans="76:77" x14ac:dyDescent="0.2">
      <c r="BX9978" s="214" t="e">
        <f t="shared" si="326"/>
        <v>#DIV/0!</v>
      </c>
      <c r="BY9978" s="215">
        <f t="shared" si="327"/>
        <v>0</v>
      </c>
    </row>
    <row r="9979" spans="76:77" x14ac:dyDescent="0.2">
      <c r="BX9979" s="214" t="e">
        <f t="shared" si="326"/>
        <v>#DIV/0!</v>
      </c>
      <c r="BY9979" s="215">
        <f t="shared" si="327"/>
        <v>0</v>
      </c>
    </row>
    <row r="9980" spans="76:77" x14ac:dyDescent="0.2">
      <c r="BX9980" s="214" t="e">
        <f t="shared" si="326"/>
        <v>#DIV/0!</v>
      </c>
      <c r="BY9980" s="215">
        <f t="shared" si="327"/>
        <v>0</v>
      </c>
    </row>
    <row r="9981" spans="76:77" x14ac:dyDescent="0.2">
      <c r="BX9981" s="214" t="e">
        <f t="shared" si="326"/>
        <v>#DIV/0!</v>
      </c>
      <c r="BY9981" s="215">
        <f t="shared" si="327"/>
        <v>0</v>
      </c>
    </row>
    <row r="9982" spans="76:77" x14ac:dyDescent="0.2">
      <c r="BX9982" s="214" t="e">
        <f t="shared" si="326"/>
        <v>#DIV/0!</v>
      </c>
      <c r="BY9982" s="215">
        <f t="shared" si="327"/>
        <v>0</v>
      </c>
    </row>
    <row r="9983" spans="76:77" x14ac:dyDescent="0.2">
      <c r="BX9983" s="214" t="e">
        <f t="shared" si="326"/>
        <v>#DIV/0!</v>
      </c>
      <c r="BY9983" s="215">
        <f t="shared" si="327"/>
        <v>0</v>
      </c>
    </row>
    <row r="9984" spans="76:77" x14ac:dyDescent="0.2">
      <c r="BX9984" s="214" t="e">
        <f t="shared" si="326"/>
        <v>#DIV/0!</v>
      </c>
      <c r="BY9984" s="215">
        <f t="shared" si="327"/>
        <v>0</v>
      </c>
    </row>
    <row r="9985" spans="76:77" x14ac:dyDescent="0.2">
      <c r="BX9985" s="214" t="e">
        <f t="shared" si="326"/>
        <v>#DIV/0!</v>
      </c>
      <c r="BY9985" s="215">
        <f t="shared" si="327"/>
        <v>0</v>
      </c>
    </row>
    <row r="9986" spans="76:77" x14ac:dyDescent="0.2">
      <c r="BX9986" s="214" t="e">
        <f t="shared" si="326"/>
        <v>#DIV/0!</v>
      </c>
      <c r="BY9986" s="215">
        <f t="shared" si="327"/>
        <v>0</v>
      </c>
    </row>
    <row r="9987" spans="76:77" x14ac:dyDescent="0.2">
      <c r="BX9987" s="214" t="e">
        <f t="shared" si="326"/>
        <v>#DIV/0!</v>
      </c>
      <c r="BY9987" s="215">
        <f t="shared" si="327"/>
        <v>0</v>
      </c>
    </row>
    <row r="9988" spans="76:77" x14ac:dyDescent="0.2">
      <c r="BX9988" s="214" t="e">
        <f t="shared" si="326"/>
        <v>#DIV/0!</v>
      </c>
      <c r="BY9988" s="215">
        <f t="shared" si="327"/>
        <v>0</v>
      </c>
    </row>
    <row r="9989" spans="76:77" x14ac:dyDescent="0.2">
      <c r="BX9989" s="214" t="e">
        <f t="shared" si="326"/>
        <v>#DIV/0!</v>
      </c>
      <c r="BY9989" s="215">
        <f t="shared" si="327"/>
        <v>0</v>
      </c>
    </row>
    <row r="9990" spans="76:77" x14ac:dyDescent="0.2">
      <c r="BX9990" s="214" t="e">
        <f t="shared" si="326"/>
        <v>#DIV/0!</v>
      </c>
      <c r="BY9990" s="215">
        <f t="shared" si="327"/>
        <v>0</v>
      </c>
    </row>
    <row r="9991" spans="76:77" x14ac:dyDescent="0.2">
      <c r="BX9991" s="214" t="e">
        <f t="shared" si="326"/>
        <v>#DIV/0!</v>
      </c>
      <c r="BY9991" s="215">
        <f t="shared" si="327"/>
        <v>0</v>
      </c>
    </row>
    <row r="9992" spans="76:77" x14ac:dyDescent="0.2">
      <c r="BX9992" s="214" t="e">
        <f t="shared" si="326"/>
        <v>#DIV/0!</v>
      </c>
      <c r="BY9992" s="215">
        <f t="shared" si="327"/>
        <v>0</v>
      </c>
    </row>
    <row r="9993" spans="76:77" x14ac:dyDescent="0.2">
      <c r="BX9993" s="214" t="e">
        <f t="shared" si="326"/>
        <v>#DIV/0!</v>
      </c>
      <c r="BY9993" s="215">
        <f t="shared" si="327"/>
        <v>0</v>
      </c>
    </row>
    <row r="9994" spans="76:77" x14ac:dyDescent="0.2">
      <c r="BX9994" s="214" t="e">
        <f t="shared" si="326"/>
        <v>#DIV/0!</v>
      </c>
      <c r="BY9994" s="215">
        <f t="shared" si="327"/>
        <v>0</v>
      </c>
    </row>
    <row r="9995" spans="76:77" x14ac:dyDescent="0.2">
      <c r="BX9995" s="214" t="e">
        <f t="shared" si="326"/>
        <v>#DIV/0!</v>
      </c>
      <c r="BY9995" s="215">
        <f t="shared" si="327"/>
        <v>0</v>
      </c>
    </row>
    <row r="9996" spans="76:77" x14ac:dyDescent="0.2">
      <c r="BX9996" s="214" t="e">
        <f t="shared" si="326"/>
        <v>#DIV/0!</v>
      </c>
      <c r="BY9996" s="215">
        <f t="shared" si="327"/>
        <v>0</v>
      </c>
    </row>
    <row r="9997" spans="76:77" x14ac:dyDescent="0.2">
      <c r="BX9997" s="214" t="e">
        <f t="shared" ref="BX9997:BX10000" si="328">BY9997/BV9997</f>
        <v>#DIV/0!</v>
      </c>
      <c r="BY9997" s="215">
        <f t="shared" si="327"/>
        <v>0</v>
      </c>
    </row>
    <row r="9998" spans="76:77" x14ac:dyDescent="0.2">
      <c r="BX9998" s="214" t="e">
        <f t="shared" si="328"/>
        <v>#DIV/0!</v>
      </c>
      <c r="BY9998" s="215">
        <f t="shared" ref="BY9998:BY10000" si="329">BY9997+BW9998*(BV9998-BV9997)</f>
        <v>0</v>
      </c>
    </row>
    <row r="9999" spans="76:77" x14ac:dyDescent="0.2">
      <c r="BX9999" s="214" t="e">
        <f t="shared" si="328"/>
        <v>#DIV/0!</v>
      </c>
      <c r="BY9999" s="215">
        <f t="shared" si="329"/>
        <v>0</v>
      </c>
    </row>
    <row r="10000" spans="76:77" x14ac:dyDescent="0.2">
      <c r="BX10000" s="214" t="e">
        <f t="shared" si="328"/>
        <v>#DIV/0!</v>
      </c>
      <c r="BY10000" s="215">
        <f t="shared" si="329"/>
        <v>0</v>
      </c>
    </row>
  </sheetData>
  <sheetProtection algorithmName="SHA-512" hashValue="OY0V9zkSHtYA7UMC2uxYgoodzF+37fWbWygOZoPQVDkt9SdCX3qrvTSszxBFv/4vhv8KLUhYSTT+SKsZz2nq9g==" saltValue="41JxuekZ5KPS7dbOknSr3A==" spinCount="100000" sheet="1" insertHyperlinks="0"/>
  <mergeCells count="139">
    <mergeCell ref="A1:C1"/>
    <mergeCell ref="BL4:BT5"/>
    <mergeCell ref="BL6:BT13"/>
    <mergeCell ref="AH7:AJ7"/>
    <mergeCell ref="D9:L10"/>
    <mergeCell ref="N10:V11"/>
    <mergeCell ref="X10:AF11"/>
    <mergeCell ref="D11:L13"/>
    <mergeCell ref="N12:V15"/>
    <mergeCell ref="AH12:AP13"/>
    <mergeCell ref="AR12:AZ13"/>
    <mergeCell ref="X13:AF14"/>
    <mergeCell ref="BB13:BJ14"/>
    <mergeCell ref="D14:L18"/>
    <mergeCell ref="AR14:AZ17"/>
    <mergeCell ref="BL14:BT19"/>
    <mergeCell ref="X15:AF16"/>
    <mergeCell ref="AH15:AP16"/>
    <mergeCell ref="BB15:BJ16"/>
    <mergeCell ref="BL20:BT21"/>
    <mergeCell ref="Y21:AE22"/>
    <mergeCell ref="AH21:AP22"/>
    <mergeCell ref="BL22:BT24"/>
    <mergeCell ref="Y23:AE24"/>
    <mergeCell ref="A25:C26"/>
    <mergeCell ref="A16:C16"/>
    <mergeCell ref="N16:V19"/>
    <mergeCell ref="A17:C24"/>
    <mergeCell ref="X17:AF18"/>
    <mergeCell ref="BB17:BJ18"/>
    <mergeCell ref="AH18:AP19"/>
    <mergeCell ref="D19:L22"/>
    <mergeCell ref="X19:AF20"/>
    <mergeCell ref="BB19:BJ20"/>
    <mergeCell ref="X29:AF29"/>
    <mergeCell ref="AH29:AP29"/>
    <mergeCell ref="BL29:BT29"/>
    <mergeCell ref="D30:E31"/>
    <mergeCell ref="F30:L31"/>
    <mergeCell ref="N30:O31"/>
    <mergeCell ref="P30:V31"/>
    <mergeCell ref="X30:Y31"/>
    <mergeCell ref="Z30:AF31"/>
    <mergeCell ref="AH30:AI31"/>
    <mergeCell ref="N36:V36"/>
    <mergeCell ref="AN36:AO36"/>
    <mergeCell ref="T37:U37"/>
    <mergeCell ref="AN37:AO37"/>
    <mergeCell ref="BL38:BT39"/>
    <mergeCell ref="AR40:AZ40"/>
    <mergeCell ref="BL40:BT40"/>
    <mergeCell ref="BN30:BT31"/>
    <mergeCell ref="D33:F34"/>
    <mergeCell ref="G33:L34"/>
    <mergeCell ref="N33:V34"/>
    <mergeCell ref="AH34:AP34"/>
    <mergeCell ref="AN35:AO35"/>
    <mergeCell ref="BB35:BJ35"/>
    <mergeCell ref="AJ30:AP31"/>
    <mergeCell ref="AR30:AS31"/>
    <mergeCell ref="AT30:AZ31"/>
    <mergeCell ref="BB30:BC31"/>
    <mergeCell ref="BD30:BJ31"/>
    <mergeCell ref="BL30:BM31"/>
    <mergeCell ref="H48:K48"/>
    <mergeCell ref="T48:U48"/>
    <mergeCell ref="AX48:AY48"/>
    <mergeCell ref="J49:K49"/>
    <mergeCell ref="T49:U49"/>
    <mergeCell ref="J50:K50"/>
    <mergeCell ref="AD50:AE50"/>
    <mergeCell ref="AX50:AY50"/>
    <mergeCell ref="BP41:BS41"/>
    <mergeCell ref="BP42:BS42"/>
    <mergeCell ref="BP43:BS43"/>
    <mergeCell ref="N46:V46"/>
    <mergeCell ref="AR46:AZ46"/>
    <mergeCell ref="D47:L47"/>
    <mergeCell ref="O47:R47"/>
    <mergeCell ref="S47:T47"/>
    <mergeCell ref="X47:AF47"/>
    <mergeCell ref="AX47:AY47"/>
    <mergeCell ref="J57:K57"/>
    <mergeCell ref="AL57:AM57"/>
    <mergeCell ref="J58:K58"/>
    <mergeCell ref="BL58:BT58"/>
    <mergeCell ref="J59:K59"/>
    <mergeCell ref="AR59:AZ59"/>
    <mergeCell ref="AB53:AE53"/>
    <mergeCell ref="AH53:AP53"/>
    <mergeCell ref="AL54:AM54"/>
    <mergeCell ref="AN54:AO54"/>
    <mergeCell ref="D56:L56"/>
    <mergeCell ref="AN56:AO56"/>
    <mergeCell ref="AB68:AE68"/>
    <mergeCell ref="BL68:BT68"/>
    <mergeCell ref="AL70:AM70"/>
    <mergeCell ref="AN70:AO70"/>
    <mergeCell ref="BL70:BT71"/>
    <mergeCell ref="N73:P73"/>
    <mergeCell ref="Q73:S73"/>
    <mergeCell ref="T73:V73"/>
    <mergeCell ref="AX60:AY60"/>
    <mergeCell ref="BL65:BT65"/>
    <mergeCell ref="BL66:BP66"/>
    <mergeCell ref="BQ66:BT66"/>
    <mergeCell ref="X67:AF67"/>
    <mergeCell ref="BL67:BT67"/>
    <mergeCell ref="AR74:AZ74"/>
    <mergeCell ref="BL76:BT76"/>
    <mergeCell ref="AX77:AY77"/>
    <mergeCell ref="BP77:BS77"/>
    <mergeCell ref="BP78:BS78"/>
    <mergeCell ref="N79:P79"/>
    <mergeCell ref="Q79:S79"/>
    <mergeCell ref="T79:V79"/>
    <mergeCell ref="BP79:BS79"/>
    <mergeCell ref="D86:E86"/>
    <mergeCell ref="J86:K86"/>
    <mergeCell ref="AX86:AY86"/>
    <mergeCell ref="X87:AF88"/>
    <mergeCell ref="X89:AF90"/>
    <mergeCell ref="X91:AF92"/>
    <mergeCell ref="D82:L82"/>
    <mergeCell ref="E83:F83"/>
    <mergeCell ref="J83:K83"/>
    <mergeCell ref="AR83:AZ83"/>
    <mergeCell ref="J84:K84"/>
    <mergeCell ref="X84:AF85"/>
    <mergeCell ref="J103:K103"/>
    <mergeCell ref="AN103:AO103"/>
    <mergeCell ref="AN105:AO105"/>
    <mergeCell ref="AK114:AL114"/>
    <mergeCell ref="X93:AF94"/>
    <mergeCell ref="AX93:AY93"/>
    <mergeCell ref="Y95:AE96"/>
    <mergeCell ref="X97:AF98"/>
    <mergeCell ref="AR99:AZ99"/>
    <mergeCell ref="AH102:AP102"/>
  </mergeCells>
  <conditionalFormatting sqref="A1:XFD1048576">
    <cfRule type="expression" dxfId="25" priority="1" stopIfTrue="1">
      <formula>CELL("protect",A1)=0</formula>
    </cfRule>
    <cfRule type="beginsWith" dxfId="24" priority="2" operator="beginsWith" text="REJECT">
      <formula>LEFT(A1,LEN("REJECT"))="REJECT"</formula>
    </cfRule>
    <cfRule type="beginsWith" dxfId="23" priority="3" operator="beginsWith" text="CHECK">
      <formula>LEFT(A1,LEN("CHECK"))="CHECK"</formula>
    </cfRule>
    <cfRule type="beginsWith" dxfId="22" priority="4" operator="beginsWith" text="EQ">
      <formula>LEFT(A1,LEN("EQ"))="EQ"</formula>
    </cfRule>
    <cfRule type="beginsWith" dxfId="21" priority="5" operator="beginsWith" text="BLANK">
      <formula>LEFT(A1,LEN("BLANK"))="BLANK"</formula>
    </cfRule>
  </conditionalFormatting>
  <conditionalFormatting sqref="AM122:AM124 AM126">
    <cfRule type="expression" dxfId="20" priority="15">
      <formula>AM122&lt;AL122</formula>
    </cfRule>
  </conditionalFormatting>
  <conditionalFormatting sqref="AM125">
    <cfRule type="expression" dxfId="19" priority="16">
      <formula>AM125&gt;AL125</formula>
    </cfRule>
  </conditionalFormatting>
  <dataValidations count="22">
    <dataValidation type="list" allowBlank="1" showInputMessage="1" showErrorMessage="1" sqref="AX47:AY47 AX60:AY60" xr:uid="{6A5303A4-1E85-4A66-85CD-18B0304D9F7E}">
      <formula1>"Nut And Bolt, Quick Release"</formula1>
    </dataValidation>
    <dataValidation type="list" allowBlank="1" showInputMessage="1" showErrorMessage="1" sqref="G83" xr:uid="{C9EE562E-3FFA-4057-BAF0-7B37BF6B73DE}">
      <formula1>"Welded, Bonded, Laminated, Bolted"</formula1>
    </dataValidation>
    <dataValidation type="list" allowBlank="1" showInputMessage="1" showErrorMessage="1" sqref="I83" xr:uid="{CC5C3E6D-F47B-459D-BFBA-1219864D518A}">
      <formula1>"AIP, FB"</formula1>
    </dataValidation>
    <dataValidation type="list" allowBlank="1" showInputMessage="1" showErrorMessage="1" sqref="AX85 AX76" xr:uid="{8065C0E3-C2EA-49C9-B09E-38E0433FE021}">
      <formula1>"Yes, No"</formula1>
    </dataValidation>
    <dataValidation type="list" allowBlank="1" showInputMessage="1" showErrorMessage="1" sqref="AX87" xr:uid="{89144321-EEC4-4376-B0FD-FE53544467DF}">
      <formula1>"Outer, Inner, Both"</formula1>
    </dataValidation>
    <dataValidation type="list" allowBlank="1" showInputMessage="1" showErrorMessage="1" sqref="AX93 J84" xr:uid="{FD873423-1EA1-4930-8AA2-52716172A429}">
      <formula1>"Pre-Cure, Bonded Lap Joint"</formula1>
    </dataValidation>
    <dataValidation type="list" allowBlank="1" showInputMessage="1" showErrorMessage="1" sqref="AD50:AE50" xr:uid="{646355A3-5420-4FE7-AFD3-B2C6EEA5CDD4}">
      <formula1>"Bonded, Bolted, Welded"</formula1>
    </dataValidation>
    <dataValidation type="list" allowBlank="1" showInputMessage="1" showErrorMessage="1" sqref="BP41:BS41 BP77:BS77" xr:uid="{F3D76E12-F882-434D-AEF3-0026FF4696DE}">
      <formula1>"Quasi Static, Dynamic"</formula1>
    </dataValidation>
    <dataValidation type="list" allowBlank="1" showInputMessage="1" showErrorMessage="1" sqref="AB68:AE68" xr:uid="{77C88613-9F99-4155-8A6F-77D0732B6E4D}">
      <formula1>"No Front Wing, Front Wing Physically Tested With IA, Front Wing Physically Tested Without IA, Fastener Shear Dialogue, Wing Support Hand Calc"</formula1>
    </dataValidation>
    <dataValidation type="list" allowBlank="1" showInputMessage="1" showErrorMessage="1" sqref="AX48:AY48" xr:uid="{A7A65DC3-53F9-4BC8-A926-D9922049B541}">
      <formula1>"Centerline Inserts, Offset Mounts"</formula1>
    </dataValidation>
    <dataValidation type="list" allowBlank="1" showInputMessage="1" showErrorMessage="1" sqref="J49:K49" xr:uid="{DDD8BD63-95F9-42FC-86F9-C6B7ED35FFEF}">
      <formula1>"304mm (12in), 355mm (14in)"</formula1>
    </dataValidation>
    <dataValidation type="list" allowBlank="1" showInputMessage="1" showErrorMessage="1" sqref="J60 AN38" xr:uid="{9AE096F3-BDE1-456D-87A8-EF26B46B7C4E}">
      <formula1>"Round, Square"</formula1>
    </dataValidation>
    <dataValidation type="list" allowBlank="1" showInputMessage="1" showErrorMessage="1" sqref="AX41" xr:uid="{756CC53C-E488-480C-B7ED-B97436539A38}">
      <formula1>"Welded, Bolted, Bonded, Laminated"</formula1>
    </dataValidation>
    <dataValidation type="list" allowBlank="1" showInputMessage="1" showErrorMessage="1" sqref="T37:U37" xr:uid="{6E023D0E-342F-43B7-95BA-C4561A470324}">
      <formula1>"Steel, 6061-T6, Other Aluminum, Composite"</formula1>
    </dataValidation>
    <dataValidation type="list" allowBlank="1" showInputMessage="1" showErrorMessage="1" sqref="T48:U48" xr:uid="{5E2F1069-5E41-4C1A-8032-8E3F8EAA66CE}">
      <formula1>"3-Point and Shear, 120kN Physical Test"</formula1>
    </dataValidation>
    <dataValidation type="list" allowBlank="1" showInputMessage="1" showErrorMessage="1" sqref="J50 K50" xr:uid="{B3830826-6DE7-4D78-97E7-DFAD1E562DEF}">
      <formula1>"Select Drop Down, Standard Foam, Standard Honeycomb, Custom"</formula1>
    </dataValidation>
    <dataValidation type="list" allowBlank="1" showInputMessage="1" showErrorMessage="1" sqref="H48:K48" xr:uid="{A242E150-3981-421F-99EC-24B3196C689A}">
      <formula1>"Standard Foam, Standard Honeycomb, Custom - Non-Composite, Custom - Composite"</formula1>
    </dataValidation>
    <dataValidation type="list" allowBlank="1" showInputMessage="1" showErrorMessage="1" sqref="J57:K57" xr:uid="{186EFCAE-1EA4-477F-8D89-1E2EE248336B}">
      <formula1>"Tube Diagonal, Composite No Opening, Composite Diag, Physical Test"</formula1>
    </dataValidation>
    <dataValidation type="list" allowBlank="1" showInputMessage="1" showErrorMessage="1" sqref="J59:K59 AN37:AO37" xr:uid="{F20A00C6-A76B-4799-97FD-19CC8E0FE3AB}">
      <formula1>"Steel, 6061-T6, Other Aluminum"</formula1>
    </dataValidation>
    <dataValidation type="list" allowBlank="1" showInputMessage="1" showErrorMessage="1" sqref="AN35:AO35" xr:uid="{802E0DE9-346B-40FE-B03A-00B754CF2B95}">
      <formula1>"Tube, Composite"</formula1>
    </dataValidation>
    <dataValidation type="list" allowBlank="1" showInputMessage="1" showErrorMessage="1" sqref="AD53:AE53 J95" xr:uid="{72DC9A74-4872-4195-8043-3453738F21DC}">
      <formula1>"No, Yes"</formula1>
    </dataValidation>
    <dataValidation type="list" allowBlank="1" showInputMessage="1" showErrorMessage="1" sqref="AX50:AY50" xr:uid="{0A7B4719-29DE-437A-B45B-16FEEF86F4A1}">
      <formula1>"Single Layer, H-Shape, L-Shape, U-Shape, Rectangular Tube"</formula1>
    </dataValidation>
  </dataValidations>
  <pageMargins left="0.7" right="0.7" top="0.75" bottom="0.75" header="0.3" footer="0.3"/>
  <pageSetup paperSize="24" scale="10" orientation="landscape"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FAE9D5-FAA6-49D9-B4F1-9CFDD2407395}">
  <sheetPr codeName="Sheet4"/>
  <dimension ref="A1:BA150"/>
  <sheetViews>
    <sheetView zoomScaleNormal="100" workbookViewId="0">
      <selection activeCell="M28" sqref="M28"/>
    </sheetView>
  </sheetViews>
  <sheetFormatPr baseColWidth="10" defaultColWidth="9.1640625" defaultRowHeight="15" x14ac:dyDescent="0.2"/>
  <cols>
    <col min="1" max="5" width="9.1640625" style="125"/>
    <col min="6" max="6" width="9.1640625" style="125" customWidth="1"/>
    <col min="7" max="9" width="9.1640625" style="125"/>
    <col min="10" max="10" width="9.1640625" style="125" customWidth="1"/>
    <col min="11" max="16384" width="9.1640625" style="125"/>
  </cols>
  <sheetData>
    <row r="1" spans="1:53" ht="15" customHeight="1" x14ac:dyDescent="0.2">
      <c r="A1" s="394" t="str">
        <f>IF(OR(C4="YES",C4="NO"),"EQ","BLANK")</f>
        <v>EQ</v>
      </c>
      <c r="B1" s="394"/>
      <c r="C1" s="394"/>
      <c r="D1" s="38"/>
      <c r="E1" s="38"/>
      <c r="F1" s="38"/>
      <c r="G1" s="38"/>
      <c r="H1" s="38"/>
      <c r="I1" s="38"/>
      <c r="J1" s="38"/>
      <c r="K1" s="38"/>
      <c r="L1" s="38"/>
      <c r="M1" s="38"/>
      <c r="N1" s="271"/>
      <c r="O1" s="272"/>
      <c r="P1" s="273"/>
      <c r="Q1" s="273"/>
      <c r="R1" s="273"/>
      <c r="S1" s="273"/>
      <c r="T1" s="273"/>
      <c r="U1" s="273"/>
      <c r="V1" s="273"/>
      <c r="W1" s="38"/>
      <c r="X1" s="273"/>
      <c r="Y1" s="273"/>
      <c r="Z1" s="273"/>
      <c r="AA1" s="273"/>
      <c r="AB1" s="273"/>
      <c r="AC1" s="273"/>
      <c r="AD1" s="273"/>
      <c r="AE1" s="273"/>
      <c r="AF1" s="273"/>
      <c r="AG1" s="38"/>
      <c r="AH1" s="273"/>
      <c r="AI1" s="273"/>
      <c r="AJ1" s="273"/>
      <c r="AK1" s="273"/>
      <c r="AL1" s="273"/>
      <c r="AM1" s="273"/>
      <c r="AN1" s="273"/>
      <c r="AO1" s="273"/>
      <c r="AP1" s="273"/>
      <c r="AQ1" s="38"/>
      <c r="AR1" s="273"/>
      <c r="AS1" s="273"/>
      <c r="AT1" s="273"/>
      <c r="AU1" s="273"/>
      <c r="AV1" s="273"/>
      <c r="AW1" s="273"/>
      <c r="AX1" s="273"/>
      <c r="AY1" s="273"/>
      <c r="AZ1" s="273"/>
      <c r="BA1" s="38"/>
    </row>
    <row r="2" spans="1:53" ht="15" customHeight="1" x14ac:dyDescent="0.2">
      <c r="B2" s="242" t="s">
        <v>1114</v>
      </c>
      <c r="C2" s="274"/>
      <c r="D2" s="10"/>
      <c r="E2" s="10"/>
      <c r="F2" s="10"/>
      <c r="G2" s="10"/>
      <c r="H2" s="10"/>
      <c r="I2" s="10"/>
      <c r="J2" s="10"/>
      <c r="K2" s="10"/>
      <c r="L2" s="10"/>
      <c r="M2" s="38"/>
      <c r="N2" s="275"/>
      <c r="O2" s="276"/>
      <c r="P2" s="277"/>
      <c r="Q2" s="277"/>
      <c r="R2" s="277"/>
      <c r="S2" s="277"/>
      <c r="T2" s="277"/>
      <c r="U2" s="277"/>
      <c r="V2" s="277"/>
      <c r="W2" s="38"/>
      <c r="X2" s="277"/>
      <c r="Y2" s="277"/>
      <c r="Z2" s="277"/>
      <c r="AA2" s="277"/>
      <c r="AB2" s="277"/>
      <c r="AC2" s="277"/>
      <c r="AD2" s="277"/>
      <c r="AE2" s="277"/>
      <c r="AF2" s="277"/>
      <c r="AG2" s="38"/>
      <c r="AH2" s="277"/>
      <c r="AI2" s="277"/>
      <c r="AJ2" s="277"/>
      <c r="AK2" s="277"/>
      <c r="AL2" s="277"/>
      <c r="AM2" s="277"/>
      <c r="AN2" s="277"/>
      <c r="AO2" s="277"/>
      <c r="AP2" s="277"/>
      <c r="AQ2" s="38"/>
      <c r="AR2" s="277"/>
      <c r="AS2" s="277"/>
      <c r="AT2" s="277"/>
      <c r="AU2" s="277"/>
      <c r="AV2" s="277"/>
      <c r="AW2" s="277"/>
      <c r="AX2" s="277"/>
      <c r="AY2" s="277"/>
      <c r="AZ2" s="277"/>
      <c r="BA2" s="38"/>
    </row>
    <row r="3" spans="1:53" ht="15" customHeight="1" x14ac:dyDescent="0.2">
      <c r="A3" s="274"/>
      <c r="B3" s="242" t="s">
        <v>1115</v>
      </c>
      <c r="C3" s="274"/>
      <c r="D3" s="10"/>
      <c r="E3" s="10"/>
      <c r="F3" s="10"/>
      <c r="G3" s="10"/>
      <c r="H3" s="10"/>
      <c r="I3" s="10"/>
      <c r="J3" s="10"/>
      <c r="K3" s="10"/>
      <c r="L3" s="10"/>
      <c r="M3" s="38"/>
      <c r="N3" s="275"/>
      <c r="O3" s="276"/>
      <c r="P3" s="277"/>
      <c r="Q3" s="277"/>
      <c r="R3" s="277"/>
      <c r="S3" s="277"/>
      <c r="T3" s="277"/>
      <c r="U3" s="277"/>
      <c r="V3" s="277"/>
      <c r="W3" s="38"/>
      <c r="X3" s="277"/>
      <c r="Y3" s="277"/>
      <c r="Z3" s="277"/>
      <c r="AA3" s="277"/>
      <c r="AB3" s="277"/>
      <c r="AC3" s="277"/>
      <c r="AD3" s="277"/>
      <c r="AE3" s="277"/>
      <c r="AF3" s="277"/>
      <c r="AG3" s="38"/>
      <c r="AH3" s="277"/>
      <c r="AI3" s="277"/>
      <c r="AJ3" s="277"/>
      <c r="AK3" s="277"/>
      <c r="AL3" s="277"/>
      <c r="AM3" s="277"/>
      <c r="AN3" s="277"/>
      <c r="AO3" s="277"/>
      <c r="AP3" s="277"/>
      <c r="AQ3" s="38"/>
      <c r="AR3" s="277"/>
      <c r="AS3" s="277"/>
      <c r="AT3" s="277"/>
      <c r="AU3" s="277"/>
      <c r="AV3" s="277"/>
      <c r="AW3" s="277"/>
      <c r="AX3" s="277"/>
      <c r="AY3" s="277"/>
      <c r="AZ3" s="277"/>
      <c r="BA3" s="38"/>
    </row>
    <row r="4" spans="1:53" ht="15" customHeight="1" x14ac:dyDescent="0.2">
      <c r="A4" s="242"/>
      <c r="B4" s="257" t="s">
        <v>1116</v>
      </c>
      <c r="C4" s="236" t="str">
        <f>'F.3.1-4 Tube Chassis'!BO133</f>
        <v>No</v>
      </c>
      <c r="D4" s="10"/>
      <c r="E4" s="10"/>
      <c r="F4" s="10"/>
      <c r="G4" s="10"/>
      <c r="H4" s="10"/>
      <c r="I4" s="10"/>
      <c r="J4" s="10"/>
      <c r="K4" s="10"/>
      <c r="L4" s="10"/>
      <c r="M4" s="38"/>
      <c r="N4" s="275"/>
      <c r="O4" s="276"/>
      <c r="P4" s="277"/>
      <c r="Q4" s="277"/>
      <c r="R4" s="277"/>
      <c r="S4" s="277"/>
      <c r="T4" s="277"/>
      <c r="U4" s="277"/>
      <c r="V4" s="277"/>
      <c r="W4" s="38"/>
      <c r="X4" s="277"/>
      <c r="Y4" s="277"/>
      <c r="Z4" s="277"/>
      <c r="AA4" s="277"/>
      <c r="AB4" s="277"/>
      <c r="AC4" s="277"/>
      <c r="AD4" s="277"/>
      <c r="AE4" s="277"/>
      <c r="AF4" s="277"/>
      <c r="AG4" s="38"/>
      <c r="AH4" s="277"/>
      <c r="AI4" s="277"/>
      <c r="AJ4" s="277"/>
      <c r="AK4" s="277"/>
      <c r="AL4" s="277"/>
      <c r="AM4" s="277"/>
      <c r="AN4" s="277"/>
      <c r="AO4" s="277"/>
      <c r="AP4" s="277"/>
      <c r="AQ4" s="38"/>
      <c r="AR4" s="277"/>
      <c r="AS4" s="277"/>
      <c r="AT4" s="277"/>
      <c r="AU4" s="277"/>
      <c r="AV4" s="277"/>
      <c r="AW4" s="277"/>
      <c r="AX4" s="277"/>
      <c r="AY4" s="277"/>
      <c r="AZ4" s="277"/>
      <c r="BA4" s="38"/>
    </row>
    <row r="5" spans="1:53" ht="15" customHeight="1" x14ac:dyDescent="0.2">
      <c r="D5" s="10"/>
      <c r="E5" s="10"/>
      <c r="F5" s="10"/>
      <c r="G5" s="10"/>
      <c r="H5" s="10"/>
      <c r="I5" s="10"/>
      <c r="J5" s="10"/>
      <c r="K5" s="10"/>
      <c r="L5" s="10"/>
      <c r="M5" s="38"/>
      <c r="N5" s="275"/>
      <c r="O5" s="276"/>
      <c r="P5" s="277"/>
      <c r="Q5" s="277"/>
      <c r="R5" s="277"/>
      <c r="S5" s="277"/>
      <c r="T5" s="277"/>
      <c r="U5" s="277"/>
      <c r="V5" s="277"/>
      <c r="W5" s="38"/>
      <c r="X5" s="277"/>
      <c r="Y5" s="277"/>
      <c r="Z5" s="277"/>
      <c r="AA5" s="277"/>
      <c r="AB5" s="277"/>
      <c r="AC5" s="277"/>
      <c r="AD5" s="277"/>
      <c r="AE5" s="277"/>
      <c r="AF5" s="277"/>
      <c r="AG5" s="38"/>
      <c r="AH5" s="277"/>
      <c r="AI5" s="277"/>
      <c r="AJ5" s="277"/>
      <c r="AK5" s="277"/>
      <c r="AL5" s="277"/>
      <c r="AM5" s="277"/>
      <c r="AN5" s="277"/>
      <c r="AO5" s="277"/>
      <c r="AP5" s="277"/>
      <c r="AQ5" s="38"/>
      <c r="AR5" s="277"/>
      <c r="AS5" s="277"/>
      <c r="AT5" s="277"/>
      <c r="AU5" s="277"/>
      <c r="AV5" s="277"/>
      <c r="AW5" s="277"/>
      <c r="AX5" s="277"/>
      <c r="AY5" s="277"/>
      <c r="AZ5" s="277"/>
      <c r="BA5" s="38"/>
    </row>
    <row r="6" spans="1:53" ht="15" customHeight="1" x14ac:dyDescent="0.2">
      <c r="A6" s="394" t="str">
        <f>IF(OR(C10="YES",C10="NO"),"EQ","BLANK")</f>
        <v>EQ</v>
      </c>
      <c r="B6" s="394"/>
      <c r="C6" s="394"/>
      <c r="D6" s="10"/>
      <c r="E6" s="10"/>
      <c r="F6" s="10"/>
      <c r="G6" s="10"/>
      <c r="H6" s="10"/>
      <c r="I6" s="10"/>
      <c r="J6" s="10"/>
      <c r="K6" s="10"/>
      <c r="L6" s="10"/>
      <c r="M6" s="38"/>
      <c r="N6" s="275"/>
      <c r="O6" s="276"/>
      <c r="P6" s="277"/>
      <c r="Q6" s="277"/>
      <c r="R6" s="277"/>
      <c r="S6" s="277"/>
      <c r="T6" s="277"/>
      <c r="U6" s="277"/>
      <c r="V6" s="277"/>
      <c r="W6" s="38"/>
      <c r="X6" s="277"/>
      <c r="Y6" s="277"/>
      <c r="Z6" s="277"/>
      <c r="AA6" s="277"/>
      <c r="AB6" s="277"/>
      <c r="AC6" s="277"/>
      <c r="AD6" s="277"/>
      <c r="AE6" s="277"/>
      <c r="AF6" s="277"/>
      <c r="AG6" s="38"/>
      <c r="AH6" s="277"/>
      <c r="AI6" s="277"/>
      <c r="AJ6" s="277"/>
      <c r="AK6" s="277"/>
      <c r="AL6" s="277"/>
      <c r="AM6" s="277"/>
      <c r="AN6" s="277"/>
      <c r="AO6" s="277"/>
      <c r="AP6" s="277"/>
      <c r="AQ6" s="38"/>
      <c r="AR6" s="277"/>
      <c r="AS6" s="277"/>
      <c r="AT6" s="277"/>
      <c r="AU6" s="277"/>
      <c r="AV6" s="277"/>
      <c r="AW6" s="277"/>
      <c r="AX6" s="277"/>
      <c r="AY6" s="277"/>
      <c r="AZ6" s="277"/>
      <c r="BA6" s="38"/>
    </row>
    <row r="7" spans="1:53" ht="15" customHeight="1" x14ac:dyDescent="0.2">
      <c r="B7" s="242" t="s">
        <v>1117</v>
      </c>
      <c r="C7" s="274"/>
      <c r="D7" s="10"/>
      <c r="E7" s="10"/>
      <c r="F7" s="10"/>
      <c r="G7" s="10"/>
      <c r="H7" s="10"/>
      <c r="I7" s="10"/>
      <c r="J7" s="10"/>
      <c r="K7" s="10"/>
      <c r="L7" s="10"/>
      <c r="M7" s="38"/>
      <c r="N7" s="275"/>
      <c r="O7" s="276"/>
      <c r="P7" s="277"/>
      <c r="Q7" s="277"/>
      <c r="R7" s="277"/>
      <c r="S7" s="277"/>
      <c r="T7" s="277"/>
      <c r="U7" s="277"/>
      <c r="V7" s="277"/>
      <c r="W7" s="38"/>
      <c r="X7" s="277"/>
      <c r="Y7" s="277"/>
      <c r="Z7" s="277"/>
      <c r="AA7" s="277"/>
      <c r="AB7" s="277"/>
      <c r="AC7" s="277"/>
      <c r="AD7" s="277"/>
      <c r="AE7" s="277"/>
      <c r="AF7" s="277"/>
      <c r="AG7" s="38"/>
      <c r="AH7" s="277"/>
      <c r="AI7" s="277"/>
      <c r="AJ7" s="277"/>
      <c r="AK7" s="277"/>
      <c r="AL7" s="277"/>
      <c r="AM7" s="277"/>
      <c r="AN7" s="277"/>
      <c r="AO7" s="277"/>
      <c r="AP7" s="277"/>
      <c r="AQ7" s="38"/>
      <c r="AR7" s="277"/>
      <c r="AS7" s="277"/>
      <c r="AT7" s="277"/>
      <c r="AU7" s="277"/>
      <c r="AV7" s="277"/>
      <c r="AW7" s="277"/>
      <c r="AX7" s="277"/>
      <c r="AY7" s="277"/>
      <c r="AZ7" s="277"/>
      <c r="BA7" s="38"/>
    </row>
    <row r="8" spans="1:53" ht="15" customHeight="1" x14ac:dyDescent="0.2">
      <c r="A8" s="274"/>
      <c r="B8" s="242" t="s">
        <v>1118</v>
      </c>
      <c r="C8" s="274"/>
      <c r="D8" s="10"/>
      <c r="E8" s="10"/>
      <c r="F8" s="10"/>
      <c r="G8" s="10"/>
      <c r="H8" s="10"/>
      <c r="I8" s="10"/>
      <c r="J8" s="10"/>
      <c r="K8" s="10"/>
      <c r="L8" s="10"/>
      <c r="M8" s="38"/>
      <c r="N8" s="275"/>
      <c r="O8" s="276"/>
      <c r="P8" s="277"/>
      <c r="Q8" s="277"/>
      <c r="R8" s="277"/>
      <c r="S8" s="277"/>
      <c r="T8" s="277"/>
      <c r="U8" s="277"/>
      <c r="V8" s="277"/>
      <c r="W8" s="38"/>
      <c r="X8" s="277"/>
      <c r="Y8" s="277"/>
      <c r="Z8" s="277"/>
      <c r="AA8" s="277"/>
      <c r="AB8" s="277"/>
      <c r="AC8" s="277"/>
      <c r="AD8" s="277"/>
      <c r="AE8" s="277"/>
      <c r="AF8" s="277"/>
      <c r="AG8" s="38"/>
      <c r="AH8" s="277"/>
      <c r="AI8" s="277"/>
      <c r="AJ8" s="277"/>
      <c r="AK8" s="277"/>
      <c r="AL8" s="277"/>
      <c r="AM8" s="277"/>
      <c r="AN8" s="277"/>
      <c r="AO8" s="277"/>
      <c r="AP8" s="277"/>
      <c r="AQ8" s="38"/>
      <c r="AR8" s="277"/>
      <c r="AS8" s="277"/>
      <c r="AT8" s="277"/>
      <c r="AU8" s="277"/>
      <c r="AV8" s="277"/>
      <c r="AW8" s="277"/>
      <c r="AX8" s="277"/>
      <c r="AY8" s="277"/>
      <c r="AZ8" s="277"/>
      <c r="BA8" s="38"/>
    </row>
    <row r="9" spans="1:53" ht="15" customHeight="1" x14ac:dyDescent="0.2">
      <c r="B9" s="257" t="s">
        <v>1119</v>
      </c>
      <c r="C9" s="236" t="str">
        <f>IF('F.3.1-4 Tube Chassis'!BM136="","No","Yes")</f>
        <v>No</v>
      </c>
      <c r="D9" s="10"/>
      <c r="E9" s="10"/>
      <c r="F9" s="10"/>
      <c r="G9" s="10"/>
      <c r="H9" s="10"/>
      <c r="I9" s="10"/>
      <c r="J9" s="10"/>
      <c r="K9" s="10"/>
      <c r="L9" s="10"/>
      <c r="M9" s="38"/>
      <c r="N9" s="275"/>
      <c r="O9" s="276"/>
      <c r="P9" s="277"/>
      <c r="Q9" s="277"/>
      <c r="R9" s="277"/>
      <c r="S9" s="277"/>
      <c r="T9" s="277"/>
      <c r="U9" s="277"/>
      <c r="V9" s="277"/>
      <c r="W9" s="38"/>
      <c r="X9" s="277"/>
      <c r="Y9" s="277"/>
      <c r="Z9" s="277"/>
      <c r="AA9" s="277"/>
      <c r="AB9" s="277"/>
      <c r="AC9" s="277"/>
      <c r="AD9" s="277"/>
      <c r="AE9" s="277"/>
      <c r="AF9" s="277"/>
      <c r="AG9" s="38"/>
      <c r="AH9" s="277"/>
      <c r="AI9" s="277"/>
      <c r="AJ9" s="277"/>
      <c r="AK9" s="277"/>
      <c r="AL9" s="277"/>
      <c r="AM9" s="277"/>
      <c r="AN9" s="277"/>
      <c r="AO9" s="277"/>
      <c r="AP9" s="277"/>
      <c r="AQ9" s="38"/>
      <c r="AR9" s="277"/>
      <c r="AS9" s="277"/>
      <c r="AT9" s="277"/>
      <c r="AU9" s="277"/>
      <c r="AV9" s="277"/>
      <c r="AW9" s="277"/>
      <c r="AX9" s="277"/>
      <c r="AY9" s="277"/>
      <c r="AZ9" s="277"/>
      <c r="BA9" s="38"/>
    </row>
    <row r="10" spans="1:53" ht="15" customHeight="1" x14ac:dyDescent="0.2">
      <c r="A10" s="242"/>
      <c r="B10" s="257" t="s">
        <v>1120</v>
      </c>
      <c r="C10" s="236" t="str">
        <f>'F.3.1-4 Tube Chassis'!BO134</f>
        <v>Yes</v>
      </c>
      <c r="D10" s="10"/>
      <c r="E10" s="10"/>
      <c r="F10" s="10"/>
      <c r="G10" s="10"/>
      <c r="H10" s="10"/>
      <c r="I10" s="10"/>
      <c r="J10" s="10"/>
      <c r="K10" s="10"/>
      <c r="L10" s="10"/>
      <c r="M10" s="38"/>
      <c r="N10" s="275"/>
      <c r="O10" s="276"/>
      <c r="P10" s="277"/>
      <c r="Q10" s="277"/>
      <c r="R10" s="277"/>
      <c r="S10" s="277"/>
      <c r="T10" s="277"/>
      <c r="U10" s="277"/>
      <c r="V10" s="277"/>
      <c r="W10" s="38"/>
      <c r="X10" s="277"/>
      <c r="Y10" s="277"/>
      <c r="Z10" s="277"/>
      <c r="AA10" s="277"/>
      <c r="AB10" s="277"/>
      <c r="AC10" s="277"/>
      <c r="AD10" s="277"/>
      <c r="AE10" s="277"/>
      <c r="AF10" s="277"/>
      <c r="AG10" s="38"/>
      <c r="AH10" s="277"/>
      <c r="AI10" s="277"/>
      <c r="AJ10" s="277"/>
      <c r="AK10" s="277"/>
      <c r="AL10" s="277"/>
      <c r="AM10" s="277"/>
      <c r="AN10" s="277"/>
      <c r="AO10" s="277"/>
      <c r="AP10" s="277"/>
      <c r="AQ10" s="38"/>
      <c r="AR10" s="277"/>
      <c r="AS10" s="277"/>
      <c r="AT10" s="277"/>
      <c r="AU10" s="277"/>
      <c r="AV10" s="277"/>
      <c r="AW10" s="277"/>
      <c r="AX10" s="277"/>
      <c r="AY10" s="277"/>
      <c r="AZ10" s="277"/>
      <c r="BA10" s="38"/>
    </row>
    <row r="11" spans="1:53" ht="15" customHeight="1" x14ac:dyDescent="0.2">
      <c r="B11" s="257" t="s">
        <v>1121</v>
      </c>
      <c r="C11" s="236" t="str">
        <f>IF(OR('F.8 Front Protection'!AX48="",'F.8 Front Protection'!AZ48="N/A"),"No",IF('F.8 Front Protection'!AX48="Centerline Inserts","Yes","No"))</f>
        <v>Yes</v>
      </c>
      <c r="D11" s="10"/>
      <c r="E11" s="10"/>
      <c r="F11" s="10"/>
      <c r="G11" s="10"/>
      <c r="H11" s="10"/>
      <c r="I11" s="10"/>
      <c r="J11" s="10"/>
      <c r="K11" s="10"/>
      <c r="L11" s="10"/>
      <c r="M11" s="38"/>
      <c r="N11" s="275"/>
      <c r="O11" s="276"/>
      <c r="P11" s="277"/>
      <c r="Q11" s="277"/>
      <c r="R11" s="277"/>
      <c r="S11" s="277"/>
      <c r="T11" s="277"/>
      <c r="U11" s="277"/>
      <c r="V11" s="277"/>
      <c r="W11" s="38"/>
      <c r="X11" s="277"/>
      <c r="Y11" s="277"/>
      <c r="Z11" s="277"/>
      <c r="AA11" s="277"/>
      <c r="AB11" s="277"/>
      <c r="AC11" s="277"/>
      <c r="AD11" s="277"/>
      <c r="AE11" s="277"/>
      <c r="AF11" s="277"/>
      <c r="AG11" s="38"/>
      <c r="AH11" s="277"/>
      <c r="AI11" s="277"/>
      <c r="AJ11" s="277"/>
      <c r="AK11" s="277"/>
      <c r="AL11" s="277"/>
      <c r="AM11" s="277"/>
      <c r="AN11" s="277"/>
      <c r="AO11" s="277"/>
      <c r="AP11" s="277"/>
      <c r="AQ11" s="38"/>
      <c r="AR11" s="277"/>
      <c r="AS11" s="277"/>
      <c r="AT11" s="277"/>
      <c r="AU11" s="277"/>
      <c r="AV11" s="277"/>
      <c r="AW11" s="277"/>
      <c r="AX11" s="277"/>
      <c r="AY11" s="277"/>
      <c r="AZ11" s="277"/>
      <c r="BA11" s="38"/>
    </row>
    <row r="12" spans="1:53" ht="15" customHeight="1" x14ac:dyDescent="0.2">
      <c r="B12" s="257" t="s">
        <v>1122</v>
      </c>
      <c r="C12" s="236" t="str">
        <f>IF(COUNTIF('F.10-11 EV Accumulator'!BY61:DN61,"Centerline Inserts"),"Yes","No")</f>
        <v>No</v>
      </c>
      <c r="D12" s="10"/>
      <c r="E12" s="10"/>
      <c r="F12" s="10"/>
      <c r="G12" s="10"/>
      <c r="H12" s="10"/>
      <c r="I12" s="10"/>
      <c r="J12" s="10"/>
      <c r="K12" s="10"/>
      <c r="L12" s="10"/>
      <c r="M12" s="38"/>
      <c r="N12" s="275"/>
      <c r="O12" s="276"/>
      <c r="P12" s="277"/>
      <c r="Q12" s="277"/>
      <c r="R12" s="277"/>
      <c r="S12" s="277"/>
      <c r="T12" s="277"/>
      <c r="U12" s="277"/>
      <c r="V12" s="277"/>
      <c r="W12" s="38"/>
      <c r="X12" s="277"/>
      <c r="Y12" s="277"/>
      <c r="Z12" s="277"/>
      <c r="AA12" s="277"/>
      <c r="AB12" s="277"/>
      <c r="AC12" s="277"/>
      <c r="AD12" s="277"/>
      <c r="AE12" s="277"/>
      <c r="AF12" s="277"/>
      <c r="AG12" s="38"/>
      <c r="AH12" s="277"/>
      <c r="AI12" s="277"/>
      <c r="AJ12" s="277"/>
      <c r="AK12" s="277"/>
      <c r="AL12" s="277"/>
      <c r="AM12" s="277"/>
      <c r="AN12" s="277"/>
      <c r="AO12" s="277"/>
      <c r="AP12" s="277"/>
      <c r="AQ12" s="38"/>
      <c r="AR12" s="277"/>
      <c r="AS12" s="277"/>
      <c r="AT12" s="277"/>
      <c r="AU12" s="277"/>
      <c r="AV12" s="277"/>
      <c r="AW12" s="277"/>
      <c r="AX12" s="277"/>
      <c r="AY12" s="277"/>
      <c r="AZ12" s="277"/>
      <c r="BA12" s="38"/>
    </row>
    <row r="13" spans="1:53" ht="15" customHeight="1" x14ac:dyDescent="0.2">
      <c r="D13" s="294" t="s">
        <v>1123</v>
      </c>
      <c r="E13" s="294"/>
      <c r="F13" s="294"/>
      <c r="G13" s="294"/>
      <c r="H13" s="294"/>
      <c r="I13" s="294"/>
      <c r="J13" s="294"/>
      <c r="K13" s="294"/>
      <c r="L13" s="294"/>
      <c r="M13" s="38"/>
      <c r="N13" s="294" t="s">
        <v>1123</v>
      </c>
      <c r="O13" s="294"/>
      <c r="P13" s="294"/>
      <c r="Q13" s="294"/>
      <c r="R13" s="294"/>
      <c r="S13" s="294"/>
      <c r="T13" s="294"/>
      <c r="U13" s="294"/>
      <c r="V13" s="294"/>
      <c r="W13" s="38"/>
      <c r="X13" s="294" t="s">
        <v>1123</v>
      </c>
      <c r="Y13" s="294"/>
      <c r="Z13" s="294"/>
      <c r="AA13" s="294"/>
      <c r="AB13" s="294"/>
      <c r="AC13" s="294"/>
      <c r="AD13" s="294"/>
      <c r="AE13" s="294"/>
      <c r="AF13" s="294"/>
      <c r="AG13" s="38"/>
      <c r="AH13" s="294" t="s">
        <v>1123</v>
      </c>
      <c r="AI13" s="294"/>
      <c r="AJ13" s="294"/>
      <c r="AK13" s="294"/>
      <c r="AL13" s="294"/>
      <c r="AM13" s="294"/>
      <c r="AN13" s="294"/>
      <c r="AO13" s="294"/>
      <c r="AP13" s="294"/>
      <c r="AQ13" s="38"/>
      <c r="AR13" s="294" t="s">
        <v>1123</v>
      </c>
      <c r="AS13" s="294"/>
      <c r="AT13" s="294"/>
      <c r="AU13" s="294"/>
      <c r="AV13" s="294"/>
      <c r="AW13" s="294"/>
      <c r="AX13" s="294"/>
      <c r="AY13" s="294"/>
      <c r="AZ13" s="294"/>
      <c r="BA13" s="38"/>
    </row>
    <row r="14" spans="1:53" ht="15" customHeight="1" x14ac:dyDescent="0.2">
      <c r="A14" s="394" t="str">
        <f>IF(OR(C17="YES",C17="NO"),"EQ","BLANK")</f>
        <v>EQ</v>
      </c>
      <c r="B14" s="394"/>
      <c r="C14" s="394"/>
      <c r="D14" s="294"/>
      <c r="E14" s="294"/>
      <c r="F14" s="294"/>
      <c r="G14" s="294"/>
      <c r="H14" s="294"/>
      <c r="I14" s="294"/>
      <c r="J14" s="294"/>
      <c r="K14" s="294"/>
      <c r="L14" s="294"/>
      <c r="M14" s="38"/>
      <c r="N14" s="294"/>
      <c r="O14" s="294"/>
      <c r="P14" s="294"/>
      <c r="Q14" s="294"/>
      <c r="R14" s="294"/>
      <c r="S14" s="294"/>
      <c r="T14" s="294"/>
      <c r="U14" s="294"/>
      <c r="V14" s="294"/>
      <c r="W14" s="38"/>
      <c r="X14" s="294"/>
      <c r="Y14" s="294"/>
      <c r="Z14" s="294"/>
      <c r="AA14" s="294"/>
      <c r="AB14" s="294"/>
      <c r="AC14" s="294"/>
      <c r="AD14" s="294"/>
      <c r="AE14" s="294"/>
      <c r="AF14" s="294"/>
      <c r="AG14" s="38"/>
      <c r="AH14" s="294"/>
      <c r="AI14" s="294"/>
      <c r="AJ14" s="294"/>
      <c r="AK14" s="294"/>
      <c r="AL14" s="294"/>
      <c r="AM14" s="294"/>
      <c r="AN14" s="294"/>
      <c r="AO14" s="294"/>
      <c r="AP14" s="294"/>
      <c r="AQ14" s="38"/>
      <c r="AR14" s="294"/>
      <c r="AS14" s="294"/>
      <c r="AT14" s="294"/>
      <c r="AU14" s="294"/>
      <c r="AV14" s="294"/>
      <c r="AW14" s="294"/>
      <c r="AX14" s="294"/>
      <c r="AY14" s="294"/>
      <c r="AZ14" s="294"/>
      <c r="BA14" s="38"/>
    </row>
    <row r="15" spans="1:53" ht="15" customHeight="1" x14ac:dyDescent="0.2">
      <c r="B15" s="242" t="s">
        <v>1124</v>
      </c>
      <c r="D15" s="10"/>
      <c r="E15" s="10"/>
      <c r="F15" s="10"/>
      <c r="G15" s="10"/>
      <c r="H15" s="10"/>
      <c r="I15" s="10"/>
      <c r="J15" s="10"/>
      <c r="K15" s="10"/>
      <c r="L15" s="10"/>
      <c r="M15" s="38"/>
      <c r="N15" s="275"/>
      <c r="O15" s="276"/>
      <c r="P15" s="277"/>
      <c r="Q15" s="277"/>
      <c r="R15" s="277"/>
      <c r="S15" s="277"/>
      <c r="T15" s="277"/>
      <c r="U15" s="277"/>
      <c r="V15" s="277"/>
      <c r="W15" s="38"/>
      <c r="X15" s="10"/>
      <c r="Y15" s="10"/>
      <c r="Z15" s="10"/>
      <c r="AA15" s="10"/>
      <c r="AB15" s="10"/>
      <c r="AC15" s="10"/>
      <c r="AD15" s="10"/>
      <c r="AE15" s="10"/>
      <c r="AF15" s="10"/>
      <c r="AG15" s="38"/>
      <c r="AH15" s="278"/>
      <c r="AI15" s="278"/>
      <c r="AJ15" s="278"/>
      <c r="AK15" s="278"/>
      <c r="AL15" s="278"/>
      <c r="AM15" s="278"/>
      <c r="AN15" s="278"/>
      <c r="AO15" s="278"/>
      <c r="AP15" s="278"/>
      <c r="AQ15" s="38"/>
      <c r="AR15" s="277"/>
      <c r="AS15" s="277"/>
      <c r="AT15" s="277"/>
      <c r="AU15" s="277"/>
      <c r="AV15" s="277"/>
      <c r="AW15" s="277"/>
      <c r="AX15" s="277"/>
      <c r="AY15" s="277"/>
      <c r="AZ15" s="277"/>
      <c r="BA15" s="38"/>
    </row>
    <row r="16" spans="1:53" ht="15" customHeight="1" x14ac:dyDescent="0.2">
      <c r="B16" s="242" t="s">
        <v>1125</v>
      </c>
      <c r="D16" s="10"/>
      <c r="E16" s="10"/>
      <c r="F16" s="10"/>
      <c r="G16" s="10"/>
      <c r="H16" s="10"/>
      <c r="I16" s="10"/>
      <c r="J16" s="10"/>
      <c r="K16" s="10"/>
      <c r="L16" s="10"/>
      <c r="M16" s="38"/>
      <c r="N16" s="275"/>
      <c r="O16" s="276"/>
      <c r="P16" s="277"/>
      <c r="Q16" s="277"/>
      <c r="R16" s="277"/>
      <c r="S16" s="277"/>
      <c r="T16" s="277"/>
      <c r="U16" s="277"/>
      <c r="V16" s="277"/>
      <c r="W16" s="38"/>
      <c r="X16" s="10"/>
      <c r="Y16" s="10"/>
      <c r="Z16" s="10"/>
      <c r="AA16" s="10"/>
      <c r="AB16" s="10"/>
      <c r="AC16" s="10"/>
      <c r="AD16" s="10"/>
      <c r="AE16" s="10"/>
      <c r="AF16" s="10"/>
      <c r="AG16" s="38"/>
      <c r="AH16" s="278"/>
      <c r="AI16" s="278"/>
      <c r="AJ16" s="278"/>
      <c r="AK16" s="278"/>
      <c r="AL16" s="278"/>
      <c r="AM16" s="278"/>
      <c r="AN16" s="278"/>
      <c r="AO16" s="278"/>
      <c r="AP16" s="278"/>
      <c r="AQ16" s="38"/>
      <c r="AR16" s="277"/>
      <c r="AS16" s="277"/>
      <c r="AT16" s="277"/>
      <c r="AU16" s="277"/>
      <c r="AV16" s="277"/>
      <c r="AW16" s="277"/>
      <c r="AX16" s="277"/>
      <c r="AY16" s="277"/>
      <c r="AZ16" s="277"/>
      <c r="BA16" s="38"/>
    </row>
    <row r="17" spans="1:53" ht="15" customHeight="1" x14ac:dyDescent="0.2">
      <c r="A17" s="242"/>
      <c r="B17" s="257" t="s">
        <v>1126</v>
      </c>
      <c r="C17" s="236" t="str">
        <f>'F.3.1-4 Tube Chassis'!BO135</f>
        <v>No</v>
      </c>
      <c r="D17" s="10"/>
      <c r="E17" s="10"/>
      <c r="F17" s="10"/>
      <c r="G17" s="10"/>
      <c r="H17" s="10"/>
      <c r="I17" s="10"/>
      <c r="J17" s="10"/>
      <c r="K17" s="10"/>
      <c r="L17" s="10"/>
      <c r="M17" s="38"/>
      <c r="N17" s="275"/>
      <c r="O17" s="276"/>
      <c r="P17" s="277"/>
      <c r="Q17" s="277"/>
      <c r="R17" s="277"/>
      <c r="S17" s="277"/>
      <c r="T17" s="277"/>
      <c r="U17" s="277"/>
      <c r="V17" s="277"/>
      <c r="W17" s="38"/>
      <c r="X17" s="277"/>
      <c r="Y17" s="277"/>
      <c r="Z17" s="277"/>
      <c r="AA17" s="277"/>
      <c r="AB17" s="277"/>
      <c r="AC17" s="277"/>
      <c r="AD17" s="277"/>
      <c r="AE17" s="277"/>
      <c r="AF17" s="277"/>
      <c r="AG17" s="38"/>
      <c r="AH17" s="277"/>
      <c r="AI17" s="277"/>
      <c r="AJ17" s="277"/>
      <c r="AK17" s="277"/>
      <c r="AL17" s="277"/>
      <c r="AM17" s="277"/>
      <c r="AN17" s="277"/>
      <c r="AO17" s="277"/>
      <c r="AP17" s="277"/>
      <c r="AQ17" s="38"/>
      <c r="AR17" s="277"/>
      <c r="AS17" s="277"/>
      <c r="AT17" s="277"/>
      <c r="AU17" s="277"/>
      <c r="AV17" s="277"/>
      <c r="AW17" s="277"/>
      <c r="AX17" s="277"/>
      <c r="AY17" s="277"/>
      <c r="AZ17" s="277"/>
      <c r="BA17" s="38"/>
    </row>
    <row r="18" spans="1:53" ht="15" customHeight="1" x14ac:dyDescent="0.2">
      <c r="B18" s="236" t="str">
        <f>IF(COUNTIF(A4:C17,"YES"),"FILL OUT THIS TAB.",IF(COUNTIF(A4:C17,"0"),"","NO ACTION NEEDED."))</f>
        <v>FILL OUT THIS TAB.</v>
      </c>
      <c r="C18" s="236"/>
      <c r="D18" s="10"/>
      <c r="E18" s="10"/>
      <c r="F18" s="10"/>
      <c r="G18" s="10"/>
      <c r="H18" s="10"/>
      <c r="I18" s="10"/>
      <c r="J18" s="10"/>
      <c r="K18" s="10"/>
      <c r="L18" s="10"/>
      <c r="M18" s="38"/>
      <c r="N18" s="275"/>
      <c r="O18" s="276"/>
      <c r="P18" s="277"/>
      <c r="Q18" s="277"/>
      <c r="R18" s="277"/>
      <c r="S18" s="277"/>
      <c r="T18" s="277"/>
      <c r="U18" s="277"/>
      <c r="V18" s="277"/>
      <c r="W18" s="38"/>
      <c r="X18" s="277"/>
      <c r="Y18" s="277"/>
      <c r="Z18" s="277"/>
      <c r="AA18" s="277"/>
      <c r="AB18" s="277"/>
      <c r="AC18" s="277"/>
      <c r="AD18" s="277"/>
      <c r="AE18" s="277"/>
      <c r="AF18" s="277"/>
      <c r="AG18" s="38"/>
      <c r="AH18" s="277"/>
      <c r="AI18" s="277"/>
      <c r="AJ18" s="277"/>
      <c r="AK18" s="277"/>
      <c r="AL18" s="277"/>
      <c r="AM18" s="277"/>
      <c r="AN18" s="277"/>
      <c r="AO18" s="277"/>
      <c r="AP18" s="277"/>
      <c r="AQ18" s="38"/>
      <c r="AR18" s="277"/>
      <c r="AS18" s="277"/>
      <c r="AT18" s="277"/>
      <c r="AU18" s="277"/>
      <c r="AV18" s="277"/>
      <c r="AW18" s="277"/>
      <c r="AX18" s="277"/>
      <c r="AY18" s="277"/>
      <c r="AZ18" s="277"/>
      <c r="BA18" s="38"/>
    </row>
    <row r="19" spans="1:53" ht="15" customHeight="1" x14ac:dyDescent="0.2">
      <c r="A19" s="395" t="str">
        <f>IF(OR(COUNTIF(A1:C14,"BLANK"),COUNTIF(D30:AS31,"BLANK")),"BLANK",IF(COUNTIF(D30:AS31,"REJECT"),"REJECT",IF(COUNTIF(D30:AS31,"CHECK"),"CHECK",IF(AND(NOT(COUNTIF(D30:AS31,"EQ")),B18="NO ACTION NEEDED."),"N/A","EQ"))))</f>
        <v>EQ</v>
      </c>
      <c r="B19" s="395"/>
      <c r="C19" s="395"/>
      <c r="D19" s="10"/>
      <c r="E19" s="10"/>
      <c r="F19" s="10"/>
      <c r="G19" s="10"/>
      <c r="H19" s="10"/>
      <c r="I19" s="10"/>
      <c r="J19" s="10"/>
      <c r="K19" s="10"/>
      <c r="L19" s="10"/>
      <c r="M19" s="38"/>
      <c r="N19" s="275"/>
      <c r="O19" s="276"/>
      <c r="P19" s="277"/>
      <c r="Q19" s="277"/>
      <c r="R19" s="277"/>
      <c r="S19" s="277"/>
      <c r="T19" s="277"/>
      <c r="U19" s="277"/>
      <c r="V19" s="277"/>
      <c r="W19" s="38"/>
      <c r="X19" s="277"/>
      <c r="Y19" s="277"/>
      <c r="Z19" s="277"/>
      <c r="AA19" s="277"/>
      <c r="AB19" s="277"/>
      <c r="AC19" s="277"/>
      <c r="AD19" s="277"/>
      <c r="AE19" s="277"/>
      <c r="AF19" s="277"/>
      <c r="AG19" s="38"/>
      <c r="AH19" s="277"/>
      <c r="AI19" s="277"/>
      <c r="AJ19" s="277"/>
      <c r="AK19" s="277"/>
      <c r="AL19" s="277"/>
      <c r="AM19" s="277"/>
      <c r="AN19" s="277"/>
      <c r="AO19" s="277"/>
      <c r="AP19" s="277"/>
      <c r="AQ19" s="38"/>
      <c r="AR19" s="277"/>
      <c r="AS19" s="277"/>
      <c r="AT19" s="277"/>
      <c r="AU19" s="277"/>
      <c r="AV19" s="277"/>
      <c r="AW19" s="277"/>
      <c r="AX19" s="277"/>
      <c r="AY19" s="277"/>
      <c r="AZ19" s="277"/>
      <c r="BA19" s="38"/>
    </row>
    <row r="20" spans="1:53" ht="15" customHeight="1" x14ac:dyDescent="0.2">
      <c r="A20" s="395"/>
      <c r="B20" s="395"/>
      <c r="C20" s="395"/>
      <c r="D20" s="10"/>
      <c r="E20" s="10"/>
      <c r="F20" s="10"/>
      <c r="G20" s="10"/>
      <c r="H20" s="10"/>
      <c r="I20" s="10"/>
      <c r="J20" s="10"/>
      <c r="K20" s="10"/>
      <c r="L20" s="10"/>
      <c r="M20" s="38"/>
      <c r="N20" s="275"/>
      <c r="O20" s="276"/>
      <c r="P20" s="277"/>
      <c r="Q20" s="277"/>
      <c r="R20" s="277"/>
      <c r="S20" s="277"/>
      <c r="T20" s="277"/>
      <c r="U20" s="277"/>
      <c r="V20" s="277"/>
      <c r="W20" s="38"/>
      <c r="X20" s="277"/>
      <c r="Y20" s="277"/>
      <c r="Z20" s="277"/>
      <c r="AA20" s="277"/>
      <c r="AB20" s="277"/>
      <c r="AC20" s="277"/>
      <c r="AD20" s="277"/>
      <c r="AE20" s="277"/>
      <c r="AF20" s="277"/>
      <c r="AG20" s="38"/>
      <c r="AH20" s="277"/>
      <c r="AI20" s="277"/>
      <c r="AJ20" s="277"/>
      <c r="AK20" s="277"/>
      <c r="AL20" s="277"/>
      <c r="AM20" s="277"/>
      <c r="AN20" s="277"/>
      <c r="AO20" s="277"/>
      <c r="AP20" s="277"/>
      <c r="AQ20" s="38"/>
      <c r="AR20" s="277"/>
      <c r="AS20" s="277"/>
      <c r="AT20" s="277"/>
      <c r="AU20" s="277"/>
      <c r="AV20" s="277"/>
      <c r="AW20" s="277"/>
      <c r="AX20" s="277"/>
      <c r="AY20" s="277"/>
      <c r="AZ20" s="277"/>
      <c r="BA20" s="38"/>
    </row>
    <row r="21" spans="1:53" ht="15" customHeight="1" x14ac:dyDescent="0.2">
      <c r="A21" s="395"/>
      <c r="B21" s="395"/>
      <c r="C21" s="395"/>
      <c r="D21" s="10"/>
      <c r="E21" s="10"/>
      <c r="F21" s="10"/>
      <c r="G21" s="10"/>
      <c r="H21" s="10"/>
      <c r="I21" s="10"/>
      <c r="J21" s="10"/>
      <c r="K21" s="10"/>
      <c r="L21" s="10"/>
      <c r="M21" s="38"/>
      <c r="N21" s="275"/>
      <c r="O21" s="276"/>
      <c r="P21" s="277"/>
      <c r="Q21" s="277"/>
      <c r="R21" s="277"/>
      <c r="S21" s="277"/>
      <c r="T21" s="277"/>
      <c r="U21" s="277"/>
      <c r="V21" s="277"/>
      <c r="W21" s="38"/>
      <c r="X21" s="277"/>
      <c r="Y21" s="277"/>
      <c r="Z21" s="277"/>
      <c r="AA21" s="277"/>
      <c r="AB21" s="277"/>
      <c r="AC21" s="277"/>
      <c r="AD21" s="277"/>
      <c r="AE21" s="277"/>
      <c r="AF21" s="277"/>
      <c r="AG21" s="38"/>
      <c r="AH21" s="277"/>
      <c r="AI21" s="277"/>
      <c r="AJ21" s="277"/>
      <c r="AK21" s="277"/>
      <c r="AL21" s="277"/>
      <c r="AM21" s="277"/>
      <c r="AN21" s="277"/>
      <c r="AO21" s="277"/>
      <c r="AP21" s="277"/>
      <c r="AQ21" s="38"/>
      <c r="AR21" s="277"/>
      <c r="AS21" s="277"/>
      <c r="AT21" s="277"/>
      <c r="AU21" s="277"/>
      <c r="AV21" s="277"/>
      <c r="AW21" s="277"/>
      <c r="AX21" s="277"/>
      <c r="AY21" s="277"/>
      <c r="AZ21" s="277"/>
      <c r="BA21" s="38"/>
    </row>
    <row r="22" spans="1:53" ht="15" customHeight="1" x14ac:dyDescent="0.2">
      <c r="A22" s="395"/>
      <c r="B22" s="395"/>
      <c r="C22" s="395"/>
      <c r="D22" s="277"/>
      <c r="E22" s="277"/>
      <c r="F22" s="277"/>
      <c r="G22" s="277"/>
      <c r="H22" s="277"/>
      <c r="I22" s="277"/>
      <c r="J22" s="277"/>
      <c r="K22" s="277"/>
      <c r="L22" s="277"/>
      <c r="M22" s="273"/>
      <c r="N22" s="275"/>
      <c r="O22" s="279"/>
      <c r="P22" s="277"/>
      <c r="Q22" s="277"/>
      <c r="R22" s="277"/>
      <c r="S22" s="277"/>
      <c r="T22" s="277"/>
      <c r="U22" s="277"/>
      <c r="V22" s="277"/>
      <c r="W22" s="273"/>
      <c r="X22" s="277"/>
      <c r="Y22" s="277"/>
      <c r="Z22" s="277"/>
      <c r="AA22" s="277"/>
      <c r="AB22" s="277"/>
      <c r="AC22" s="277"/>
      <c r="AD22" s="277"/>
      <c r="AE22" s="277"/>
      <c r="AF22" s="277"/>
      <c r="AG22" s="273"/>
      <c r="AH22" s="277"/>
      <c r="AI22" s="277"/>
      <c r="AJ22" s="277"/>
      <c r="AK22" s="277"/>
      <c r="AL22" s="277"/>
      <c r="AM22" s="277"/>
      <c r="AN22" s="277"/>
      <c r="AO22" s="277"/>
      <c r="AP22" s="277"/>
      <c r="AQ22" s="273"/>
      <c r="AR22" s="277"/>
      <c r="AS22" s="277"/>
      <c r="AT22" s="277"/>
      <c r="AU22" s="277"/>
      <c r="AV22" s="277"/>
      <c r="AW22" s="277"/>
      <c r="AX22" s="277"/>
      <c r="AY22" s="277"/>
      <c r="AZ22" s="277"/>
      <c r="BA22" s="273"/>
    </row>
    <row r="23" spans="1:53" ht="15" customHeight="1" x14ac:dyDescent="0.2">
      <c r="A23" s="395"/>
      <c r="B23" s="395"/>
      <c r="C23" s="395"/>
      <c r="D23" s="277"/>
      <c r="E23" s="277"/>
      <c r="F23" s="277"/>
      <c r="G23" s="277"/>
      <c r="H23" s="277"/>
      <c r="I23" s="277"/>
      <c r="J23" s="277"/>
      <c r="K23" s="277"/>
      <c r="L23" s="277"/>
      <c r="M23" s="273"/>
      <c r="N23" s="275"/>
      <c r="O23" s="279"/>
      <c r="P23" s="277"/>
      <c r="Q23" s="277"/>
      <c r="R23" s="277"/>
      <c r="S23" s="277"/>
      <c r="T23" s="277"/>
      <c r="U23" s="277"/>
      <c r="V23" s="277"/>
      <c r="W23" s="273"/>
      <c r="X23" s="277"/>
      <c r="Y23" s="277"/>
      <c r="Z23" s="277"/>
      <c r="AA23" s="277"/>
      <c r="AB23" s="277"/>
      <c r="AC23" s="277"/>
      <c r="AD23" s="277"/>
      <c r="AE23" s="277"/>
      <c r="AF23" s="277"/>
      <c r="AG23" s="273"/>
      <c r="AH23" s="277"/>
      <c r="AI23" s="277"/>
      <c r="AJ23" s="277"/>
      <c r="AK23" s="277"/>
      <c r="AL23" s="277"/>
      <c r="AM23" s="277"/>
      <c r="AN23" s="277"/>
      <c r="AO23" s="277"/>
      <c r="AP23" s="277"/>
      <c r="AQ23" s="273"/>
      <c r="AR23" s="277"/>
      <c r="AS23" s="277"/>
      <c r="AT23" s="277"/>
      <c r="AU23" s="277"/>
      <c r="AV23" s="277"/>
      <c r="AW23" s="277"/>
      <c r="AX23" s="277"/>
      <c r="AY23" s="277"/>
      <c r="AZ23" s="277"/>
      <c r="BA23" s="273"/>
    </row>
    <row r="24" spans="1:53" ht="15" customHeight="1" x14ac:dyDescent="0.2">
      <c r="A24" s="395"/>
      <c r="B24" s="395"/>
      <c r="C24" s="395"/>
      <c r="D24" s="277"/>
      <c r="E24" s="277"/>
      <c r="F24" s="277"/>
      <c r="G24" s="277"/>
      <c r="H24" s="277"/>
      <c r="I24" s="277"/>
      <c r="J24" s="277"/>
      <c r="K24" s="277"/>
      <c r="L24" s="277"/>
      <c r="M24" s="280"/>
      <c r="N24" s="281"/>
      <c r="O24" s="282"/>
      <c r="P24" s="282"/>
      <c r="Q24" s="281"/>
      <c r="R24" s="277"/>
      <c r="S24" s="277"/>
      <c r="T24" s="277"/>
      <c r="U24" s="277"/>
      <c r="V24" s="277"/>
      <c r="W24" s="280"/>
      <c r="X24" s="277"/>
      <c r="Y24" s="277"/>
      <c r="Z24" s="277"/>
      <c r="AA24" s="277"/>
      <c r="AB24" s="277"/>
      <c r="AC24" s="277"/>
      <c r="AD24" s="277"/>
      <c r="AE24" s="277"/>
      <c r="AF24" s="277"/>
      <c r="AG24" s="280"/>
      <c r="AH24" s="277"/>
      <c r="AI24" s="277"/>
      <c r="AJ24" s="277"/>
      <c r="AK24" s="277"/>
      <c r="AL24" s="277"/>
      <c r="AM24" s="277"/>
      <c r="AN24" s="277"/>
      <c r="AO24" s="277"/>
      <c r="AP24" s="277"/>
      <c r="AQ24" s="280"/>
      <c r="AR24" s="277"/>
      <c r="AS24" s="277"/>
      <c r="AT24" s="277"/>
      <c r="AU24" s="277"/>
      <c r="AV24" s="277"/>
      <c r="AW24" s="277"/>
      <c r="AX24" s="277"/>
      <c r="AY24" s="277"/>
      <c r="AZ24" s="277"/>
      <c r="BA24" s="280"/>
    </row>
    <row r="25" spans="1:53" ht="15" customHeight="1" x14ac:dyDescent="0.2">
      <c r="A25" s="353" t="str">
        <f>'F.3.1-4 Tube Chassis'!$A$25</f>
        <v>Inch</v>
      </c>
      <c r="B25" s="353"/>
      <c r="C25" s="353"/>
      <c r="D25" s="277"/>
      <c r="E25" s="277"/>
      <c r="F25" s="277"/>
      <c r="G25" s="277"/>
      <c r="H25" s="277"/>
      <c r="I25" s="277"/>
      <c r="J25" s="277"/>
      <c r="K25" s="277"/>
      <c r="L25" s="277"/>
      <c r="M25" s="280"/>
      <c r="N25" s="281"/>
      <c r="O25" s="282"/>
      <c r="P25" s="282"/>
      <c r="Q25" s="281"/>
      <c r="R25" s="277"/>
      <c r="S25" s="277"/>
      <c r="T25" s="277"/>
      <c r="U25" s="277"/>
      <c r="V25" s="277"/>
      <c r="W25" s="280"/>
      <c r="X25" s="277"/>
      <c r="Y25" s="277"/>
      <c r="Z25" s="277"/>
      <c r="AA25" s="277"/>
      <c r="AB25" s="277"/>
      <c r="AC25" s="277"/>
      <c r="AD25" s="277"/>
      <c r="AE25" s="277"/>
      <c r="AF25" s="277"/>
      <c r="AG25" s="280"/>
      <c r="AH25" s="277"/>
      <c r="AI25" s="277"/>
      <c r="AJ25" s="277"/>
      <c r="AK25" s="277"/>
      <c r="AL25" s="277"/>
      <c r="AM25" s="277"/>
      <c r="AN25" s="277"/>
      <c r="AO25" s="277"/>
      <c r="AP25" s="277"/>
      <c r="AQ25" s="280"/>
      <c r="AR25" s="277"/>
      <c r="AS25" s="277"/>
      <c r="AT25" s="277"/>
      <c r="AU25" s="277"/>
      <c r="AV25" s="277"/>
      <c r="AW25" s="277"/>
      <c r="AX25" s="277"/>
      <c r="AY25" s="277"/>
      <c r="AZ25" s="277"/>
      <c r="BA25" s="280"/>
    </row>
    <row r="26" spans="1:53" ht="15" customHeight="1" x14ac:dyDescent="0.2">
      <c r="A26" s="353"/>
      <c r="B26" s="353"/>
      <c r="C26" s="353"/>
      <c r="D26" s="277"/>
      <c r="E26" s="277"/>
      <c r="F26" s="277"/>
      <c r="G26" s="277"/>
      <c r="H26" s="277"/>
      <c r="I26" s="277"/>
      <c r="J26" s="277"/>
      <c r="K26" s="277"/>
      <c r="L26" s="277"/>
      <c r="M26" s="280"/>
      <c r="N26" s="281"/>
      <c r="O26" s="282"/>
      <c r="P26" s="282"/>
      <c r="Q26" s="281"/>
      <c r="R26" s="277"/>
      <c r="S26" s="277"/>
      <c r="T26" s="277"/>
      <c r="U26" s="277"/>
      <c r="V26" s="277"/>
      <c r="W26" s="280"/>
      <c r="X26" s="277"/>
      <c r="Y26" s="277"/>
      <c r="Z26" s="277"/>
      <c r="AA26" s="277"/>
      <c r="AB26" s="277"/>
      <c r="AC26" s="277"/>
      <c r="AD26" s="277"/>
      <c r="AE26" s="277"/>
      <c r="AF26" s="277"/>
      <c r="AG26" s="280"/>
      <c r="AH26" s="277"/>
      <c r="AI26" s="277"/>
      <c r="AJ26" s="277"/>
      <c r="AK26" s="277"/>
      <c r="AL26" s="277"/>
      <c r="AM26" s="277"/>
      <c r="AN26" s="277"/>
      <c r="AO26" s="277"/>
      <c r="AP26" s="277"/>
      <c r="AQ26" s="280"/>
      <c r="AR26" s="277"/>
      <c r="AS26" s="277"/>
      <c r="AT26" s="277"/>
      <c r="AU26" s="277"/>
      <c r="AV26" s="277"/>
      <c r="AW26" s="277"/>
      <c r="AX26" s="277"/>
      <c r="AY26" s="277"/>
      <c r="AZ26" s="277"/>
      <c r="BA26" s="280"/>
    </row>
    <row r="27" spans="1:53" ht="15" customHeight="1" x14ac:dyDescent="0.2">
      <c r="D27" s="277"/>
      <c r="E27" s="277"/>
      <c r="F27" s="277"/>
      <c r="G27" s="277"/>
      <c r="H27" s="277"/>
      <c r="I27" s="277"/>
      <c r="J27" s="277"/>
      <c r="K27" s="277"/>
      <c r="L27" s="277"/>
      <c r="M27" s="273"/>
      <c r="N27" s="275"/>
      <c r="O27" s="279"/>
      <c r="P27" s="277"/>
      <c r="Q27" s="277"/>
      <c r="R27" s="277"/>
      <c r="S27" s="277"/>
      <c r="T27" s="277"/>
      <c r="U27" s="277"/>
      <c r="V27" s="277"/>
      <c r="W27" s="273"/>
      <c r="X27" s="277"/>
      <c r="Y27" s="277"/>
      <c r="Z27" s="277"/>
      <c r="AA27" s="277"/>
      <c r="AB27" s="277"/>
      <c r="AC27" s="277"/>
      <c r="AD27" s="277"/>
      <c r="AE27" s="277"/>
      <c r="AF27" s="277"/>
      <c r="AG27" s="273"/>
      <c r="AH27" s="277"/>
      <c r="AI27" s="277"/>
      <c r="AJ27" s="277"/>
      <c r="AK27" s="277"/>
      <c r="AL27" s="277"/>
      <c r="AM27" s="277"/>
      <c r="AN27" s="277"/>
      <c r="AO27" s="277"/>
      <c r="AP27" s="277"/>
      <c r="AQ27" s="273"/>
      <c r="AR27" s="277"/>
      <c r="AS27" s="277"/>
      <c r="AT27" s="277"/>
      <c r="AU27" s="277"/>
      <c r="AV27" s="277"/>
      <c r="AW27" s="277"/>
      <c r="AX27" s="277"/>
      <c r="AY27" s="277"/>
      <c r="AZ27" s="277"/>
      <c r="BA27" s="273"/>
    </row>
    <row r="28" spans="1:53" ht="15" customHeight="1" x14ac:dyDescent="0.2">
      <c r="A28" s="131" t="s">
        <v>531</v>
      </c>
      <c r="D28" s="392" t="s">
        <v>1127</v>
      </c>
      <c r="E28" s="392"/>
      <c r="F28" s="392"/>
      <c r="G28" s="392"/>
      <c r="H28" s="392"/>
      <c r="I28" s="392"/>
      <c r="J28" s="392"/>
      <c r="K28" s="392"/>
      <c r="L28" s="392"/>
      <c r="M28" s="273"/>
      <c r="N28" s="392" t="s">
        <v>1127</v>
      </c>
      <c r="O28" s="392"/>
      <c r="P28" s="392"/>
      <c r="Q28" s="392"/>
      <c r="R28" s="392"/>
      <c r="S28" s="392"/>
      <c r="T28" s="392"/>
      <c r="U28" s="392"/>
      <c r="V28" s="392"/>
      <c r="W28" s="273"/>
      <c r="X28" s="392" t="s">
        <v>1127</v>
      </c>
      <c r="Y28" s="392"/>
      <c r="Z28" s="392"/>
      <c r="AA28" s="392"/>
      <c r="AB28" s="392"/>
      <c r="AC28" s="392"/>
      <c r="AD28" s="392"/>
      <c r="AE28" s="392"/>
      <c r="AF28" s="392"/>
      <c r="AG28" s="273"/>
      <c r="AH28" s="392" t="s">
        <v>1127</v>
      </c>
      <c r="AI28" s="392"/>
      <c r="AJ28" s="392"/>
      <c r="AK28" s="392"/>
      <c r="AL28" s="392"/>
      <c r="AM28" s="392"/>
      <c r="AN28" s="392"/>
      <c r="AO28" s="392"/>
      <c r="AP28" s="392"/>
      <c r="AQ28" s="273"/>
      <c r="AR28" s="392" t="s">
        <v>1127</v>
      </c>
      <c r="AS28" s="392"/>
      <c r="AT28" s="392"/>
      <c r="AU28" s="392"/>
      <c r="AV28" s="392"/>
      <c r="AW28" s="392"/>
      <c r="AX28" s="392"/>
      <c r="AY28" s="392"/>
      <c r="AZ28" s="392"/>
      <c r="BA28" s="273"/>
    </row>
    <row r="29" spans="1:53" ht="15" customHeight="1" x14ac:dyDescent="0.2">
      <c r="A29" s="131" t="s">
        <v>535</v>
      </c>
      <c r="D29" s="392" t="s">
        <v>853</v>
      </c>
      <c r="E29" s="392"/>
      <c r="F29" s="392"/>
      <c r="G29" s="392"/>
      <c r="H29" s="392"/>
      <c r="I29" s="392"/>
      <c r="J29" s="392"/>
      <c r="K29" s="392"/>
      <c r="L29" s="392"/>
      <c r="M29" s="273"/>
      <c r="N29" s="392" t="s">
        <v>853</v>
      </c>
      <c r="O29" s="392"/>
      <c r="P29" s="392"/>
      <c r="Q29" s="392"/>
      <c r="R29" s="392"/>
      <c r="S29" s="392"/>
      <c r="T29" s="392"/>
      <c r="U29" s="392"/>
      <c r="V29" s="392"/>
      <c r="W29" s="273"/>
      <c r="X29" s="392" t="s">
        <v>853</v>
      </c>
      <c r="Y29" s="392"/>
      <c r="Z29" s="392"/>
      <c r="AA29" s="392"/>
      <c r="AB29" s="392"/>
      <c r="AC29" s="392"/>
      <c r="AD29" s="392"/>
      <c r="AE29" s="392"/>
      <c r="AF29" s="392"/>
      <c r="AG29" s="273"/>
      <c r="AH29" s="392" t="s">
        <v>853</v>
      </c>
      <c r="AI29" s="392"/>
      <c r="AJ29" s="392"/>
      <c r="AK29" s="392"/>
      <c r="AL29" s="392"/>
      <c r="AM29" s="392"/>
      <c r="AN29" s="392"/>
      <c r="AO29" s="392"/>
      <c r="AP29" s="392"/>
      <c r="AQ29" s="273"/>
      <c r="AR29" s="392" t="s">
        <v>853</v>
      </c>
      <c r="AS29" s="392"/>
      <c r="AT29" s="392"/>
      <c r="AU29" s="392"/>
      <c r="AV29" s="392"/>
      <c r="AW29" s="392"/>
      <c r="AX29" s="392"/>
      <c r="AY29" s="392"/>
      <c r="AZ29" s="392"/>
      <c r="BA29" s="273"/>
    </row>
    <row r="30" spans="1:53" ht="15" customHeight="1" x14ac:dyDescent="0.2">
      <c r="D30" s="393" t="str">
        <f>IF(COUNTIF(D33:L57,"BLANK"),"BLANK",IF(COUNTIF(D33:L57,"REJECT"),"REJECT",IF(COUNTIF(D33:L57,"CHECK"),"CHECK",IF(L34="N/A","N/A","EQ"))))</f>
        <v>EQ</v>
      </c>
      <c r="E30" s="393"/>
      <c r="F30" s="393" t="s">
        <v>1128</v>
      </c>
      <c r="G30" s="393"/>
      <c r="H30" s="393"/>
      <c r="I30" s="393"/>
      <c r="J30" s="393"/>
      <c r="K30" s="393"/>
      <c r="L30" s="393"/>
      <c r="N30" s="393" t="str">
        <f>IF(COUNTIF(N33:V57,"BLANK"),"BLANK",IF(COUNTIF(N33:V57,"REJECT"),"REJECT",IF(COUNTIF(N33:V57,"CHECK"),"CHECK",IF(V34="N/A","N/A","EQ"))))</f>
        <v>EQ</v>
      </c>
      <c r="O30" s="393"/>
      <c r="P30" s="393" t="s">
        <v>1128</v>
      </c>
      <c r="Q30" s="393"/>
      <c r="R30" s="393"/>
      <c r="S30" s="393"/>
      <c r="T30" s="393"/>
      <c r="U30" s="393"/>
      <c r="V30" s="393"/>
      <c r="X30" s="393" t="str">
        <f>IF(COUNTIF(X33:AF57,"BLANK"),"BLANK",IF(COUNTIF(X33:AF57,"REJECT"),"REJECT",IF(COUNTIF(X33:AF57,"CHECK"),"CHECK",IF(AF34="N/A","N/A","EQ"))))</f>
        <v>N/A</v>
      </c>
      <c r="Y30" s="393"/>
      <c r="Z30" s="393" t="s">
        <v>1128</v>
      </c>
      <c r="AA30" s="393"/>
      <c r="AB30" s="393"/>
      <c r="AC30" s="393"/>
      <c r="AD30" s="393"/>
      <c r="AE30" s="393"/>
      <c r="AF30" s="393"/>
      <c r="AH30" s="393" t="str">
        <f>IF(COUNTIF(AH33:AP57,"BLANK"),"BLANK",IF(COUNTIF(AH33:AP57,"REJECT"),"REJECT",IF(COUNTIF(AH33:AP57,"CHECK"),"CHECK",IF(AP34="N/A","N/A","EQ"))))</f>
        <v>N/A</v>
      </c>
      <c r="AI30" s="393"/>
      <c r="AJ30" s="393" t="s">
        <v>1128</v>
      </c>
      <c r="AK30" s="393"/>
      <c r="AL30" s="393"/>
      <c r="AM30" s="393"/>
      <c r="AN30" s="393"/>
      <c r="AO30" s="393"/>
      <c r="AP30" s="393"/>
      <c r="AR30" s="393" t="str">
        <f>IF(COUNTIF(AR33:AZ57,"BLANK"),"BLANK",IF(COUNTIF(AR33:AZ57,"REJECT"),"REJECT",IF(COUNTIF(AR33:AZ57,"CHECK"),"CHECK",IF(AZ34="N/A","N/A","EQ"))))</f>
        <v>N/A</v>
      </c>
      <c r="AS30" s="393"/>
      <c r="AT30" s="393" t="s">
        <v>1128</v>
      </c>
      <c r="AU30" s="393"/>
      <c r="AV30" s="393"/>
      <c r="AW30" s="393"/>
      <c r="AX30" s="393"/>
      <c r="AY30" s="393"/>
      <c r="AZ30" s="393"/>
    </row>
    <row r="31" spans="1:53" ht="15" customHeight="1" x14ac:dyDescent="0.2">
      <c r="A31" s="375" t="s">
        <v>1129</v>
      </c>
      <c r="B31" s="375"/>
      <c r="C31" s="375"/>
      <c r="D31" s="393"/>
      <c r="E31" s="393"/>
      <c r="F31" s="393"/>
      <c r="G31" s="393"/>
      <c r="H31" s="393"/>
      <c r="I31" s="393"/>
      <c r="J31" s="393"/>
      <c r="K31" s="393"/>
      <c r="L31" s="393"/>
      <c r="N31" s="393"/>
      <c r="O31" s="393"/>
      <c r="P31" s="393"/>
      <c r="Q31" s="393"/>
      <c r="R31" s="393"/>
      <c r="S31" s="393"/>
      <c r="T31" s="393"/>
      <c r="U31" s="393"/>
      <c r="V31" s="393"/>
      <c r="X31" s="393"/>
      <c r="Y31" s="393"/>
      <c r="Z31" s="393"/>
      <c r="AA31" s="393"/>
      <c r="AB31" s="393"/>
      <c r="AC31" s="393"/>
      <c r="AD31" s="393"/>
      <c r="AE31" s="393"/>
      <c r="AF31" s="393"/>
      <c r="AH31" s="393"/>
      <c r="AI31" s="393"/>
      <c r="AJ31" s="393"/>
      <c r="AK31" s="393"/>
      <c r="AL31" s="393"/>
      <c r="AM31" s="393"/>
      <c r="AN31" s="393"/>
      <c r="AO31" s="393"/>
      <c r="AP31" s="393"/>
      <c r="AR31" s="393"/>
      <c r="AS31" s="393"/>
      <c r="AT31" s="393"/>
      <c r="AU31" s="393"/>
      <c r="AV31" s="393"/>
      <c r="AW31" s="393"/>
      <c r="AX31" s="393"/>
      <c r="AY31" s="393"/>
      <c r="AZ31" s="393"/>
    </row>
    <row r="32" spans="1:53" ht="15" customHeight="1" x14ac:dyDescent="0.2">
      <c r="A32" s="183" t="s">
        <v>772</v>
      </c>
      <c r="B32" s="183" t="s">
        <v>804</v>
      </c>
      <c r="C32" s="183" t="s">
        <v>1130</v>
      </c>
      <c r="D32" s="375" t="str">
        <f>IF($A$25="mm","Note: Young's Modulus is given in MPa, not Gpa.","")</f>
        <v/>
      </c>
      <c r="E32" s="375"/>
      <c r="F32" s="375"/>
      <c r="G32" s="375"/>
      <c r="H32" s="375"/>
      <c r="I32" s="375"/>
      <c r="J32" s="375"/>
      <c r="K32" s="375"/>
      <c r="L32" s="375"/>
      <c r="N32" s="375" t="str">
        <f>IF($A$25="mm","Note: Young's Modulus is given in MPa, not Gpa.","")</f>
        <v/>
      </c>
      <c r="O32" s="375"/>
      <c r="P32" s="375"/>
      <c r="Q32" s="375"/>
      <c r="R32" s="375"/>
      <c r="S32" s="375"/>
      <c r="T32" s="375"/>
      <c r="U32" s="375"/>
      <c r="V32" s="375"/>
      <c r="X32" s="375" t="str">
        <f>IF($A$25="mm","Note: Young's Modulus is given in MPa, not Gpa.","")</f>
        <v/>
      </c>
      <c r="Y32" s="375"/>
      <c r="Z32" s="375"/>
      <c r="AA32" s="375"/>
      <c r="AB32" s="375"/>
      <c r="AC32" s="375"/>
      <c r="AD32" s="375"/>
      <c r="AE32" s="375"/>
      <c r="AF32" s="375"/>
      <c r="AH32" s="375" t="str">
        <f>IF($A$25="mm","Note: Young's Modulus is given in MPa, not Gpa.","")</f>
        <v/>
      </c>
      <c r="AI32" s="375"/>
      <c r="AJ32" s="375"/>
      <c r="AK32" s="375"/>
      <c r="AL32" s="375"/>
      <c r="AM32" s="375"/>
      <c r="AN32" s="375"/>
      <c r="AO32" s="375"/>
      <c r="AP32" s="375"/>
      <c r="AR32" s="375" t="str">
        <f>IF($A$25="mm","Note: Young's Modulus is given in MPa, not Gpa.","")</f>
        <v/>
      </c>
      <c r="AS32" s="375"/>
      <c r="AT32" s="375"/>
      <c r="AU32" s="375"/>
      <c r="AV32" s="375"/>
      <c r="AW32" s="375"/>
      <c r="AX32" s="375"/>
      <c r="AY32" s="375"/>
      <c r="AZ32" s="375"/>
    </row>
    <row r="33" spans="1:52" ht="15" customHeight="1" x14ac:dyDescent="0.2">
      <c r="A33" s="207">
        <f>IF($A$25="mm",200*10^9,29000*10^3)</f>
        <v>29000000</v>
      </c>
      <c r="B33" s="207">
        <f>IF($A$25="mm",69*10^9,10000*10^3)</f>
        <v>10000000</v>
      </c>
      <c r="C33" s="208"/>
      <c r="D33" s="377" t="str">
        <f>IF(COUNTIF(L35:L57,"BLANK"),"BLANK",IF(OR(SUMPRODUCT(--ISERROR(L35:L57))&gt;0,COUNTIF(L35:L57,"REJECT")),"REJECT",IF(COUNTIF(L35:L57,"CHECK"),"CHECK","EQ")))</f>
        <v>EQ</v>
      </c>
      <c r="E33" s="377"/>
      <c r="F33" s="377"/>
      <c r="G33" s="377"/>
      <c r="H33" s="377"/>
      <c r="I33" s="377"/>
      <c r="J33" s="377"/>
      <c r="K33" s="377"/>
      <c r="L33" s="377"/>
      <c r="N33" s="377" t="str">
        <f>IF(COUNTIF(V35:V57,"BLANK"),"BLANK",IF(OR(SUMPRODUCT(--ISERROR(V35:V57))&gt;0,COUNTIF(V35:V57,"REJECT")),"REJECT",IF(COUNTIF(V35:V57,"CHECK"),"CHECK","EQ")))</f>
        <v>EQ</v>
      </c>
      <c r="O33" s="377"/>
      <c r="P33" s="377"/>
      <c r="Q33" s="377"/>
      <c r="R33" s="377"/>
      <c r="S33" s="377"/>
      <c r="T33" s="377"/>
      <c r="U33" s="377"/>
      <c r="V33" s="377"/>
      <c r="X33" s="377" t="str">
        <f>IF(COUNTIF(AF35:AF57,"BLANK"),"BLANK",IF(OR(SUMPRODUCT(--ISERROR(AF35:AF57))&gt;0,COUNTIF(AF35:AF57,"REJECT")),"REJECT",IF(COUNTIF(AF35:AF57,"CHECK"),"CHECK","EQ")))</f>
        <v>EQ</v>
      </c>
      <c r="Y33" s="377"/>
      <c r="Z33" s="377"/>
      <c r="AA33" s="377"/>
      <c r="AB33" s="377"/>
      <c r="AC33" s="377"/>
      <c r="AD33" s="377"/>
      <c r="AE33" s="377"/>
      <c r="AF33" s="377"/>
      <c r="AH33" s="377" t="str">
        <f>IF(COUNTIF(AP35:AP57,"BLANK"),"BLANK",IF(OR(SUMPRODUCT(--ISERROR(AP35:AP57))&gt;0,COUNTIF(AP35:AP57,"REJECT")),"REJECT",IF(COUNTIF(AP35:AP57,"CHECK"),"CHECK","EQ")))</f>
        <v>EQ</v>
      </c>
      <c r="AI33" s="377"/>
      <c r="AJ33" s="377"/>
      <c r="AK33" s="377"/>
      <c r="AL33" s="377"/>
      <c r="AM33" s="377"/>
      <c r="AN33" s="377"/>
      <c r="AO33" s="377"/>
      <c r="AP33" s="377"/>
      <c r="AR33" s="377" t="str">
        <f>IF(COUNTIF(AZ35:AZ57,"BLANK"),"BLANK",IF(OR(SUMPRODUCT(--ISERROR(AZ35:AZ57))&gt;0,COUNTIF(AZ35:AZ57,"REJECT")),"REJECT",IF(COUNTIF(AZ35:AZ57,"CHECK"),"CHECK","EQ")))</f>
        <v>EQ</v>
      </c>
      <c r="AS33" s="377"/>
      <c r="AT33" s="377"/>
      <c r="AU33" s="377"/>
      <c r="AV33" s="377"/>
      <c r="AW33" s="377"/>
      <c r="AX33" s="377"/>
      <c r="AY33" s="377"/>
      <c r="AZ33" s="377"/>
    </row>
    <row r="34" spans="1:52" ht="15" customHeight="1" x14ac:dyDescent="0.2">
      <c r="A34" s="207">
        <f>IF($A$25="mm",305*10^6,44.2*10^3)</f>
        <v>44200</v>
      </c>
      <c r="B34" s="207">
        <f>IF($A$25="mm",240*10^6,34.8*10^3)</f>
        <v>34800</v>
      </c>
      <c r="C34" s="208"/>
      <c r="D34" s="228"/>
      <c r="E34" s="228"/>
      <c r="F34" s="228"/>
      <c r="G34" s="228"/>
      <c r="H34" s="228"/>
      <c r="I34" s="183" t="s">
        <v>142</v>
      </c>
      <c r="J34" s="375" t="s">
        <v>1131</v>
      </c>
      <c r="K34" s="376"/>
      <c r="L34" s="228" t="str">
        <f>IF(AND(NOT($B$18="FILL OUT THIS TAB."),J$39="",J$40="",J$43="",J$44="",J$45="",J$46=""),"N/A","EQ")</f>
        <v>EQ</v>
      </c>
      <c r="N34" s="228"/>
      <c r="O34" s="228"/>
      <c r="P34" s="228"/>
      <c r="Q34" s="228"/>
      <c r="R34" s="228"/>
      <c r="S34" s="183" t="s">
        <v>142</v>
      </c>
      <c r="T34" s="375" t="s">
        <v>1131</v>
      </c>
      <c r="U34" s="376"/>
      <c r="V34" s="228" t="str">
        <f>IF(AND(T$39="",T$40="",T$43="",T$44="",T$45="",T$46=""),"N/A","EQ")</f>
        <v>EQ</v>
      </c>
      <c r="X34" s="228"/>
      <c r="Y34" s="228"/>
      <c r="Z34" s="228"/>
      <c r="AA34" s="228"/>
      <c r="AB34" s="228"/>
      <c r="AC34" s="183" t="s">
        <v>142</v>
      </c>
      <c r="AD34" s="375" t="s">
        <v>1131</v>
      </c>
      <c r="AE34" s="376"/>
      <c r="AF34" s="228" t="str">
        <f>IF(AND(AD$39="",AD$40="",AD$43="",AD$44="",AD$45="",AD$46=""),"N/A","EQ")</f>
        <v>N/A</v>
      </c>
      <c r="AH34" s="228"/>
      <c r="AI34" s="228"/>
      <c r="AJ34" s="228"/>
      <c r="AK34" s="228"/>
      <c r="AL34" s="228"/>
      <c r="AM34" s="183" t="s">
        <v>142</v>
      </c>
      <c r="AN34" s="375" t="s">
        <v>1131</v>
      </c>
      <c r="AO34" s="376"/>
      <c r="AP34" s="228" t="str">
        <f>IF(AND(AN$39="",AN$40="",AN$43="",AN$44="",AN$45="",AN$46=""),"N/A","EQ")</f>
        <v>N/A</v>
      </c>
      <c r="AR34" s="228"/>
      <c r="AS34" s="228"/>
      <c r="AT34" s="228"/>
      <c r="AU34" s="228"/>
      <c r="AV34" s="228"/>
      <c r="AW34" s="183" t="s">
        <v>142</v>
      </c>
      <c r="AX34" s="375" t="s">
        <v>1131</v>
      </c>
      <c r="AY34" s="376"/>
      <c r="AZ34" s="228" t="str">
        <f>IF(AND(AX$39="",AX$40="",AX$43="",AX$44="",AX$45="",AX$46=""),"N/A","EQ")</f>
        <v>N/A</v>
      </c>
    </row>
    <row r="35" spans="1:52" ht="15" customHeight="1" x14ac:dyDescent="0.2">
      <c r="A35" s="207">
        <f>IF($A$25="mm",365*10^6,52.9*10^3)</f>
        <v>52900</v>
      </c>
      <c r="B35" s="207">
        <f>IF($A$25="mm",290*10^6,42.1*10^3)</f>
        <v>42100</v>
      </c>
      <c r="C35" s="208"/>
      <c r="D35" s="228"/>
      <c r="E35" s="228"/>
      <c r="F35" s="228"/>
      <c r="G35" s="228"/>
      <c r="H35" s="228"/>
      <c r="I35" s="283" t="s">
        <v>214</v>
      </c>
      <c r="J35" s="390" t="s">
        <v>1132</v>
      </c>
      <c r="K35" s="391"/>
      <c r="L35" s="228" t="str">
        <f>IF(AND(NOT($B$18="FILL OUT THIS TAB."),J$39="",J$40="",J$43="",J$44="",J$45="",J$46=""),"N/A","EQ")</f>
        <v>EQ</v>
      </c>
      <c r="N35" s="228"/>
      <c r="O35" s="228"/>
      <c r="P35" s="228"/>
      <c r="Q35" s="228"/>
      <c r="R35" s="228"/>
      <c r="S35" s="283" t="s">
        <v>214</v>
      </c>
      <c r="T35" s="390" t="s">
        <v>1132</v>
      </c>
      <c r="U35" s="391"/>
      <c r="V35" s="228" t="str">
        <f>IF(AND(T$39="",T$40="",T$43="",T$44="",T$45="",T$46=""),"N/A","EQ")</f>
        <v>EQ</v>
      </c>
      <c r="X35" s="228"/>
      <c r="Y35" s="228"/>
      <c r="Z35" s="228"/>
      <c r="AA35" s="228"/>
      <c r="AB35" s="228"/>
      <c r="AC35" s="283" t="s">
        <v>214</v>
      </c>
      <c r="AD35" s="390" t="s">
        <v>1132</v>
      </c>
      <c r="AE35" s="391"/>
      <c r="AF35" s="228" t="str">
        <f>IF(AND(AD$39="",AD$40="",AD$43="",AD$44="",AD$45="",AD$46=""),"N/A","EQ")</f>
        <v>N/A</v>
      </c>
      <c r="AH35" s="228"/>
      <c r="AI35" s="228"/>
      <c r="AJ35" s="228"/>
      <c r="AK35" s="228"/>
      <c r="AL35" s="228"/>
      <c r="AM35" s="283" t="s">
        <v>214</v>
      </c>
      <c r="AN35" s="390" t="s">
        <v>1132</v>
      </c>
      <c r="AO35" s="391"/>
      <c r="AP35" s="228" t="str">
        <f>IF(AND(AN$39="",AN$40="",AN$43="",AN$44="",AN$45="",AN$46=""),"N/A","EQ")</f>
        <v>N/A</v>
      </c>
      <c r="AR35" s="228"/>
      <c r="AS35" s="228"/>
      <c r="AT35" s="228"/>
      <c r="AU35" s="228"/>
      <c r="AV35" s="228"/>
      <c r="AW35" s="283" t="s">
        <v>214</v>
      </c>
      <c r="AX35" s="390" t="s">
        <v>1132</v>
      </c>
      <c r="AY35" s="391"/>
      <c r="AZ35" s="228" t="str">
        <f>IF(AND(AX$39="",AX$40="",AX$43="",AX$44="",AX$45="",AX$46=""),"N/A","EQ")</f>
        <v>N/A</v>
      </c>
    </row>
    <row r="36" spans="1:52" ht="15" customHeight="1" thickBot="1" x14ac:dyDescent="0.25">
      <c r="A36" s="375" t="s">
        <v>1133</v>
      </c>
      <c r="B36" s="375"/>
      <c r="C36" s="375"/>
      <c r="D36" s="228"/>
      <c r="E36" s="228"/>
      <c r="F36" s="228"/>
      <c r="G36" s="228"/>
      <c r="H36" s="228"/>
      <c r="I36" s="283" t="s">
        <v>1134</v>
      </c>
      <c r="J36" s="390" t="s">
        <v>1135</v>
      </c>
      <c r="K36" s="391"/>
      <c r="L36" s="228" t="str">
        <f>IF(AND(NOT($B$18="FILL OUT THIS TAB."),J$39="",J$40="",J$43="",J$44="",J$45="",J$46=""),"N/A","EQ")</f>
        <v>EQ</v>
      </c>
      <c r="N36" s="228"/>
      <c r="O36" s="228"/>
      <c r="P36" s="228"/>
      <c r="Q36" s="228"/>
      <c r="R36" s="228"/>
      <c r="S36" s="283" t="s">
        <v>1134</v>
      </c>
      <c r="T36" s="390" t="s">
        <v>1135</v>
      </c>
      <c r="U36" s="391"/>
      <c r="V36" s="228" t="str">
        <f>IF(AND(T$39="",T$40="",T$43="",T$44="",T$45="",T$46=""),"N/A","EQ")</f>
        <v>EQ</v>
      </c>
      <c r="X36" s="228"/>
      <c r="Y36" s="228"/>
      <c r="Z36" s="228"/>
      <c r="AA36" s="228"/>
      <c r="AB36" s="228"/>
      <c r="AC36" s="283" t="s">
        <v>1134</v>
      </c>
      <c r="AD36" s="390" t="s">
        <v>1135</v>
      </c>
      <c r="AE36" s="391"/>
      <c r="AF36" s="228" t="str">
        <f>IF(AND(AD$39="",AD$40="",AD$43="",AD$44="",AD$45="",AD$46=""),"N/A","EQ")</f>
        <v>N/A</v>
      </c>
      <c r="AH36" s="228"/>
      <c r="AI36" s="228"/>
      <c r="AJ36" s="228"/>
      <c r="AK36" s="228"/>
      <c r="AL36" s="228"/>
      <c r="AM36" s="283" t="s">
        <v>1134</v>
      </c>
      <c r="AN36" s="390" t="s">
        <v>1135</v>
      </c>
      <c r="AO36" s="391"/>
      <c r="AP36" s="228" t="str">
        <f>IF(AND(AN$39="",AN$40="",AN$43="",AN$44="",AN$45="",AN$46=""),"N/A","EQ")</f>
        <v>N/A</v>
      </c>
      <c r="AR36" s="228"/>
      <c r="AS36" s="228"/>
      <c r="AT36" s="228"/>
      <c r="AU36" s="228"/>
      <c r="AV36" s="228"/>
      <c r="AW36" s="283" t="s">
        <v>1134</v>
      </c>
      <c r="AX36" s="390" t="s">
        <v>1135</v>
      </c>
      <c r="AY36" s="391"/>
      <c r="AZ36" s="228" t="str">
        <f>IF(AND(AX$39="",AX$40="",AX$43="",AX$44="",AX$45="",AX$46=""),"N/A","EQ")</f>
        <v>N/A</v>
      </c>
    </row>
    <row r="37" spans="1:52" ht="15" customHeight="1" thickBot="1" x14ac:dyDescent="0.25">
      <c r="A37" s="183" t="s">
        <v>772</v>
      </c>
      <c r="B37" s="183" t="s">
        <v>804</v>
      </c>
      <c r="C37" s="183" t="s">
        <v>1130</v>
      </c>
      <c r="D37" s="228"/>
      <c r="F37" s="170"/>
      <c r="G37" s="170"/>
      <c r="H37" s="170" t="s">
        <v>1136</v>
      </c>
      <c r="I37" s="284" t="str">
        <f>J37</f>
        <v>Steel</v>
      </c>
      <c r="J37" s="373" t="s">
        <v>772</v>
      </c>
      <c r="K37" s="374"/>
      <c r="L37" s="228" t="str">
        <f>IF(AND(NOT($B$18="FILL OUT THIS TAB."),J$39="",J$40="",J$43="",J$44="",J$45="",J$46=""),"N/A",IF(J37="","BLANK","EQ"))</f>
        <v>EQ</v>
      </c>
      <c r="N37" s="228"/>
      <c r="P37" s="170"/>
      <c r="Q37" s="170"/>
      <c r="R37" s="170" t="s">
        <v>1136</v>
      </c>
      <c r="S37" s="284" t="str">
        <f>T37</f>
        <v>Steel</v>
      </c>
      <c r="T37" s="373" t="s">
        <v>772</v>
      </c>
      <c r="U37" s="374"/>
      <c r="V37" s="228" t="str">
        <f>IF(AND(T$39="",T$40="",T$43="",T$44="",T$45="",T$46=""),"N/A",IF(T37="","BLANK","EQ"))</f>
        <v>EQ</v>
      </c>
      <c r="X37" s="228"/>
      <c r="Z37" s="170"/>
      <c r="AA37" s="170"/>
      <c r="AB37" s="170" t="s">
        <v>1136</v>
      </c>
      <c r="AC37" s="284">
        <f>AD37</f>
        <v>0</v>
      </c>
      <c r="AD37" s="373"/>
      <c r="AE37" s="374"/>
      <c r="AF37" s="228" t="str">
        <f>IF(AND(AD$39="",AD$40="",AD$43="",AD$44="",AD$45="",AD$46=""),"N/A",IF(AD37="","BLANK","EQ"))</f>
        <v>N/A</v>
      </c>
      <c r="AH37" s="228"/>
      <c r="AJ37" s="170"/>
      <c r="AK37" s="170"/>
      <c r="AL37" s="170" t="s">
        <v>1136</v>
      </c>
      <c r="AM37" s="284">
        <f>AN37</f>
        <v>0</v>
      </c>
      <c r="AN37" s="373"/>
      <c r="AO37" s="374"/>
      <c r="AP37" s="228" t="str">
        <f>IF(AND(AN$39="",AN$40="",AN$43="",AN$44="",AN$45="",AN$46=""),"N/A",IF(AN37="","BLANK","EQ"))</f>
        <v>N/A</v>
      </c>
      <c r="AR37" s="228"/>
      <c r="AT37" s="170"/>
      <c r="AU37" s="170"/>
      <c r="AV37" s="170" t="s">
        <v>1136</v>
      </c>
      <c r="AW37" s="284">
        <f>AX37</f>
        <v>0</v>
      </c>
      <c r="AX37" s="373"/>
      <c r="AY37" s="374"/>
      <c r="AZ37" s="228" t="str">
        <f>IF(AND(AX$39="",AX$40="",AX$43="",AX$44="",AX$45="",AX$46=""),"N/A",IF(AX37="","BLANK","EQ"))</f>
        <v>N/A</v>
      </c>
    </row>
    <row r="38" spans="1:52" ht="15" customHeight="1" thickBot="1" x14ac:dyDescent="0.25">
      <c r="A38" s="207">
        <f>IF($A$25="mm",180*10^6,26*10^3)</f>
        <v>26000</v>
      </c>
      <c r="B38" s="207">
        <f>IF($A$25="mm",115*10^6,16.7*10^3)</f>
        <v>16700</v>
      </c>
      <c r="C38" s="208"/>
      <c r="F38" s="170"/>
      <c r="G38" s="170"/>
      <c r="H38" s="170" t="s">
        <v>1137</v>
      </c>
      <c r="I38" s="184" t="s">
        <v>154</v>
      </c>
      <c r="J38" s="285" t="s">
        <v>1218</v>
      </c>
      <c r="L38" s="228" t="str">
        <f>IF(AND(NOT($B$18="FILL OUT THIS TAB."),J$39="",J$40="",J$43="",J$44="",J$45="",J$46=""),"N/A",IF(OR(I38="",J38=""),"BLANK","EQ"))</f>
        <v>EQ</v>
      </c>
      <c r="P38" s="170"/>
      <c r="Q38" s="170"/>
      <c r="R38" s="170" t="s">
        <v>1137</v>
      </c>
      <c r="S38" s="184" t="s">
        <v>154</v>
      </c>
      <c r="T38" s="184" t="s">
        <v>1218</v>
      </c>
      <c r="V38" s="228" t="str">
        <f>IF(AND(T$39="",T$40="",T$43="",T$44="",T$45="",T$46=""),"N/A",IF(OR(S38="",T38=""),"BLANK","EQ"))</f>
        <v>EQ</v>
      </c>
      <c r="Z38" s="170"/>
      <c r="AA38" s="170"/>
      <c r="AB38" s="170" t="s">
        <v>1137</v>
      </c>
      <c r="AC38" s="184"/>
      <c r="AD38" s="285"/>
      <c r="AF38" s="228" t="str">
        <f>IF(AND(AD$39="",AD$40="",AD$43="",AD$44="",AD$45="",AD$46=""),"N/A",IF(OR(AC38="",AD38=""),"BLANK","EQ"))</f>
        <v>N/A</v>
      </c>
      <c r="AJ38" s="170"/>
      <c r="AK38" s="170"/>
      <c r="AL38" s="170" t="s">
        <v>1137</v>
      </c>
      <c r="AM38" s="184"/>
      <c r="AN38" s="285"/>
      <c r="AP38" s="228" t="str">
        <f>IF(AND(AN$39="",AN$40="",AN$43="",AN$44="",AN$45="",AN$46=""),"N/A",IF(OR(AM38="",AN38=""),"BLANK","EQ"))</f>
        <v>N/A</v>
      </c>
      <c r="AT38" s="170"/>
      <c r="AU38" s="170"/>
      <c r="AV38" s="170" t="s">
        <v>1137</v>
      </c>
      <c r="AW38" s="184"/>
      <c r="AX38" s="285"/>
      <c r="AZ38" s="228" t="str">
        <f>IF(AND(AX$39="",AX$40="",AX$43="",AX$44="",AX$45="",AX$46=""),"N/A",IF(OR(AW38="",AX38=""),"BLANK","EQ"))</f>
        <v>N/A</v>
      </c>
    </row>
    <row r="39" spans="1:52" ht="15" customHeight="1" x14ac:dyDescent="0.2">
      <c r="A39" s="207">
        <f>IF($A$25="mm",300*10^6,43.5*10^3)</f>
        <v>43500</v>
      </c>
      <c r="B39" s="207">
        <f>IF($A$25="mm",175*10^6,25.4*10^3)</f>
        <v>25400</v>
      </c>
      <c r="C39" s="208"/>
      <c r="D39" s="236" t="s">
        <v>213</v>
      </c>
      <c r="F39" s="170"/>
      <c r="G39" s="170"/>
      <c r="H39" s="170" t="s">
        <v>18</v>
      </c>
      <c r="I39" s="228">
        <f>IF(NOT(I37="Steel"),
IF($A$25="mm",3,0.118),
IF($A$25="mm",IF(I38="Size A",2,1.2),
IF(I38="Size A",0.079,0.047)))</f>
        <v>4.7E-2</v>
      </c>
      <c r="J39" s="233">
        <v>4.9000000000000002E-2</v>
      </c>
      <c r="K39" s="185" t="str">
        <f>IF($A$25="mm","mm","in")</f>
        <v>in</v>
      </c>
      <c r="L39" s="228" t="str">
        <f>IF(AND(NOT($B$18="FILL OUT THIS TAB."),J$39="",J$40="",J$43="",J$44="",J$45="",J$46=""),"N/A",IF(J39="","BLANK",IF(J39&gt;=I39,"EQ","REJECT")))</f>
        <v>EQ</v>
      </c>
      <c r="N39" s="236" t="s">
        <v>213</v>
      </c>
      <c r="P39" s="170"/>
      <c r="Q39" s="170"/>
      <c r="R39" s="170" t="s">
        <v>18</v>
      </c>
      <c r="S39" s="228">
        <f>IF(NOT(S37="Steel"),
IF($A$25="mm",3,0.118),
IF($A$25="mm",IF(S38="Size A",2,1.2),
IF(S38="Size A",0.079,0.047)))</f>
        <v>4.7E-2</v>
      </c>
      <c r="T39" s="233">
        <v>4.9000000000000002E-2</v>
      </c>
      <c r="U39" s="185" t="str">
        <f>IF($A$25="mm","mm","in")</f>
        <v>in</v>
      </c>
      <c r="V39" s="228" t="str">
        <f>IF(AND(T$39="",T$40="",T$43="",T$44="",T$45="",T$46=""),"N/A",IF(T39="","BLANK",IF(T39&gt;=S39,"EQ","REJECT")))</f>
        <v>EQ</v>
      </c>
      <c r="X39" s="236" t="s">
        <v>213</v>
      </c>
      <c r="Z39" s="170"/>
      <c r="AA39" s="170"/>
      <c r="AB39" s="170" t="s">
        <v>18</v>
      </c>
      <c r="AC39" s="228">
        <f>IF(NOT(AC37="Steel"),
IF($A$25="mm",3,0.118),
IF($A$25="mm",IF(AC38="Size A",2,1.2),
IF(AC38="Size A",0.079,0.047)))</f>
        <v>0.11799999999999999</v>
      </c>
      <c r="AD39" s="199"/>
      <c r="AE39" s="185" t="str">
        <f>IF($A$25="mm","mm","in")</f>
        <v>in</v>
      </c>
      <c r="AF39" s="228" t="str">
        <f>IF(AND(AD$39="",AD$40="",AD$43="",AD$44="",AD$45="",AD$46=""),"N/A",IF(AD39="","BLANK",IF(AD39&gt;=AC39,"EQ","REJECT")))</f>
        <v>N/A</v>
      </c>
      <c r="AH39" s="236" t="s">
        <v>213</v>
      </c>
      <c r="AJ39" s="170"/>
      <c r="AK39" s="170"/>
      <c r="AL39" s="170" t="s">
        <v>18</v>
      </c>
      <c r="AM39" s="228">
        <f>IF(NOT(AM37="Steel"),
IF($A$25="mm",3,0.118),
IF($A$25="mm",IF(AM38="Size A",2,1.2),
IF(AM38="Size A",0.079,0.047)))</f>
        <v>0.11799999999999999</v>
      </c>
      <c r="AN39" s="199"/>
      <c r="AO39" s="185" t="str">
        <f>IF($A$25="mm","mm","in")</f>
        <v>in</v>
      </c>
      <c r="AP39" s="228" t="str">
        <f>IF(AND(AN$39="",AN$40="",AN$43="",AN$44="",AN$45="",AN$46=""),"N/A",IF(AN39="","BLANK",IF(AN39&gt;=AM39,"EQ","REJECT")))</f>
        <v>N/A</v>
      </c>
      <c r="AR39" s="236" t="s">
        <v>213</v>
      </c>
      <c r="AT39" s="170"/>
      <c r="AU39" s="170"/>
      <c r="AV39" s="170" t="s">
        <v>18</v>
      </c>
      <c r="AW39" s="228">
        <f>IF(NOT(AW37="Steel"),
IF($A$25="mm",3,0.118),
IF($A$25="mm",IF(AW38="Size A",2,1.2),
IF(AW38="Size A",0.079,0.047)))</f>
        <v>0.11799999999999999</v>
      </c>
      <c r="AX39" s="199"/>
      <c r="AY39" s="185" t="str">
        <f>IF($A$25="mm","mm","in")</f>
        <v>in</v>
      </c>
      <c r="AZ39" s="228" t="str">
        <f>IF(AND(AX$39="",AX$40="",AX$43="",AX$44="",AX$45="",AX$46=""),"N/A",IF(AX39="","BLANK",IF(AX39&gt;=AW39,"EQ","REJECT")))</f>
        <v>N/A</v>
      </c>
    </row>
    <row r="40" spans="1:52" ht="15" customHeight="1" x14ac:dyDescent="0.2">
      <c r="A40" s="207"/>
      <c r="B40" s="207"/>
      <c r="C40" s="207"/>
      <c r="D40" s="170"/>
      <c r="F40" s="170"/>
      <c r="G40" s="170"/>
      <c r="H40" s="170" t="str">
        <f>IF(J38="Round","Outer Diameter:","Square side:")</f>
        <v>Square side:</v>
      </c>
      <c r="I40" s="228">
        <f>IF($A$25="mm",25,0.984)</f>
        <v>0.98399999999999999</v>
      </c>
      <c r="J40" s="199">
        <v>1</v>
      </c>
      <c r="K40" s="185" t="str">
        <f>IF($A$25="mm","mm","in")</f>
        <v>in</v>
      </c>
      <c r="L40" s="228" t="str">
        <f>IF(AND(NOT($B$18="FILL OUT THIS TAB."),J$39="",J$40="",J$43="",J$44="",J$45="",J$46=""),"N/A",IF(J40="","BLANK",IF(J40&gt;=I40,"EQ","REJECT")))</f>
        <v>EQ</v>
      </c>
      <c r="N40" s="170"/>
      <c r="P40" s="170"/>
      <c r="Q40" s="170"/>
      <c r="R40" s="170" t="str">
        <f>IF(T38="Round","Outer Diameter:","Square side:")</f>
        <v>Square side:</v>
      </c>
      <c r="S40" s="228">
        <f>IF($A$25="mm",25,0.984)</f>
        <v>0.98399999999999999</v>
      </c>
      <c r="T40" s="199">
        <v>1</v>
      </c>
      <c r="U40" s="185" t="str">
        <f>IF($A$25="mm","mm","in")</f>
        <v>in</v>
      </c>
      <c r="V40" s="228" t="str">
        <f>IF(AND(T$39="",T$40="",T$43="",T$44="",T$45="",T$46=""),"N/A",IF(T40="","BLANK",IF(T40&gt;=S40,"EQ","REJECT")))</f>
        <v>EQ</v>
      </c>
      <c r="X40" s="170"/>
      <c r="Z40" s="170"/>
      <c r="AA40" s="170"/>
      <c r="AB40" s="170" t="str">
        <f>IF(AD38="Round","Outer Diameter:","Square side:")</f>
        <v>Square side:</v>
      </c>
      <c r="AC40" s="228">
        <f>IF($A$25="mm",25,0.984)</f>
        <v>0.98399999999999999</v>
      </c>
      <c r="AD40" s="199"/>
      <c r="AE40" s="185" t="str">
        <f>IF($A$25="mm","mm","in")</f>
        <v>in</v>
      </c>
      <c r="AF40" s="228" t="str">
        <f>IF(AND(AD$39="",AD$40="",AD$43="",AD$44="",AD$45="",AD$46=""),"N/A",IF(AD40="","BLANK",IF(AD40&gt;=AC40,"EQ","REJECT")))</f>
        <v>N/A</v>
      </c>
      <c r="AH40" s="170"/>
      <c r="AJ40" s="170"/>
      <c r="AK40" s="170"/>
      <c r="AL40" s="170" t="str">
        <f>IF(AN38="Round","Outer Diameter:","Square side:")</f>
        <v>Square side:</v>
      </c>
      <c r="AM40" s="228">
        <f>IF($A$25="mm",25,0.984)</f>
        <v>0.98399999999999999</v>
      </c>
      <c r="AN40" s="199"/>
      <c r="AO40" s="185" t="str">
        <f>IF($A$25="mm","mm","in")</f>
        <v>in</v>
      </c>
      <c r="AP40" s="228" t="str">
        <f>IF(AND(AN$39="",AN$40="",AN$43="",AN$44="",AN$45="",AN$46=""),"N/A",IF(AN40="","BLANK",IF(AN40&gt;=AM40,"EQ","REJECT")))</f>
        <v>N/A</v>
      </c>
      <c r="AR40" s="170"/>
      <c r="AT40" s="170"/>
      <c r="AU40" s="170"/>
      <c r="AV40" s="170" t="str">
        <f>IF(AX38="Round","Outer Diameter:","Square side:")</f>
        <v>Square side:</v>
      </c>
      <c r="AW40" s="228">
        <f>IF($A$25="mm",25,0.984)</f>
        <v>0.98399999999999999</v>
      </c>
      <c r="AX40" s="199"/>
      <c r="AY40" s="185" t="str">
        <f>IF($A$25="mm","mm","in")</f>
        <v>in</v>
      </c>
      <c r="AZ40" s="228" t="str">
        <f>IF(AND(AX$39="",AX$40="",AX$43="",AX$44="",AX$45="",AX$46=""),"N/A",IF(AX40="","BLANK",IF(AX40&gt;=AW40,"EQ","REJECT")))</f>
        <v>N/A</v>
      </c>
    </row>
    <row r="41" spans="1:52" ht="15" customHeight="1" x14ac:dyDescent="0.2">
      <c r="D41" s="170"/>
      <c r="F41" s="170"/>
      <c r="G41" s="170"/>
      <c r="H41" s="170" t="s">
        <v>1138</v>
      </c>
      <c r="I41" s="207">
        <f>IF(I38="Size A",173,
IF(I38="Size B",114,
IF(I38="Size C",91,126)))
*IF($A$25="mm",1,1/(25.4^2))</f>
        <v>0.17670035340070681</v>
      </c>
      <c r="J41" s="286" t="s">
        <v>1139</v>
      </c>
      <c r="K41" s="185" t="str">
        <f>IF($A$25="mm","mm^2","in^2")</f>
        <v>in^2</v>
      </c>
      <c r="L41" s="228" t="str">
        <f>IF(AND(NOT($B$18="FILL OUT THIS TAB."),J$39="",J$40="",J$43="",J$44="",J$45="",J$46=""),"N/A","EQ")</f>
        <v>EQ</v>
      </c>
      <c r="N41" s="170"/>
      <c r="P41" s="170"/>
      <c r="Q41" s="170"/>
      <c r="R41" s="170" t="s">
        <v>1138</v>
      </c>
      <c r="S41" s="207">
        <f>IF(S38="Size A",173,
IF(S38="Size B",114,
IF(S38="Size C",91,126)))*IF($A$25="mm",1,1/(25.4^2))</f>
        <v>0.17670035340070681</v>
      </c>
      <c r="T41" s="286" t="s">
        <v>1139</v>
      </c>
      <c r="U41" s="185" t="str">
        <f>IF($A$25="mm","mm^2","in^2")</f>
        <v>in^2</v>
      </c>
      <c r="V41" s="228" t="str">
        <f>IF(AND(T$39="",T$40="",T$43="",T$44="",T$45="",T$46=""),"N/A","EQ")</f>
        <v>EQ</v>
      </c>
      <c r="X41" s="170"/>
      <c r="Z41" s="170"/>
      <c r="AA41" s="170"/>
      <c r="AB41" s="170" t="s">
        <v>1138</v>
      </c>
      <c r="AC41" s="207">
        <f>IF(AC38="Size A",173,
IF(AC38="Size B",114,
IF(AC38="Size C",91,126)))*IF($A$25="mm",1,1/(25.4^2))</f>
        <v>0.19530039060078119</v>
      </c>
      <c r="AD41" s="286" t="s">
        <v>1139</v>
      </c>
      <c r="AE41" s="185" t="str">
        <f>IF($A$25="mm","mm^2","in^2")</f>
        <v>in^2</v>
      </c>
      <c r="AF41" s="228" t="str">
        <f>IF(AND(AD$39="",AD$40="",AD$43="",AD$44="",AD$45="",AD$46=""),"N/A","EQ")</f>
        <v>N/A</v>
      </c>
      <c r="AH41" s="170"/>
      <c r="AJ41" s="170"/>
      <c r="AK41" s="170"/>
      <c r="AL41" s="170" t="s">
        <v>1138</v>
      </c>
      <c r="AM41" s="207">
        <f>IF(AM38="Size A",173,
IF(AM38="Size B",114,
IF(AM38="Size C",91,126)))*IF($A$25="mm",1,1/(25.4^2))</f>
        <v>0.19530039060078119</v>
      </c>
      <c r="AN41" s="286" t="s">
        <v>1139</v>
      </c>
      <c r="AO41" s="185" t="str">
        <f>IF($A$25="mm","mm^2","in^2")</f>
        <v>in^2</v>
      </c>
      <c r="AP41" s="228" t="str">
        <f>IF(AND(AN$39="",AN$40="",AN$43="",AN$44="",AN$45="",AN$46=""),"N/A","EQ")</f>
        <v>N/A</v>
      </c>
      <c r="AR41" s="170"/>
      <c r="AT41" s="170"/>
      <c r="AU41" s="170"/>
      <c r="AV41" s="170" t="s">
        <v>1138</v>
      </c>
      <c r="AW41" s="207">
        <f>IF(AW38="Size A",173,
IF(AW38="Size B",114,
IF(AW38="Size C",91,126)))*IF($A$25="mm",1,1/(25.4^2))</f>
        <v>0.19530039060078119</v>
      </c>
      <c r="AX41" s="286" t="s">
        <v>1139</v>
      </c>
      <c r="AY41" s="185" t="str">
        <f>IF($A$25="mm","mm^2","in^2")</f>
        <v>in^2</v>
      </c>
      <c r="AZ41" s="228" t="str">
        <f>IF(AND(AX$39="",AX$40="",AX$43="",AX$44="",AX$45="",AX$46=""),"N/A","EQ")</f>
        <v>N/A</v>
      </c>
    </row>
    <row r="42" spans="1:52" ht="15" customHeight="1" x14ac:dyDescent="0.2">
      <c r="A42" s="232" t="s">
        <v>1140</v>
      </c>
      <c r="B42" s="287"/>
      <c r="C42" s="287"/>
      <c r="D42" s="230"/>
      <c r="F42" s="170"/>
      <c r="G42" s="170"/>
      <c r="H42" s="170" t="s">
        <v>1141</v>
      </c>
      <c r="I42" s="207">
        <f>IF(I38="Size A",11320,
IF(I38="Size B",8509,
IF(I38="Size C",6695,18015)))
*IF($A$25="mm",1,1/(25.4^4))</f>
        <v>2.0442954271735318E-2</v>
      </c>
      <c r="J42" s="286" t="s">
        <v>1139</v>
      </c>
      <c r="K42" s="185" t="str">
        <f>IF($A$25="mm","mm^4","in^4")</f>
        <v>in^4</v>
      </c>
      <c r="L42" s="228" t="str">
        <f>IF(AND(NOT($B$18="FILL OUT THIS TAB."),J$39="",J$40="",J$43="",J$44="",J$45="",J$46=""),"N/A","EQ")</f>
        <v>EQ</v>
      </c>
      <c r="N42" s="230"/>
      <c r="P42" s="170"/>
      <c r="Q42" s="170"/>
      <c r="R42" s="170" t="s">
        <v>1141</v>
      </c>
      <c r="S42" s="207">
        <f>IF(S38="Size A",11320,
IF(S38="Size B",8509,
IF(S38="Size C",6695,18015)))*IF($A$25="mm",1,1/(25.4^4))</f>
        <v>2.0442954271735318E-2</v>
      </c>
      <c r="T42" s="286" t="s">
        <v>1139</v>
      </c>
      <c r="U42" s="185" t="str">
        <f>IF($A$25="mm","mm^4","in^4")</f>
        <v>in^4</v>
      </c>
      <c r="V42" s="228" t="str">
        <f>IF(AND(T$39="",T$40="",T$43="",T$44="",T$45="",T$46=""),"N/A","EQ")</f>
        <v>EQ</v>
      </c>
      <c r="X42" s="230"/>
      <c r="Z42" s="170"/>
      <c r="AA42" s="170"/>
      <c r="AB42" s="170" t="s">
        <v>1141</v>
      </c>
      <c r="AC42" s="207">
        <f>IF(AC38="Size A",11320,
IF(AC38="Size B",8509,
IF(AC38="Size C",6695,18015)))*IF($A$25="mm",1,1/(25.4^4))</f>
        <v>4.3281210624669379E-2</v>
      </c>
      <c r="AD42" s="286" t="s">
        <v>1139</v>
      </c>
      <c r="AE42" s="185" t="str">
        <f>IF($A$25="mm","mm^4","in^4")</f>
        <v>in^4</v>
      </c>
      <c r="AF42" s="228" t="str">
        <f>IF(AND(AD$39="",AD$40="",AD$43="",AD$44="",AD$45="",AD$46=""),"N/A","EQ")</f>
        <v>N/A</v>
      </c>
      <c r="AH42" s="230"/>
      <c r="AJ42" s="170"/>
      <c r="AK42" s="170"/>
      <c r="AL42" s="170" t="s">
        <v>1141</v>
      </c>
      <c r="AM42" s="207">
        <f>IF(AM38="Size A",11320,
IF(AM38="Size B",8509,
IF(AM38="Size C",6695,18015)))*IF($A$25="mm",1,1/(25.4^4))</f>
        <v>4.3281210624669379E-2</v>
      </c>
      <c r="AN42" s="286" t="s">
        <v>1139</v>
      </c>
      <c r="AO42" s="185" t="str">
        <f>IF($A$25="mm","mm^4","in^4")</f>
        <v>in^4</v>
      </c>
      <c r="AP42" s="228" t="str">
        <f>IF(AND(AN$39="",AN$40="",AN$43="",AN$44="",AN$45="",AN$46=""),"N/A","EQ")</f>
        <v>N/A</v>
      </c>
      <c r="AR42" s="230"/>
      <c r="AT42" s="170"/>
      <c r="AU42" s="170"/>
      <c r="AV42" s="170" t="s">
        <v>1141</v>
      </c>
      <c r="AW42" s="207">
        <f>IF(AW38="Size A",11320,
IF(AW38="Size B",8509,
IF(AW38="Size C",6695,18015)))*IF($A$25="mm",1,1/(25.4^4))</f>
        <v>4.3281210624669379E-2</v>
      </c>
      <c r="AX42" s="286" t="s">
        <v>1139</v>
      </c>
      <c r="AY42" s="185" t="str">
        <f>IF($A$25="mm","mm^4","in^4")</f>
        <v>in^4</v>
      </c>
      <c r="AZ42" s="228" t="str">
        <f>IF(AND(AX$39="",AX$40="",AX$43="",AX$44="",AX$45="",AX$46=""),"N/A","EQ")</f>
        <v>N/A</v>
      </c>
    </row>
    <row r="43" spans="1:52" ht="15" customHeight="1" x14ac:dyDescent="0.2">
      <c r="A43" s="232" t="s">
        <v>1142</v>
      </c>
      <c r="B43" s="287"/>
      <c r="C43" s="287"/>
      <c r="D43" s="236" t="s">
        <v>1143</v>
      </c>
      <c r="F43" s="170"/>
      <c r="G43" s="170"/>
      <c r="H43" s="170"/>
      <c r="I43" s="170" t="s">
        <v>1144</v>
      </c>
      <c r="J43" s="288">
        <v>0.2485</v>
      </c>
      <c r="K43" s="185" t="str">
        <f>IF($A$25="mm","mm^2","in^2")</f>
        <v>in^2</v>
      </c>
      <c r="L43" s="228" t="str">
        <f>IF(AND(NOT($B$18="FILL OUT THIS TAB."),J$39="",J$40="",J$43="",J$44="",J$45="",J$46=""),"N/A",IF(J43="","BLANK","EQ"))</f>
        <v>EQ</v>
      </c>
      <c r="N43" s="236" t="s">
        <v>1143</v>
      </c>
      <c r="P43" s="170"/>
      <c r="Q43" s="170"/>
      <c r="S43" s="170" t="s">
        <v>1144</v>
      </c>
      <c r="T43" s="288">
        <v>0.1867</v>
      </c>
      <c r="U43" s="185" t="str">
        <f>IF($A$25="mm","mm^2","in^2")</f>
        <v>in^2</v>
      </c>
      <c r="V43" s="228" t="str">
        <f>IF(AND(T$39="",T$40="",T$43="",T$44="",T$45="",T$46=""),"N/A",IF(T43="","BLANK","EQ"))</f>
        <v>EQ</v>
      </c>
      <c r="X43" s="236" t="s">
        <v>1143</v>
      </c>
      <c r="Z43" s="170"/>
      <c r="AA43" s="170"/>
      <c r="AC43" s="170" t="s">
        <v>1144</v>
      </c>
      <c r="AD43" s="288"/>
      <c r="AE43" s="185" t="str">
        <f>IF($A$25="mm","mm^2","in^2")</f>
        <v>in^2</v>
      </c>
      <c r="AF43" s="228" t="str">
        <f>IF(AND(AD$39="",AD$40="",AD$43="",AD$44="",AD$45="",AD$46=""),"N/A",IF(AD43="","BLANK","EQ"))</f>
        <v>N/A</v>
      </c>
      <c r="AH43" s="236" t="s">
        <v>1143</v>
      </c>
      <c r="AJ43" s="170"/>
      <c r="AK43" s="170"/>
      <c r="AM43" s="170" t="s">
        <v>1144</v>
      </c>
      <c r="AN43" s="288"/>
      <c r="AO43" s="185" t="str">
        <f>IF($A$25="mm","mm^2","in^2")</f>
        <v>in^2</v>
      </c>
      <c r="AP43" s="228" t="str">
        <f>IF(AND(AN$39="",AN$40="",AN$43="",AN$44="",AN$45="",AN$46=""),"N/A",IF(AN43="","BLANK","EQ"))</f>
        <v>N/A</v>
      </c>
      <c r="AR43" s="236" t="s">
        <v>1143</v>
      </c>
      <c r="AT43" s="170"/>
      <c r="AU43" s="170"/>
      <c r="AW43" s="170" t="s">
        <v>1144</v>
      </c>
      <c r="AX43" s="288"/>
      <c r="AY43" s="185" t="str">
        <f>IF($A$25="mm","mm^2","in^2")</f>
        <v>in^2</v>
      </c>
      <c r="AZ43" s="228" t="str">
        <f>IF(AND(AX$39="",AX$40="",AX$43="",AX$44="",AX$45="",AX$46=""),"N/A",IF(AX43="","BLANK","EQ"))</f>
        <v>N/A</v>
      </c>
    </row>
    <row r="44" spans="1:52" ht="15" customHeight="1" x14ac:dyDescent="0.2">
      <c r="A44" s="232" t="s">
        <v>1145</v>
      </c>
      <c r="B44" s="287"/>
      <c r="C44" s="287"/>
      <c r="D44" s="230"/>
      <c r="F44" s="170"/>
      <c r="G44" s="170"/>
      <c r="H44" s="170"/>
      <c r="I44" s="170" t="s">
        <v>1146</v>
      </c>
      <c r="J44" s="288">
        <v>7.9000000000000001E-2</v>
      </c>
      <c r="K44" s="185" t="str">
        <f>IF($A$25="mm","mm^4","in^4")</f>
        <v>in^4</v>
      </c>
      <c r="L44" s="228" t="str">
        <f>IF(AND(NOT($B$18="FILL OUT THIS TAB."),J$39="",J$40="",J$43="",J$44="",J$45="",J$46=""),"N/A",IF(J44="","BLANK","EQ"))</f>
        <v>EQ</v>
      </c>
      <c r="N44" s="230"/>
      <c r="P44" s="170"/>
      <c r="Q44" s="170"/>
      <c r="S44" s="170" t="s">
        <v>1146</v>
      </c>
      <c r="T44" s="288">
        <v>4.3999999999999997E-2</v>
      </c>
      <c r="U44" s="185" t="str">
        <f>IF($A$25="mm","mm^4","in^4")</f>
        <v>in^4</v>
      </c>
      <c r="V44" s="228" t="str">
        <f>IF(AND(T$39="",T$40="",T$43="",T$44="",T$45="",T$46=""),"N/A",IF(T44="","BLANK","EQ"))</f>
        <v>EQ</v>
      </c>
      <c r="X44" s="230"/>
      <c r="Z44" s="170"/>
      <c r="AA44" s="170"/>
      <c r="AC44" s="170" t="s">
        <v>1146</v>
      </c>
      <c r="AD44" s="288"/>
      <c r="AE44" s="185" t="str">
        <f>IF($A$25="mm","mm^4","in^4")</f>
        <v>in^4</v>
      </c>
      <c r="AF44" s="228" t="str">
        <f>IF(AND(AD$39="",AD$40="",AD$43="",AD$44="",AD$45="",AD$46=""),"N/A",IF(AD44="","BLANK","EQ"))</f>
        <v>N/A</v>
      </c>
      <c r="AH44" s="230"/>
      <c r="AJ44" s="170"/>
      <c r="AK44" s="170"/>
      <c r="AM44" s="170" t="s">
        <v>1146</v>
      </c>
      <c r="AN44" s="288"/>
      <c r="AO44" s="185" t="str">
        <f>IF($A$25="mm","mm^4","in^4")</f>
        <v>in^4</v>
      </c>
      <c r="AP44" s="228" t="str">
        <f>IF(AND(AN$39="",AN$40="",AN$43="",AN$44="",AN$45="",AN$46=""),"N/A",IF(AN44="","BLANK","EQ"))</f>
        <v>N/A</v>
      </c>
      <c r="AR44" s="230"/>
      <c r="AT44" s="170"/>
      <c r="AU44" s="170"/>
      <c r="AW44" s="170" t="s">
        <v>1146</v>
      </c>
      <c r="AX44" s="288"/>
      <c r="AY44" s="185" t="str">
        <f>IF($A$25="mm","mm^4","in^4")</f>
        <v>in^4</v>
      </c>
      <c r="AZ44" s="228" t="str">
        <f>IF(AND(AX$39="",AX$40="",AX$43="",AX$44="",AX$45="",AX$46=""),"N/A",IF(AX44="","BLANK","EQ"))</f>
        <v>N/A</v>
      </c>
    </row>
    <row r="45" spans="1:52" ht="15" customHeight="1" x14ac:dyDescent="0.2">
      <c r="A45" s="232" t="s">
        <v>1147</v>
      </c>
      <c r="B45" s="287"/>
      <c r="C45" s="287"/>
      <c r="D45" s="230"/>
      <c r="F45" s="170"/>
      <c r="G45" s="170"/>
      <c r="H45" s="170"/>
      <c r="I45" s="170" t="s">
        <v>1148</v>
      </c>
      <c r="J45" s="288">
        <v>7.6600000000000001E-2</v>
      </c>
      <c r="K45" s="185" t="str">
        <f>IF($A$25="mm","mm^2","in^2")</f>
        <v>in^2</v>
      </c>
      <c r="L45" s="228" t="str">
        <f>IF(AND(NOT($B$18="FILL OUT THIS TAB."),J$39="",J$40="",J$43="",J$44="",J$45="",J$46=""),"N/A",IF(J45="","BLANK","EQ"))</f>
        <v>EQ</v>
      </c>
      <c r="N45" s="230"/>
      <c r="P45" s="170"/>
      <c r="Q45" s="170"/>
      <c r="S45" s="170" t="s">
        <v>1148</v>
      </c>
      <c r="T45" s="288">
        <v>2.76E-2</v>
      </c>
      <c r="U45" s="185" t="str">
        <f>IF($A$25="mm","mm^2","in^2")</f>
        <v>in^2</v>
      </c>
      <c r="V45" s="228" t="str">
        <f>IF(AND(T$39="",T$40="",T$43="",T$44="",T$45="",T$46=""),"N/A",IF(T45="","BLANK","EQ"))</f>
        <v>EQ</v>
      </c>
      <c r="X45" s="230"/>
      <c r="Z45" s="170"/>
      <c r="AA45" s="170"/>
      <c r="AC45" s="170" t="s">
        <v>1148</v>
      </c>
      <c r="AD45" s="288"/>
      <c r="AE45" s="185" t="str">
        <f>IF($A$25="mm","mm^2","in^2")</f>
        <v>in^2</v>
      </c>
      <c r="AF45" s="228" t="str">
        <f>IF(AND(AD$39="",AD$40="",AD$43="",AD$44="",AD$45="",AD$46=""),"N/A",IF(AD45="","BLANK","EQ"))</f>
        <v>N/A</v>
      </c>
      <c r="AH45" s="230"/>
      <c r="AJ45" s="170"/>
      <c r="AK45" s="170"/>
      <c r="AM45" s="170" t="s">
        <v>1148</v>
      </c>
      <c r="AN45" s="288"/>
      <c r="AO45" s="185" t="str">
        <f>IF($A$25="mm","mm^2","in^2")</f>
        <v>in^2</v>
      </c>
      <c r="AP45" s="228" t="str">
        <f>IF(AND(AN$39="",AN$40="",AN$43="",AN$44="",AN$45="",AN$46=""),"N/A",IF(AN45="","BLANK","EQ"))</f>
        <v>N/A</v>
      </c>
      <c r="AR45" s="230"/>
      <c r="AT45" s="170"/>
      <c r="AU45" s="170"/>
      <c r="AW45" s="170" t="s">
        <v>1148</v>
      </c>
      <c r="AX45" s="288"/>
      <c r="AY45" s="185" t="str">
        <f>IF($A$25="mm","mm^2","in^2")</f>
        <v>in^2</v>
      </c>
      <c r="AZ45" s="228" t="str">
        <f>IF(AND(AX$39="",AX$40="",AX$43="",AX$44="",AX$45="",AX$46=""),"N/A",IF(AX45="","BLANK","EQ"))</f>
        <v>N/A</v>
      </c>
    </row>
    <row r="46" spans="1:52" ht="15" customHeight="1" x14ac:dyDescent="0.2">
      <c r="A46" s="232" t="s">
        <v>1149</v>
      </c>
      <c r="B46" s="287"/>
      <c r="C46" s="287"/>
      <c r="D46" s="230"/>
      <c r="F46" s="170"/>
      <c r="G46" s="170"/>
      <c r="H46" s="170"/>
      <c r="I46" s="170" t="s">
        <v>1150</v>
      </c>
      <c r="J46" s="199">
        <v>7.0999999999999994E-2</v>
      </c>
      <c r="K46" s="185" t="str">
        <f>IF($A$25="mm","mm^4","in^4")</f>
        <v>in^4</v>
      </c>
      <c r="L46" s="228" t="str">
        <f>IF(AND(NOT($B$18="FILL OUT THIS TAB."),J$39="",J$40="",J$43="",J$44="",J$45="",J$46=""),"N/A",IF(J46="","BLANK","EQ"))</f>
        <v>EQ</v>
      </c>
      <c r="N46" s="230"/>
      <c r="P46" s="170"/>
      <c r="Q46" s="170"/>
      <c r="S46" s="170" t="s">
        <v>1150</v>
      </c>
      <c r="T46" s="199">
        <v>4.2999999999999997E-2</v>
      </c>
      <c r="U46" s="185" t="str">
        <f>IF($A$25="mm","mm^4","in^4")</f>
        <v>in^4</v>
      </c>
      <c r="V46" s="228" t="str">
        <f>IF(AND(T$39="",T$40="",T$43="",T$44="",T$45="",T$46=""),"N/A",IF(T46="","BLANK","EQ"))</f>
        <v>EQ</v>
      </c>
      <c r="X46" s="230"/>
      <c r="Z46" s="170"/>
      <c r="AA46" s="170"/>
      <c r="AC46" s="170" t="s">
        <v>1150</v>
      </c>
      <c r="AD46" s="199"/>
      <c r="AE46" s="185" t="str">
        <f>IF($A$25="mm","mm^4","in^4")</f>
        <v>in^4</v>
      </c>
      <c r="AF46" s="228" t="str">
        <f>IF(AND(AD$39="",AD$40="",AD$43="",AD$44="",AD$45="",AD$46=""),"N/A",IF(AD46="","BLANK","EQ"))</f>
        <v>N/A</v>
      </c>
      <c r="AH46" s="230"/>
      <c r="AJ46" s="170"/>
      <c r="AK46" s="170"/>
      <c r="AM46" s="170" t="s">
        <v>1150</v>
      </c>
      <c r="AN46" s="199"/>
      <c r="AO46" s="185" t="str">
        <f>IF($A$25="mm","mm^4","in^4")</f>
        <v>in^4</v>
      </c>
      <c r="AP46" s="228" t="str">
        <f>IF(AND(AN$39="",AN$40="",AN$43="",AN$44="",AN$45="",AN$46=""),"N/A",IF(AN46="","BLANK","EQ"))</f>
        <v>N/A</v>
      </c>
      <c r="AR46" s="230"/>
      <c r="AT46" s="170"/>
      <c r="AU46" s="170"/>
      <c r="AW46" s="170" t="s">
        <v>1150</v>
      </c>
      <c r="AX46" s="199"/>
      <c r="AY46" s="185" t="str">
        <f>IF($A$25="mm","mm^4","in^4")</f>
        <v>in^4</v>
      </c>
      <c r="AZ46" s="228" t="str">
        <f>IF(AND(AX$39="",AX$40="",AX$43="",AX$44="",AX$45="",AX$46=""),"N/A",IF(AX46="","BLANK","EQ"))</f>
        <v>N/A</v>
      </c>
    </row>
    <row r="47" spans="1:52" ht="15.75" customHeight="1" x14ac:dyDescent="0.2">
      <c r="A47" s="232"/>
      <c r="B47" s="287"/>
      <c r="C47" s="287"/>
      <c r="D47" s="183" t="str">
        <f>IF(J37="Steel","F.3.4.2","F.3.5.3")</f>
        <v>F.3.4.2</v>
      </c>
      <c r="E47" s="236" t="s">
        <v>1151</v>
      </c>
      <c r="F47" s="170"/>
      <c r="G47" s="170"/>
      <c r="H47" s="170" t="s">
        <v>651</v>
      </c>
      <c r="I47" s="207">
        <f>$A$33</f>
        <v>29000000</v>
      </c>
      <c r="J47" s="207">
        <f>IF(J$37="Steel",$A33,IF(J$37="6061-T6",$B33,$C33))</f>
        <v>29000000</v>
      </c>
      <c r="K47" s="185" t="str">
        <f>IF($A$25="mm","Pa","psi")</f>
        <v>psi</v>
      </c>
      <c r="L47" s="228" t="str">
        <f>IF(AND(NOT($B$18="FILL OUT THIS TAB."),J$39="",J$40="",J$43="",J$44="",J$45="",J$46=""),"N/A",IF(J47=0,"BLANK","EQ"))</f>
        <v>EQ</v>
      </c>
      <c r="N47" s="183" t="str">
        <f>IF(T37="Steel","F.3.4.2","F.3.5.3")</f>
        <v>F.3.4.2</v>
      </c>
      <c r="O47" s="236" t="s">
        <v>1151</v>
      </c>
      <c r="P47" s="170"/>
      <c r="Q47" s="170"/>
      <c r="R47" s="170" t="s">
        <v>651</v>
      </c>
      <c r="S47" s="207">
        <f>$A$33</f>
        <v>29000000</v>
      </c>
      <c r="T47" s="207">
        <f>IF(T$37="Steel",$A33,IF(T$37="6061-T6",$B33,$C33))</f>
        <v>29000000</v>
      </c>
      <c r="U47" s="185" t="str">
        <f>IF($A$25="mm","Pa","psi")</f>
        <v>psi</v>
      </c>
      <c r="V47" s="228" t="str">
        <f>IF(AND(T$39="",T$40="",T$43="",T$44="",T$45="",T$46=""),"N/A",IF(T47=0,"BLANK","EQ"))</f>
        <v>EQ</v>
      </c>
      <c r="X47" s="183" t="str">
        <f>IF(AD37="Steel","F.3.4.2","F.3.5.3")</f>
        <v>F.3.5.3</v>
      </c>
      <c r="Y47" s="236" t="s">
        <v>1151</v>
      </c>
      <c r="Z47" s="170"/>
      <c r="AA47" s="170"/>
      <c r="AB47" s="170" t="s">
        <v>651</v>
      </c>
      <c r="AC47" s="207">
        <f>$A$33</f>
        <v>29000000</v>
      </c>
      <c r="AD47" s="207">
        <f>IF(AD$37="Steel",$A33,IF(AD$37="6061-T6",$B33,$C33))</f>
        <v>0</v>
      </c>
      <c r="AE47" s="185" t="str">
        <f>IF($A$25="mm","Pa","psi")</f>
        <v>psi</v>
      </c>
      <c r="AF47" s="228" t="str">
        <f>IF(AND(AD$39="",AD$40="",AD$43="",AD$44="",AD$45="",AD$46=""),"N/A",IF(AD47=0,"BLANK","EQ"))</f>
        <v>N/A</v>
      </c>
      <c r="AH47" s="183" t="str">
        <f>IF(AN37="Steel","F.3.4.2","F.3.5.3")</f>
        <v>F.3.5.3</v>
      </c>
      <c r="AI47" s="236" t="s">
        <v>1151</v>
      </c>
      <c r="AJ47" s="170"/>
      <c r="AK47" s="170"/>
      <c r="AL47" s="170" t="s">
        <v>651</v>
      </c>
      <c r="AM47" s="207">
        <f>$A$33</f>
        <v>29000000</v>
      </c>
      <c r="AN47" s="207">
        <f>IF(AN$37="Steel",$A33,IF(AN$37="6061-T6",$B33,$C33))</f>
        <v>0</v>
      </c>
      <c r="AO47" s="185" t="str">
        <f>IF($A$25="mm","Pa","psi")</f>
        <v>psi</v>
      </c>
      <c r="AP47" s="228" t="str">
        <f>IF(AND(AN$39="",AN$40="",AN$43="",AN$44="",AN$45="",AN$46=""),"N/A",IF(AN47=0,"BLANK","EQ"))</f>
        <v>N/A</v>
      </c>
      <c r="AR47" s="183" t="str">
        <f>IF(AX37="Steel","F.3.4.2","F.3.5.3")</f>
        <v>F.3.5.3</v>
      </c>
      <c r="AS47" s="236" t="s">
        <v>1151</v>
      </c>
      <c r="AT47" s="170"/>
      <c r="AU47" s="170"/>
      <c r="AV47" s="170" t="s">
        <v>651</v>
      </c>
      <c r="AW47" s="207">
        <f>$A$33</f>
        <v>29000000</v>
      </c>
      <c r="AX47" s="207">
        <f>IF(AX$37="Steel",$A33,IF(AX$37="6061-T6",$B33,$C33))</f>
        <v>0</v>
      </c>
      <c r="AY47" s="185" t="str">
        <f>IF($A$25="mm","Pa","psi")</f>
        <v>psi</v>
      </c>
      <c r="AZ47" s="228" t="str">
        <f>IF(AND(AX$39="",AX$40="",AX$43="",AX$44="",AX$45="",AX$46=""),"N/A",IF(AX47=0,"BLANK","EQ"))</f>
        <v>N/A</v>
      </c>
    </row>
    <row r="48" spans="1:52" x14ac:dyDescent="0.2">
      <c r="A48" s="232" t="s">
        <v>1152</v>
      </c>
      <c r="B48" s="287"/>
      <c r="C48" s="287"/>
      <c r="D48" s="230"/>
      <c r="F48" s="170"/>
      <c r="G48" s="170"/>
      <c r="H48" s="170" t="s">
        <v>1153</v>
      </c>
      <c r="I48" s="207">
        <f>$A$34</f>
        <v>44200</v>
      </c>
      <c r="J48" s="207">
        <f>IF(J$37="Steel",$A34,IF(J$37="6061-T6",$B34,$C34))</f>
        <v>44200</v>
      </c>
      <c r="K48" s="185" t="str">
        <f>IF($A$25="mm","Pa","psi")</f>
        <v>psi</v>
      </c>
      <c r="L48" s="228" t="str">
        <f>IF(AND(NOT($B$18="FILL OUT THIS TAB."),J$39="",J$40="",J$43="",J$44="",J$45="",J$46=""),"N/A",IF(J48=0,"BLANK","EQ"))</f>
        <v>EQ</v>
      </c>
      <c r="N48" s="230"/>
      <c r="P48" s="170"/>
      <c r="Q48" s="170"/>
      <c r="R48" s="170" t="s">
        <v>1153</v>
      </c>
      <c r="S48" s="207">
        <f>$A$34</f>
        <v>44200</v>
      </c>
      <c r="T48" s="207">
        <f>IF(T$37="Steel",$A34,IF(T$37="6061-T6",$B34,$C34))</f>
        <v>44200</v>
      </c>
      <c r="U48" s="185" t="str">
        <f>IF($A$25="mm","Pa","psi")</f>
        <v>psi</v>
      </c>
      <c r="V48" s="228" t="str">
        <f t="shared" ref="V48:V51" si="0">IF(AND(T$39="",T$40="",T$43="",T$44="",T$45="",T$46=""),"N/A",IF(T48=0,"BLANK","EQ"))</f>
        <v>EQ</v>
      </c>
      <c r="X48" s="230"/>
      <c r="Z48" s="170"/>
      <c r="AA48" s="170"/>
      <c r="AB48" s="170" t="s">
        <v>1153</v>
      </c>
      <c r="AC48" s="207">
        <f>$A$34</f>
        <v>44200</v>
      </c>
      <c r="AD48" s="207">
        <f>IF(AD$37="Steel",$A34,IF(AD$37="6061-T6",$B34,$C34))</f>
        <v>0</v>
      </c>
      <c r="AE48" s="185" t="str">
        <f>IF($A$25="mm","Pa","psi")</f>
        <v>psi</v>
      </c>
      <c r="AF48" s="228" t="str">
        <f t="shared" ref="AF48:AF51" si="1">IF(AND(AD$39="",AD$40="",AD$43="",AD$44="",AD$45="",AD$46=""),"N/A",IF(AD48=0,"BLANK","EQ"))</f>
        <v>N/A</v>
      </c>
      <c r="AH48" s="230"/>
      <c r="AJ48" s="170"/>
      <c r="AK48" s="170"/>
      <c r="AL48" s="170" t="s">
        <v>1153</v>
      </c>
      <c r="AM48" s="207">
        <f>$A$34</f>
        <v>44200</v>
      </c>
      <c r="AN48" s="207">
        <f>IF(AN$37="Steel",$A34,IF(AN$37="6061-T6",$B34,$C34))</f>
        <v>0</v>
      </c>
      <c r="AO48" s="185" t="str">
        <f>IF($A$25="mm","Pa","psi")</f>
        <v>psi</v>
      </c>
      <c r="AP48" s="228" t="str">
        <f t="shared" ref="AP48:AP51" si="2">IF(AND(AN$39="",AN$40="",AN$43="",AN$44="",AN$45="",AN$46=""),"N/A",IF(AN48=0,"BLANK","EQ"))</f>
        <v>N/A</v>
      </c>
      <c r="AR48" s="230"/>
      <c r="AT48" s="170"/>
      <c r="AU48" s="170"/>
      <c r="AV48" s="170" t="s">
        <v>1153</v>
      </c>
      <c r="AW48" s="207">
        <f>$A$34</f>
        <v>44200</v>
      </c>
      <c r="AX48" s="207">
        <f>IF(AX$37="Steel",$A34,IF(AX$37="6061-T6",$B34,$C34))</f>
        <v>0</v>
      </c>
      <c r="AY48" s="185" t="str">
        <f>IF($A$25="mm","Pa","psi")</f>
        <v>psi</v>
      </c>
      <c r="AZ48" s="228" t="str">
        <f t="shared" ref="AZ48:AZ51" si="3">IF(AND(AX$39="",AX$40="",AX$43="",AX$44="",AX$45="",AX$46=""),"N/A",IF(AX48=0,"BLANK","EQ"))</f>
        <v>N/A</v>
      </c>
    </row>
    <row r="49" spans="1:52" ht="15" customHeight="1" x14ac:dyDescent="0.2">
      <c r="A49" s="232" t="s">
        <v>1154</v>
      </c>
      <c r="B49" s="287"/>
      <c r="C49" s="287"/>
      <c r="D49" s="230"/>
      <c r="F49" s="230"/>
      <c r="G49" s="230"/>
      <c r="H49" s="230" t="s">
        <v>1155</v>
      </c>
      <c r="I49" s="207">
        <f>$A$35</f>
        <v>52900</v>
      </c>
      <c r="J49" s="207">
        <f>IF(J$37="Steel",$A35,IF(J$37="6061-T6",$B35,$C35))</f>
        <v>52900</v>
      </c>
      <c r="K49" s="185" t="str">
        <f>IF($A$25="mm","Pa","psi")</f>
        <v>psi</v>
      </c>
      <c r="L49" s="228" t="str">
        <f>IF(AND(NOT($B$18="FILL OUT THIS TAB."),J$39="",J$40="",J$43="",J$44="",J$45="",J$46=""),"N/A",IF(J49=0,"BLANK","EQ"))</f>
        <v>EQ</v>
      </c>
      <c r="N49" s="230"/>
      <c r="P49" s="230"/>
      <c r="Q49" s="230"/>
      <c r="R49" s="230" t="s">
        <v>1155</v>
      </c>
      <c r="S49" s="207">
        <f>$A$35</f>
        <v>52900</v>
      </c>
      <c r="T49" s="207">
        <f>IF(T$37="Steel",$A35,IF(T$37="6061-T6",$B35,$C35))</f>
        <v>52900</v>
      </c>
      <c r="U49" s="185" t="str">
        <f>IF($A$25="mm","Pa","psi")</f>
        <v>psi</v>
      </c>
      <c r="V49" s="228" t="str">
        <f t="shared" si="0"/>
        <v>EQ</v>
      </c>
      <c r="X49" s="230"/>
      <c r="Z49" s="230"/>
      <c r="AA49" s="230"/>
      <c r="AB49" s="230" t="s">
        <v>1155</v>
      </c>
      <c r="AC49" s="207">
        <f>$A$35</f>
        <v>52900</v>
      </c>
      <c r="AD49" s="207">
        <f>IF(AD$37="Steel",$A35,IF(AD$37="6061-T6",$B35,$C35))</f>
        <v>0</v>
      </c>
      <c r="AE49" s="185" t="str">
        <f>IF($A$25="mm","Pa","psi")</f>
        <v>psi</v>
      </c>
      <c r="AF49" s="228" t="str">
        <f t="shared" si="1"/>
        <v>N/A</v>
      </c>
      <c r="AH49" s="230"/>
      <c r="AJ49" s="230"/>
      <c r="AK49" s="230"/>
      <c r="AL49" s="230" t="s">
        <v>1155</v>
      </c>
      <c r="AM49" s="207">
        <f>$A$35</f>
        <v>52900</v>
      </c>
      <c r="AN49" s="207">
        <f>IF(AN$37="Steel",$A35,IF(AN$37="6061-T6",$B35,$C35))</f>
        <v>0</v>
      </c>
      <c r="AO49" s="185" t="str">
        <f>IF($A$25="mm","Pa","psi")</f>
        <v>psi</v>
      </c>
      <c r="AP49" s="228" t="str">
        <f t="shared" si="2"/>
        <v>N/A</v>
      </c>
      <c r="AR49" s="230"/>
      <c r="AT49" s="230"/>
      <c r="AU49" s="230"/>
      <c r="AV49" s="230" t="s">
        <v>1155</v>
      </c>
      <c r="AW49" s="207">
        <f>$A$35</f>
        <v>52900</v>
      </c>
      <c r="AX49" s="207">
        <f>IF(AX$37="Steel",$A35,IF(AX$37="6061-T6",$B35,$C35))</f>
        <v>0</v>
      </c>
      <c r="AY49" s="185" t="str">
        <f>IF($A$25="mm","Pa","psi")</f>
        <v>psi</v>
      </c>
      <c r="AZ49" s="228" t="str">
        <f t="shared" si="3"/>
        <v>N/A</v>
      </c>
    </row>
    <row r="50" spans="1:52" x14ac:dyDescent="0.2">
      <c r="A50" s="125" t="s">
        <v>1156</v>
      </c>
      <c r="B50" s="287"/>
      <c r="C50" s="287"/>
      <c r="D50" s="230"/>
      <c r="F50" s="230"/>
      <c r="G50" s="230"/>
      <c r="H50" s="170" t="s">
        <v>1157</v>
      </c>
      <c r="I50" s="207" t="s">
        <v>99</v>
      </c>
      <c r="J50" s="207">
        <f>IF(J$37="Steel",$A38,IF(J$37="6061-T6",$B38,$C38))</f>
        <v>26000</v>
      </c>
      <c r="K50" s="185" t="str">
        <f>IF($A$25="mm","Pa","psi")</f>
        <v>psi</v>
      </c>
      <c r="L50" s="228" t="str">
        <f>IF(AND(NOT($B$18="FILL OUT THIS TAB."),J$39="",J$40="",J$43="",J$44="",J$45="",J$46=""),"N/A",IF(J50=0,"BLANK","EQ"))</f>
        <v>EQ</v>
      </c>
      <c r="N50" s="230"/>
      <c r="P50" s="230"/>
      <c r="Q50" s="230"/>
      <c r="R50" s="170" t="s">
        <v>1157</v>
      </c>
      <c r="S50" s="207" t="s">
        <v>99</v>
      </c>
      <c r="T50" s="207">
        <f>IF(T$37="Steel",$A38,IF(T$37="6061-T6",$B38,$C38))</f>
        <v>26000</v>
      </c>
      <c r="U50" s="185" t="str">
        <f>IF($A$25="mm","Pa","psi")</f>
        <v>psi</v>
      </c>
      <c r="V50" s="228" t="str">
        <f t="shared" si="0"/>
        <v>EQ</v>
      </c>
      <c r="X50" s="230"/>
      <c r="Z50" s="230"/>
      <c r="AA50" s="230"/>
      <c r="AB50" s="170" t="s">
        <v>1157</v>
      </c>
      <c r="AC50" s="207" t="s">
        <v>99</v>
      </c>
      <c r="AD50" s="207">
        <f>IF(AD$37="Steel",$A38,IF(AD$37="6061-T6",$B38,$C38))</f>
        <v>0</v>
      </c>
      <c r="AE50" s="185" t="str">
        <f>IF($A$25="mm","Pa","psi")</f>
        <v>psi</v>
      </c>
      <c r="AF50" s="228" t="str">
        <f t="shared" si="1"/>
        <v>N/A</v>
      </c>
      <c r="AH50" s="230"/>
      <c r="AJ50" s="230"/>
      <c r="AK50" s="230"/>
      <c r="AL50" s="170" t="s">
        <v>1157</v>
      </c>
      <c r="AM50" s="207" t="s">
        <v>99</v>
      </c>
      <c r="AN50" s="207">
        <f>IF(AN$37="Steel",$A38,IF(AN$37="6061-T6",$B38,$C38))</f>
        <v>0</v>
      </c>
      <c r="AO50" s="185" t="str">
        <f>IF($A$25="mm","Pa","psi")</f>
        <v>psi</v>
      </c>
      <c r="AP50" s="228" t="str">
        <f t="shared" si="2"/>
        <v>N/A</v>
      </c>
      <c r="AR50" s="230"/>
      <c r="AT50" s="230"/>
      <c r="AU50" s="230"/>
      <c r="AV50" s="170" t="s">
        <v>1157</v>
      </c>
      <c r="AW50" s="207" t="s">
        <v>99</v>
      </c>
      <c r="AX50" s="207">
        <f>IF(AX$37="Steel",$A38,IF(AX$37="6061-T6",$B38,$C38))</f>
        <v>0</v>
      </c>
      <c r="AY50" s="185" t="str">
        <f>IF($A$25="mm","Pa","psi")</f>
        <v>psi</v>
      </c>
      <c r="AZ50" s="228" t="str">
        <f t="shared" si="3"/>
        <v>N/A</v>
      </c>
    </row>
    <row r="51" spans="1:52" x14ac:dyDescent="0.2">
      <c r="A51" s="125" t="s">
        <v>1158</v>
      </c>
      <c r="B51" s="287"/>
      <c r="C51" s="287"/>
      <c r="D51" s="230"/>
      <c r="F51" s="230"/>
      <c r="G51" s="230"/>
      <c r="H51" s="230" t="s">
        <v>1159</v>
      </c>
      <c r="I51" s="207" t="s">
        <v>99</v>
      </c>
      <c r="J51" s="207">
        <f>IF(J$37="Steel",$A39,IF(J$37="6061-T6",$B39,$C39))</f>
        <v>43500</v>
      </c>
      <c r="K51" s="185" t="str">
        <f>IF($A$25="mm","Pa","psi")</f>
        <v>psi</v>
      </c>
      <c r="L51" s="228" t="str">
        <f>IF(AND(NOT($B$18="FILL OUT THIS TAB."),J$39="",J$40="",J$43="",J$44="",J$45="",J$46=""),"N/A",IF(J51=0,"BLANK","EQ"))</f>
        <v>EQ</v>
      </c>
      <c r="N51" s="230"/>
      <c r="P51" s="230"/>
      <c r="Q51" s="230"/>
      <c r="R51" s="230" t="s">
        <v>1159</v>
      </c>
      <c r="S51" s="207" t="s">
        <v>99</v>
      </c>
      <c r="T51" s="207">
        <f>IF(T$37="Steel",$A39,IF(T$37="6061-T6",$B39,$C39))</f>
        <v>43500</v>
      </c>
      <c r="U51" s="185" t="str">
        <f>IF($A$25="mm","Pa","psi")</f>
        <v>psi</v>
      </c>
      <c r="V51" s="228" t="str">
        <f t="shared" si="0"/>
        <v>EQ</v>
      </c>
      <c r="X51" s="230"/>
      <c r="Z51" s="230"/>
      <c r="AA51" s="230"/>
      <c r="AB51" s="230" t="s">
        <v>1159</v>
      </c>
      <c r="AC51" s="207" t="s">
        <v>99</v>
      </c>
      <c r="AD51" s="207">
        <f>IF(AD$37="Steel",$A39,IF(AD$37="6061-T6",$B39,$C39))</f>
        <v>0</v>
      </c>
      <c r="AE51" s="185" t="str">
        <f>IF($A$25="mm","Pa","psi")</f>
        <v>psi</v>
      </c>
      <c r="AF51" s="228" t="str">
        <f t="shared" si="1"/>
        <v>N/A</v>
      </c>
      <c r="AH51" s="230"/>
      <c r="AJ51" s="230"/>
      <c r="AK51" s="230"/>
      <c r="AL51" s="230" t="s">
        <v>1159</v>
      </c>
      <c r="AM51" s="207" t="s">
        <v>99</v>
      </c>
      <c r="AN51" s="207">
        <f>IF(AN$37="Steel",$A39,IF(AN$37="6061-T6",$B39,$C39))</f>
        <v>0</v>
      </c>
      <c r="AO51" s="185" t="str">
        <f>IF($A$25="mm","Pa","psi")</f>
        <v>psi</v>
      </c>
      <c r="AP51" s="228" t="str">
        <f t="shared" si="2"/>
        <v>N/A</v>
      </c>
      <c r="AR51" s="230"/>
      <c r="AT51" s="230"/>
      <c r="AU51" s="230"/>
      <c r="AV51" s="230" t="s">
        <v>1159</v>
      </c>
      <c r="AW51" s="207" t="s">
        <v>99</v>
      </c>
      <c r="AX51" s="207">
        <f>IF(AX$37="Steel",$A39,IF(AX$37="6061-T6",$B39,$C39))</f>
        <v>0</v>
      </c>
      <c r="AY51" s="185" t="str">
        <f>IF($A$25="mm","Pa","psi")</f>
        <v>psi</v>
      </c>
      <c r="AZ51" s="228" t="str">
        <f t="shared" si="3"/>
        <v>N/A</v>
      </c>
    </row>
    <row r="52" spans="1:52" ht="15" customHeight="1" x14ac:dyDescent="0.2">
      <c r="A52" s="125" t="s">
        <v>1160</v>
      </c>
      <c r="B52" s="287"/>
      <c r="C52" s="287"/>
      <c r="D52" s="229" t="s">
        <v>742</v>
      </c>
      <c r="E52" s="229"/>
      <c r="G52" s="230"/>
      <c r="H52" s="230" t="s">
        <v>1161</v>
      </c>
      <c r="I52" s="240">
        <f>IF(OR(J$39="",J$40=""),"",I47*I42)</f>
        <v>592845.67388032423</v>
      </c>
      <c r="J52" s="240">
        <f>IF(OR(J$44="",J$46=""),"",J47*J44+J47*J46)</f>
        <v>4350000</v>
      </c>
      <c r="K52" s="241">
        <f>IF(OR(I52="",J52=""),"",J52/I52)</f>
        <v>7.3374913432835811</v>
      </c>
      <c r="L52" s="242" t="str">
        <f>IF(AND(NOT($B$18="FILL OUT THIS TAB."),J$39="",J$40="",J$43="",J$44="",J$45="",J$46=""),"N/A",IF(K52="","BLANK",IF(K52&gt;=1,"EQ",IF(K52&gt;0.95,"CHECK","REJECT"))))</f>
        <v>EQ</v>
      </c>
      <c r="N52" s="229" t="s">
        <v>742</v>
      </c>
      <c r="Q52" s="230"/>
      <c r="R52" s="230" t="s">
        <v>1161</v>
      </c>
      <c r="S52" s="240">
        <f>IF(OR(T$39="",T$40=""),"",S47*S42)</f>
        <v>592845.67388032423</v>
      </c>
      <c r="T52" s="240">
        <f>IF(OR(T$44="",T$46=""),"",T47*T44+T47*T46)</f>
        <v>2523000</v>
      </c>
      <c r="U52" s="241">
        <f>IF(OR(S52="",T52=""),"",T52/S52)</f>
        <v>4.2557449791044766</v>
      </c>
      <c r="V52" s="242" t="str">
        <f>IF(AND(T$39="",T$40="",T$43="",T$44="",T$45="",T$46=""),"N/A",IF(U52="","BLANK",IF(U52&gt;=1,"EQ",IF(U52&gt;0.95,"CHECK","REJECT"))))</f>
        <v>EQ</v>
      </c>
      <c r="X52" s="229" t="s">
        <v>742</v>
      </c>
      <c r="AA52" s="230"/>
      <c r="AB52" s="230" t="s">
        <v>1161</v>
      </c>
      <c r="AC52" s="240" t="str">
        <f>IF(OR(AD$39="",AD$40=""),"",AC47*AC42)</f>
        <v/>
      </c>
      <c r="AD52" s="240" t="str">
        <f>IF(OR(AD$44="",AD$46=""),"",AD47*AD44+AD47*AD46)</f>
        <v/>
      </c>
      <c r="AE52" s="241" t="str">
        <f>IF(OR(AC52="",AD52=""),"",AD52/AC52)</f>
        <v/>
      </c>
      <c r="AF52" s="242" t="str">
        <f>IF(AND(AD$39="",AD$40="",AD$43="",AD$44="",AD$45="",AD$46=""),"N/A",IF(AE52="","BLANK",IF(AE52&gt;=1,"EQ",IF(AE52&gt;0.95,"CHECK","REJECT"))))</f>
        <v>N/A</v>
      </c>
      <c r="AH52" s="229" t="s">
        <v>742</v>
      </c>
      <c r="AK52" s="230"/>
      <c r="AL52" s="230" t="s">
        <v>1161</v>
      </c>
      <c r="AM52" s="240" t="str">
        <f>IF(OR(AN$39="",AN$40=""),"",AM47*AM42)</f>
        <v/>
      </c>
      <c r="AN52" s="240" t="str">
        <f>IF(OR(AN$44="",AN$46=""),"",AN47*AN44+AN47*AN46)</f>
        <v/>
      </c>
      <c r="AO52" s="241" t="str">
        <f>IF(OR(AM52="",AN52=""),"",AN52/AM52)</f>
        <v/>
      </c>
      <c r="AP52" s="242" t="str">
        <f>IF(AND(AN$39="",AN$40="",AN$43="",AN$44="",AN$45="",AN$46=""),"N/A",IF(AO52="","BLANK",IF(AO52&gt;=1,"EQ",IF(AO52&gt;0.95,"CHECK","REJECT"))))</f>
        <v>N/A</v>
      </c>
      <c r="AR52" s="229" t="s">
        <v>742</v>
      </c>
      <c r="AU52" s="230"/>
      <c r="AV52" s="230" t="s">
        <v>1161</v>
      </c>
      <c r="AW52" s="240" t="str">
        <f>IF(OR(AX$39="",AX$40=""),"",AW47*AW42)</f>
        <v/>
      </c>
      <c r="AX52" s="240" t="str">
        <f>IF(OR(AX$44="",AX$46=""),"",AX47*AX44+AX47*AX46)</f>
        <v/>
      </c>
      <c r="AY52" s="241" t="str">
        <f>IF(OR(AW52="",AX52=""),"",AX52/AW52)</f>
        <v/>
      </c>
      <c r="AZ52" s="242" t="str">
        <f>IF(AND(AX$39="",AX$40="",AX$43="",AX$44="",AX$45="",AX$46=""),"N/A",IF(AY52="","BLANK",IF(AY52&gt;=1,"EQ",IF(AY52&gt;0.95,"CHECK","REJECT"))))</f>
        <v>N/A</v>
      </c>
    </row>
    <row r="53" spans="1:52" x14ac:dyDescent="0.2">
      <c r="B53" s="287"/>
      <c r="C53" s="287"/>
      <c r="D53" s="236" t="s">
        <v>1162</v>
      </c>
      <c r="F53" s="230"/>
      <c r="G53" s="230"/>
      <c r="H53" s="230" t="s">
        <v>1163</v>
      </c>
      <c r="I53" s="240">
        <f>IF(OR(J$39="",J$40=""),"",I48*I41)</f>
        <v>7810.1556203112405</v>
      </c>
      <c r="J53" s="240">
        <f>IF(OR(J$43="",J$45=""),"",J48*J43+J50*J45)</f>
        <v>12975.300000000001</v>
      </c>
      <c r="K53" s="241">
        <f t="shared" ref="K53:K57" si="4">IF(OR(I53="",J53=""),"",J53/I53)</f>
        <v>1.6613369349845204</v>
      </c>
      <c r="L53" s="242" t="str">
        <f>IF(AND(NOT($B$18="FILL OUT THIS TAB."),J$39="",J$40="",J$43="",J$44="",J$45="",J$46=""),"N/A",IF(K53="","BLANK",IF(K53&gt;=1,"EQ",IF(K53&gt;0.95,"CHECK","REJECT"))))</f>
        <v>EQ</v>
      </c>
      <c r="N53" s="236" t="s">
        <v>1162</v>
      </c>
      <c r="P53" s="230"/>
      <c r="Q53" s="230"/>
      <c r="R53" s="230" t="s">
        <v>1163</v>
      </c>
      <c r="S53" s="240">
        <f>IF(OR(T$39="",T$40=""),"",S48*S41)</f>
        <v>7810.1556203112405</v>
      </c>
      <c r="T53" s="240">
        <f>IF(OR(T$43="",T$45=""),"",T48*T43+T50*T45)</f>
        <v>8969.74</v>
      </c>
      <c r="U53" s="241">
        <f t="shared" ref="U53:U54" si="5">IF(OR(S53="",T53=""),"",T53/S53)</f>
        <v>1.1484713539731681</v>
      </c>
      <c r="V53" s="242" t="str">
        <f>IF(AND(T$39="",T$40="",T$43="",T$44="",T$45="",T$46=""),"N/A",IF(U53="","BLANK",IF(U53&gt;=1,"EQ",IF(U53&gt;0.95,"CHECK","REJECT"))))</f>
        <v>EQ</v>
      </c>
      <c r="X53" s="236" t="s">
        <v>1162</v>
      </c>
      <c r="Z53" s="230"/>
      <c r="AA53" s="230"/>
      <c r="AB53" s="230" t="s">
        <v>1163</v>
      </c>
      <c r="AC53" s="240" t="str">
        <f>IF(OR(AD$39="",AD$40=""),"",AC48*AC41)</f>
        <v/>
      </c>
      <c r="AD53" s="240" t="str">
        <f>IF(OR(AD$43="",AD$45=""),"",AD48*AD43+AD50*AD45)</f>
        <v/>
      </c>
      <c r="AE53" s="241" t="str">
        <f t="shared" ref="AE53:AE54" si="6">IF(OR(AC53="",AD53=""),"",AD53/AC53)</f>
        <v/>
      </c>
      <c r="AF53" s="242" t="str">
        <f>IF(AND(AD$39="",AD$40="",AD$43="",AD$44="",AD$45="",AD$46=""),"N/A",IF(AE53="","BLANK",IF(AE53&gt;=1,"EQ",IF(AE53&gt;0.95,"CHECK","REJECT"))))</f>
        <v>N/A</v>
      </c>
      <c r="AH53" s="236" t="s">
        <v>1162</v>
      </c>
      <c r="AJ53" s="230"/>
      <c r="AK53" s="230"/>
      <c r="AL53" s="230" t="s">
        <v>1163</v>
      </c>
      <c r="AM53" s="240" t="str">
        <f>IF(OR(AN$39="",AN$40=""),"",AM48*AM41)</f>
        <v/>
      </c>
      <c r="AN53" s="240" t="str">
        <f>IF(OR(AN$43="",AN$45=""),"",AN48*AN43+AN50*AN45)</f>
        <v/>
      </c>
      <c r="AO53" s="241" t="str">
        <f t="shared" ref="AO53:AO54" si="7">IF(OR(AM53="",AN53=""),"",AN53/AM53)</f>
        <v/>
      </c>
      <c r="AP53" s="242" t="str">
        <f>IF(AND(AN$39="",AN$40="",AN$43="",AN$44="",AN$45="",AN$46=""),"N/A",IF(AO53="","BLANK",IF(AO53&gt;=1,"EQ",IF(AO53&gt;0.95,"CHECK","REJECT"))))</f>
        <v>N/A</v>
      </c>
      <c r="AR53" s="236" t="s">
        <v>1162</v>
      </c>
      <c r="AT53" s="230"/>
      <c r="AU53" s="230"/>
      <c r="AV53" s="230" t="s">
        <v>1163</v>
      </c>
      <c r="AW53" s="240" t="str">
        <f>IF(OR(AX$39="",AX$40=""),"",AW48*AW41)</f>
        <v/>
      </c>
      <c r="AX53" s="240" t="str">
        <f>IF(OR(AX$43="",AX$45=""),"",AX48*AX43+AX50*AX45)</f>
        <v/>
      </c>
      <c r="AY53" s="241" t="str">
        <f t="shared" ref="AY53:AY54" si="8">IF(OR(AW53="",AX53=""),"",AX53/AW53)</f>
        <v/>
      </c>
      <c r="AZ53" s="242" t="str">
        <f>IF(AND(AX$39="",AX$40="",AX$43="",AX$44="",AX$45="",AX$46=""),"N/A",IF(AY53="","BLANK",IF(AY53&gt;=1,"EQ",IF(AY53&gt;0.95,"CHECK","REJECT"))))</f>
        <v>N/A</v>
      </c>
    </row>
    <row r="54" spans="1:52" x14ac:dyDescent="0.2">
      <c r="A54" s="232" t="s">
        <v>1164</v>
      </c>
      <c r="B54" s="287"/>
      <c r="C54" s="287"/>
      <c r="D54" s="236" t="s">
        <v>1165</v>
      </c>
      <c r="F54" s="230"/>
      <c r="G54" s="230"/>
      <c r="H54" s="230" t="s">
        <v>1166</v>
      </c>
      <c r="I54" s="240">
        <f>IF(OR(J$39="",J$40=""),"",I49*I41)</f>
        <v>9347.4486948973899</v>
      </c>
      <c r="J54" s="240">
        <f>IF(OR(J$43="",J$45=""),"",J49*J43+J51*J45)</f>
        <v>16477.75</v>
      </c>
      <c r="K54" s="241">
        <f t="shared" si="4"/>
        <v>1.7628072148708254</v>
      </c>
      <c r="L54" s="242" t="str">
        <f>IF(AND(NOT($B$18="FILL OUT THIS TAB."),J$39="",J$40="",J$43="",J$44="",J$45="",J$46=""),"N/A",IF(K54="","BLANK",IF(K54&gt;=1,"EQ",IF(K54&gt;0.95,"CHECK","REJECT"))))</f>
        <v>EQ</v>
      </c>
      <c r="N54" s="236" t="s">
        <v>1165</v>
      </c>
      <c r="P54" s="230"/>
      <c r="Q54" s="230"/>
      <c r="R54" s="230" t="s">
        <v>1166</v>
      </c>
      <c r="S54" s="240">
        <f>IF(OR(T$39="",T$40=""),"",S49*S41)</f>
        <v>9347.4486948973899</v>
      </c>
      <c r="T54" s="240">
        <f>IF(OR(T$43="",T$45=""),"",T49*T43+T51*T45)</f>
        <v>11077.03</v>
      </c>
      <c r="U54" s="241">
        <f t="shared" si="5"/>
        <v>1.1850324469870328</v>
      </c>
      <c r="V54" s="242" t="str">
        <f>IF(AND(T$39="",T$40="",T$43="",T$44="",T$45="",T$46=""),"N/A",IF(U54="","BLANK",IF(U54&gt;=1,"EQ",IF(U54&gt;0.95,"CHECK","REJECT"))))</f>
        <v>EQ</v>
      </c>
      <c r="X54" s="236" t="s">
        <v>1165</v>
      </c>
      <c r="Z54" s="230"/>
      <c r="AA54" s="230"/>
      <c r="AB54" s="230" t="s">
        <v>1166</v>
      </c>
      <c r="AC54" s="240" t="str">
        <f>IF(OR(AD$39="",AD$40=""),"",AC49*AC41)</f>
        <v/>
      </c>
      <c r="AD54" s="240" t="str">
        <f>IF(OR(AD$43="",AD$45=""),"",AD49*AD43+AD51*AD45)</f>
        <v/>
      </c>
      <c r="AE54" s="241" t="str">
        <f t="shared" si="6"/>
        <v/>
      </c>
      <c r="AF54" s="242" t="str">
        <f>IF(AND(AD$39="",AD$40="",AD$43="",AD$44="",AD$45="",AD$46=""),"N/A",IF(AE54="","BLANK",IF(AE54&gt;=1,"EQ",IF(AE54&gt;0.95,"CHECK","REJECT"))))</f>
        <v>N/A</v>
      </c>
      <c r="AH54" s="236" t="s">
        <v>1165</v>
      </c>
      <c r="AJ54" s="230"/>
      <c r="AK54" s="230"/>
      <c r="AL54" s="230" t="s">
        <v>1166</v>
      </c>
      <c r="AM54" s="240" t="str">
        <f>IF(OR(AN$39="",AN$40=""),"",AM49*AM41)</f>
        <v/>
      </c>
      <c r="AN54" s="240" t="str">
        <f>IF(OR(AN$43="",AN$45=""),"",AN49*AN43+AN51*AN45)</f>
        <v/>
      </c>
      <c r="AO54" s="241" t="str">
        <f t="shared" si="7"/>
        <v/>
      </c>
      <c r="AP54" s="242" t="str">
        <f>IF(AND(AN$39="",AN$40="",AN$43="",AN$44="",AN$45="",AN$46=""),"N/A",IF(AO54="","BLANK",IF(AO54&gt;=1,"EQ",IF(AO54&gt;0.95,"CHECK","REJECT"))))</f>
        <v>N/A</v>
      </c>
      <c r="AR54" s="236" t="s">
        <v>1165</v>
      </c>
      <c r="AT54" s="230"/>
      <c r="AU54" s="230"/>
      <c r="AV54" s="230" t="s">
        <v>1166</v>
      </c>
      <c r="AW54" s="240" t="str">
        <f>IF(OR(AX$39="",AX$40=""),"",AW49*AW41)</f>
        <v/>
      </c>
      <c r="AX54" s="240" t="str">
        <f>IF(OR(AX$43="",AX$45=""),"",AX49*AX43+AX51*AX45)</f>
        <v/>
      </c>
      <c r="AY54" s="241" t="str">
        <f t="shared" si="8"/>
        <v/>
      </c>
      <c r="AZ54" s="242" t="str">
        <f>IF(AND(AX$39="",AX$40="",AX$43="",AX$44="",AX$45="",AX$46=""),"N/A",IF(AY54="","BLANK",IF(AY54&gt;=1,"EQ",IF(AY54&gt;0.95,"CHECK","REJECT"))))</f>
        <v>N/A</v>
      </c>
    </row>
    <row r="55" spans="1:52" x14ac:dyDescent="0.2">
      <c r="A55" s="232" t="s">
        <v>1167</v>
      </c>
      <c r="B55" s="287"/>
      <c r="C55" s="287"/>
      <c r="D55" s="236" t="s">
        <v>748</v>
      </c>
      <c r="F55" s="230"/>
      <c r="G55" s="230"/>
      <c r="H55" s="230" t="s">
        <v>1168</v>
      </c>
      <c r="I55" s="240">
        <f>IF(OR(J$39="",J$40=""),"",4*I49*I42/(I40/2))</f>
        <v>8792.1323656487657</v>
      </c>
      <c r="J55" s="240">
        <f>IF(OR(J44="",J46=""),"",4*(J49*J44+J51*J46)/(J40/2))</f>
        <v>58140.800000000003</v>
      </c>
      <c r="K55" s="241">
        <f>IF(OR(I55="",J55=""),"",J55/I55)</f>
        <v>6.6128212795292498</v>
      </c>
      <c r="L55" s="242" t="str">
        <f>IF(AND(NOT($B$18="FILL OUT THIS TAB."),J$39="",J$40="",J$43="",J$44="",J$45="",J$46=""),"N/A",IF(K55="","BLANK",IF(K55&gt;=1,"EQ",IF(K55&gt;0.95,"CHECK","REJECT"))))</f>
        <v>EQ</v>
      </c>
      <c r="N55" s="236" t="s">
        <v>748</v>
      </c>
      <c r="P55" s="230"/>
      <c r="Q55" s="230"/>
      <c r="R55" s="230" t="s">
        <v>1169</v>
      </c>
      <c r="S55" s="240">
        <f>IF(OR(T$39="",T$40=""),"",4*S49*S42/(S40/2))</f>
        <v>8792.1323656487657</v>
      </c>
      <c r="T55" s="240">
        <f>IF(OR(T44="",T46=""),"",4*(T49*T44+T51*T46)/(T40/2))</f>
        <v>33584.799999999996</v>
      </c>
      <c r="U55" s="241">
        <f>IF(OR(S55="",T55=""),"",T55/S55)</f>
        <v>3.8198696975056055</v>
      </c>
      <c r="V55" s="242" t="str">
        <f>IF(AND(T$39="",T$40="",T$43="",T$44="",T$45="",T$46=""),"N/A",IF(U55="","BLANK",IF(U55&gt;=1,"EQ",IF(U55&gt;0.95,"CHECK","REJECT"))))</f>
        <v>EQ</v>
      </c>
      <c r="X55" s="236" t="s">
        <v>748</v>
      </c>
      <c r="Z55" s="230"/>
      <c r="AA55" s="230"/>
      <c r="AB55" s="230" t="s">
        <v>1169</v>
      </c>
      <c r="AC55" s="240" t="str">
        <f>IF(OR(AD$39="",AD$40=""),"",4*AC49*AC42/(AC40/2))</f>
        <v/>
      </c>
      <c r="AD55" s="240" t="str">
        <f>IF(OR(AD44="",AD46=""),"",4*(AD49*AD44+AD51*AD46)/(AD40/2))</f>
        <v/>
      </c>
      <c r="AE55" s="241" t="str">
        <f>IF(OR(AC55="",AD55=""),"",AD55/AC55)</f>
        <v/>
      </c>
      <c r="AF55" s="242" t="str">
        <f>IF(AND(AD$39="",AD$40="",AD$43="",AD$44="",AD$45="",AD$46=""),"N/A",IF(AE55="","BLANK",IF(AE55&gt;=1,"EQ",IF(AE55&gt;0.95,"CHECK","REJECT"))))</f>
        <v>N/A</v>
      </c>
      <c r="AH55" s="236" t="s">
        <v>748</v>
      </c>
      <c r="AJ55" s="230"/>
      <c r="AK55" s="230"/>
      <c r="AL55" s="230" t="s">
        <v>1169</v>
      </c>
      <c r="AM55" s="240" t="str">
        <f>IF(OR(AN$39="",AN$40=""),"",4*AM49*AM42/(AM40/2))</f>
        <v/>
      </c>
      <c r="AN55" s="240" t="str">
        <f>IF(OR(AN44="",AN46=""),"",4*(AN49*AN44+AN51*AN46)/(AN40/2))</f>
        <v/>
      </c>
      <c r="AO55" s="241" t="str">
        <f>IF(OR(AM55="",AN55=""),"",AN55/AM55)</f>
        <v/>
      </c>
      <c r="AP55" s="242" t="str">
        <f>IF(AND(AN$39="",AN$40="",AN$43="",AN$44="",AN$45="",AN$46=""),"N/A",IF(AO55="","BLANK",IF(AO55&gt;=1,"EQ",IF(AO55&gt;0.95,"CHECK","REJECT"))))</f>
        <v>N/A</v>
      </c>
      <c r="AR55" s="236" t="s">
        <v>748</v>
      </c>
      <c r="AT55" s="230"/>
      <c r="AU55" s="230"/>
      <c r="AV55" s="230" t="s">
        <v>1169</v>
      </c>
      <c r="AW55" s="240" t="str">
        <f>IF(OR(AX$39="",AX$40=""),"",4*AW49*AW42/(AW40/2))</f>
        <v/>
      </c>
      <c r="AX55" s="240" t="str">
        <f>IF(OR(AX44="",AX46=""),"",4*(AX49*AX44+AX51*AX46)/(AX40/2))</f>
        <v/>
      </c>
      <c r="AY55" s="241" t="str">
        <f>IF(OR(AW55="",AX55=""),"",AX55/AW55)</f>
        <v/>
      </c>
      <c r="AZ55" s="242" t="str">
        <f>IF(AND(AX$39="",AX$40="",AX$43="",AX$44="",AX$45="",AX$46=""),"N/A",IF(AY55="","BLANK",IF(AY55&gt;=1,"EQ",IF(AY55&gt;0.95,"CHECK","REJECT"))))</f>
        <v>N/A</v>
      </c>
    </row>
    <row r="56" spans="1:52" x14ac:dyDescent="0.2">
      <c r="A56" s="125" t="s">
        <v>1170</v>
      </c>
      <c r="B56" s="287"/>
      <c r="C56" s="287"/>
      <c r="D56" s="183" t="s">
        <v>753</v>
      </c>
      <c r="F56" s="170"/>
      <c r="G56" s="170"/>
      <c r="H56" s="170" t="s">
        <v>754</v>
      </c>
      <c r="I56" s="240">
        <f>IF(OR(J$39="",J$40=""),"",I55/(48*I47*I42))</f>
        <v>3.089664517334828E-4</v>
      </c>
      <c r="J56" s="240">
        <f>IF(J55="","",J55/(48*(J47*J44+J47*J46)))</f>
        <v>2.7845210727969348E-4</v>
      </c>
      <c r="K56" s="241">
        <f>IF(OR(I56="",J56=""),"",J56/I56)</f>
        <v>0.90123735349716461</v>
      </c>
      <c r="L56" s="242" t="str">
        <f>IF(AND(NOT($B$18="FILL OUT THIS TAB."),J$39="",J$40="",J$43="",J$44="",J$45="",J$46=""),"N/A",IF(K56="","BLANK",IF(K56&lt;=1,"EQ",IF(K56&lt;1.05,"CHECK","REJECT"))))</f>
        <v>EQ</v>
      </c>
      <c r="N56" s="183" t="s">
        <v>753</v>
      </c>
      <c r="P56" s="170"/>
      <c r="Q56" s="170"/>
      <c r="R56" s="170" t="s">
        <v>754</v>
      </c>
      <c r="S56" s="240">
        <f>IF(OR(T$39="",T$40=""),"",S55/(48*S47*S42))</f>
        <v>3.089664517334828E-4</v>
      </c>
      <c r="T56" s="240">
        <f>IF(T55="","",T55/(48*(T47*T44+T47*T46)))</f>
        <v>2.7732197119830886E-4</v>
      </c>
      <c r="U56" s="241">
        <f>IF(OR(S56="",T56=""),"",T56/S56)</f>
        <v>0.89757955804706346</v>
      </c>
      <c r="V56" s="242" t="str">
        <f>IF(AND(T$39="",T$40="",T$43="",T$44="",T$45="",T$46=""),"N/A",IF(U56="","BLANK",IF(U56&lt;=1,"EQ",IF(U56&lt;1.05,"CHECK","REJECT"))))</f>
        <v>EQ</v>
      </c>
      <c r="X56" s="183" t="s">
        <v>753</v>
      </c>
      <c r="Z56" s="170"/>
      <c r="AA56" s="170"/>
      <c r="AB56" s="170" t="s">
        <v>754</v>
      </c>
      <c r="AC56" s="240" t="str">
        <f>IF(OR(AD$39="",AD$40=""),"",AC55/(48*AC47*AC42))</f>
        <v/>
      </c>
      <c r="AD56" s="240" t="str">
        <f>IF(AD55="","",AD55/(48*(AD47*AD44+AD47*AD46)))</f>
        <v/>
      </c>
      <c r="AE56" s="241" t="str">
        <f>IF(OR(AC56="",AD56=""),"",AD56/AC56)</f>
        <v/>
      </c>
      <c r="AF56" s="242" t="str">
        <f>IF(AND(AD$39="",AD$40="",AD$43="",AD$44="",AD$45="",AD$46=""),"N/A",IF(AE56="","BLANK",IF(AE56&lt;=1,"EQ",IF(AE56&lt;1.05,"CHECK","REJECT"))))</f>
        <v>N/A</v>
      </c>
      <c r="AH56" s="183" t="s">
        <v>753</v>
      </c>
      <c r="AJ56" s="170"/>
      <c r="AK56" s="170"/>
      <c r="AL56" s="170" t="s">
        <v>754</v>
      </c>
      <c r="AM56" s="240" t="str">
        <f>IF(OR(AN$39="",AN$40=""),"",AM55/(48*AM47*AM42))</f>
        <v/>
      </c>
      <c r="AN56" s="240" t="str">
        <f>IF(AN55="","",AN55/(48*(AN47*AN44+AN47*AN46)))</f>
        <v/>
      </c>
      <c r="AO56" s="241" t="str">
        <f>IF(OR(AM56="",AN56=""),"",AN56/AM56)</f>
        <v/>
      </c>
      <c r="AP56" s="242" t="str">
        <f>IF(AND(AN$39="",AN$40="",AN$43="",AN$44="",AN$45="",AN$46=""),"N/A",IF(AO56="","BLANK",IF(AO56&lt;=1,"EQ",IF(AO56&lt;1.05,"CHECK","REJECT"))))</f>
        <v>N/A</v>
      </c>
      <c r="AR56" s="183" t="s">
        <v>753</v>
      </c>
      <c r="AT56" s="170"/>
      <c r="AU56" s="170"/>
      <c r="AV56" s="170" t="s">
        <v>754</v>
      </c>
      <c r="AW56" s="240" t="str">
        <f>IF(OR(AX$39="",AX$40=""),"",AW55/(48*AW47*AW42))</f>
        <v/>
      </c>
      <c r="AX56" s="240" t="str">
        <f>IF(AX55="","",AX55/(48*(AX47*AX44+AX47*AX46)))</f>
        <v/>
      </c>
      <c r="AY56" s="241" t="str">
        <f>IF(OR(AW56="",AX56=""),"",AX56/AW56)</f>
        <v/>
      </c>
      <c r="AZ56" s="242" t="str">
        <f>IF(AND(AX$39="",AX$40="",AX$43="",AX$44="",AX$45="",AX$46=""),"N/A",IF(AY56="","BLANK",IF(AY56&lt;=1,"EQ",IF(AY56&lt;1.05,"CHECK","REJECT"))))</f>
        <v>N/A</v>
      </c>
    </row>
    <row r="57" spans="1:52" x14ac:dyDescent="0.2">
      <c r="B57" s="287"/>
      <c r="C57" s="287"/>
      <c r="D57" s="183" t="s">
        <v>756</v>
      </c>
      <c r="F57" s="170"/>
      <c r="G57" s="170"/>
      <c r="H57" s="170" t="s">
        <v>757</v>
      </c>
      <c r="I57" s="240">
        <f>IF(OR(J$39="",J$40=""),"",0.5*I55^2/(48*(I47*I42)))</f>
        <v>1.3582369700928056</v>
      </c>
      <c r="J57" s="240">
        <f>IF(J55="","",0.5*J55^2/(48*(J47*J44+J47*J46)))</f>
        <v>8.0947141394636031</v>
      </c>
      <c r="K57" s="241">
        <f t="shared" si="4"/>
        <v>5.9597215491126763</v>
      </c>
      <c r="L57" s="242" t="str">
        <f>IF(AND(NOT($B$18="FILL OUT THIS TAB."),J$39="",J$40="",J$43="",J$44="",J$45="",J$46=""),"N/A",IF(K57="","BLANK",IF(K57&gt;=1,"EQ",IF(K57&gt;0.95,"CHECK","REJECT"))))</f>
        <v>EQ</v>
      </c>
      <c r="N57" s="183" t="s">
        <v>756</v>
      </c>
      <c r="P57" s="170"/>
      <c r="Q57" s="170"/>
      <c r="R57" s="170" t="s">
        <v>757</v>
      </c>
      <c r="S57" s="240">
        <f>IF(OR(T$39="",T$40=""),"",0.5*S55^2/(48*(S47*S42)))</f>
        <v>1.3582369700928056</v>
      </c>
      <c r="T57" s="240">
        <f>IF(T55="","",0.5*T55^2/(48*(T47*T44+T47*T46)))</f>
        <v>4.6569014691504815</v>
      </c>
      <c r="U57" s="241">
        <f t="shared" ref="U57" si="9">IF(OR(S57="",T57=""),"",T57/S57)</f>
        <v>3.428636954884452</v>
      </c>
      <c r="V57" s="242" t="str">
        <f>IF(AND(T$39="",T$40="",T$43="",T$44="",T$45="",T$46=""),"N/A",IF(U57="","BLANK",IF(U57&gt;=1,"EQ",IF(U57&gt;0.95,"CHECK","REJECT"))))</f>
        <v>EQ</v>
      </c>
      <c r="X57" s="183" t="s">
        <v>756</v>
      </c>
      <c r="Z57" s="170"/>
      <c r="AA57" s="170"/>
      <c r="AB57" s="170" t="s">
        <v>757</v>
      </c>
      <c r="AC57" s="240" t="str">
        <f>IF(OR(AD$39="",AD$40=""),"",0.5*AC55^2/(48*(AC47*AC42)))</f>
        <v/>
      </c>
      <c r="AD57" s="240" t="str">
        <f>IF(AD55="","",0.5*AD55^2/(48*(AD47*AD44+AD47*AD46)))</f>
        <v/>
      </c>
      <c r="AE57" s="241" t="str">
        <f t="shared" ref="AE57" si="10">IF(OR(AC57="",AD57=""),"",AD57/AC57)</f>
        <v/>
      </c>
      <c r="AF57" s="242" t="str">
        <f>IF(AND(AD$39="",AD$40="",AD$43="",AD$44="",AD$45="",AD$46=""),"N/A",IF(AE57="","BLANK",IF(AE57&gt;=1,"EQ",IF(AE57&gt;0.95,"CHECK","REJECT"))))</f>
        <v>N/A</v>
      </c>
      <c r="AH57" s="183" t="s">
        <v>756</v>
      </c>
      <c r="AJ57" s="170"/>
      <c r="AK57" s="170"/>
      <c r="AL57" s="170" t="s">
        <v>757</v>
      </c>
      <c r="AM57" s="240" t="str">
        <f>IF(OR(AN$39="",AN$40=""),"",0.5*AM55^2/(48*(AM47*AM42)))</f>
        <v/>
      </c>
      <c r="AN57" s="240" t="str">
        <f>IF(AN55="","",0.5*AN55^2/(48*(AN47*AN44+AN47*AN46)))</f>
        <v/>
      </c>
      <c r="AO57" s="241" t="str">
        <f t="shared" ref="AO57" si="11">IF(OR(AM57="",AN57=""),"",AN57/AM57)</f>
        <v/>
      </c>
      <c r="AP57" s="242" t="str">
        <f>IF(AND(AN$39="",AN$40="",AN$43="",AN$44="",AN$45="",AN$46=""),"N/A",IF(AO57="","BLANK",IF(AO57&gt;=1,"EQ",IF(AO57&gt;0.95,"CHECK","REJECT"))))</f>
        <v>N/A</v>
      </c>
      <c r="AR57" s="183" t="s">
        <v>756</v>
      </c>
      <c r="AT57" s="170"/>
      <c r="AU57" s="170"/>
      <c r="AV57" s="170" t="s">
        <v>757</v>
      </c>
      <c r="AW57" s="240" t="str">
        <f>IF(OR(AX$39="",AX$40=""),"",0.5*AW55^2/(48*(AW47*AW42)))</f>
        <v/>
      </c>
      <c r="AX57" s="240" t="str">
        <f>IF(AX55="","",0.5*AX55^2/(48*(AX47*AX44+AX47*AX46)))</f>
        <v/>
      </c>
      <c r="AY57" s="241" t="str">
        <f t="shared" ref="AY57" si="12">IF(OR(AW57="",AX57=""),"",AX57/AW57)</f>
        <v/>
      </c>
      <c r="AZ57" s="242" t="str">
        <f>IF(AND(AX$39="",AX$40="",AX$43="",AX$44="",AX$45="",AX$46=""),"N/A",IF(AY57="","BLANK",IF(AY57&gt;=1,"EQ",IF(AY57&gt;0.95,"CHECK","REJECT"))))</f>
        <v>N/A</v>
      </c>
    </row>
    <row r="58" spans="1:52" x14ac:dyDescent="0.2">
      <c r="A58" s="232" t="s">
        <v>1171</v>
      </c>
      <c r="B58" s="287"/>
      <c r="C58" s="287"/>
      <c r="D58" s="183"/>
      <c r="E58" s="170"/>
      <c r="F58" s="170"/>
      <c r="G58" s="170"/>
      <c r="H58" s="170"/>
      <c r="I58" s="170"/>
      <c r="J58" s="228"/>
      <c r="K58" s="185"/>
      <c r="L58" s="228"/>
      <c r="N58" s="183"/>
      <c r="O58" s="170"/>
      <c r="P58" s="170"/>
      <c r="Q58" s="170"/>
      <c r="R58" s="170"/>
      <c r="S58" s="170"/>
      <c r="T58" s="228"/>
      <c r="U58" s="185"/>
      <c r="V58" s="228"/>
      <c r="X58" s="183"/>
      <c r="Y58" s="170"/>
      <c r="Z58" s="170"/>
      <c r="AA58" s="170"/>
      <c r="AB58" s="170"/>
      <c r="AC58" s="170"/>
      <c r="AD58" s="228"/>
      <c r="AE58" s="185"/>
      <c r="AF58" s="228"/>
      <c r="AH58" s="183"/>
      <c r="AI58" s="170"/>
      <c r="AJ58" s="170"/>
      <c r="AK58" s="170"/>
      <c r="AL58" s="170"/>
      <c r="AM58" s="170"/>
      <c r="AN58" s="228"/>
      <c r="AO58" s="185"/>
      <c r="AP58" s="228"/>
      <c r="AR58" s="183"/>
      <c r="AS58" s="170"/>
      <c r="AT58" s="170"/>
      <c r="AU58" s="170"/>
      <c r="AV58" s="170"/>
      <c r="AW58" s="170"/>
      <c r="AX58" s="228"/>
      <c r="AY58" s="185"/>
      <c r="AZ58" s="228"/>
    </row>
    <row r="59" spans="1:52" x14ac:dyDescent="0.2">
      <c r="A59" s="232" t="s">
        <v>1172</v>
      </c>
      <c r="B59" s="287"/>
      <c r="C59" s="287"/>
      <c r="N59" s="183"/>
      <c r="O59" s="170"/>
      <c r="P59" s="170"/>
      <c r="Q59" s="170"/>
      <c r="R59" s="170"/>
      <c r="S59" s="170"/>
      <c r="T59" s="228"/>
      <c r="U59" s="185"/>
      <c r="V59" s="228"/>
      <c r="X59" s="183"/>
      <c r="Y59" s="170"/>
      <c r="Z59" s="170"/>
      <c r="AA59" s="170"/>
      <c r="AB59" s="170"/>
      <c r="AC59" s="170"/>
      <c r="AD59" s="228"/>
      <c r="AE59" s="185"/>
      <c r="AF59" s="228"/>
      <c r="AH59" s="183"/>
      <c r="AI59" s="170"/>
      <c r="AJ59" s="170"/>
      <c r="AK59" s="170"/>
      <c r="AL59" s="170"/>
      <c r="AM59" s="170"/>
      <c r="AN59" s="228"/>
      <c r="AO59" s="185"/>
      <c r="AP59" s="228"/>
      <c r="AR59" s="183"/>
      <c r="AS59" s="170"/>
      <c r="AT59" s="170"/>
      <c r="AU59" s="170"/>
      <c r="AV59" s="170"/>
      <c r="AW59" s="170"/>
      <c r="AX59" s="228"/>
      <c r="AY59" s="185"/>
      <c r="AZ59" s="228"/>
    </row>
    <row r="60" spans="1:52" x14ac:dyDescent="0.2">
      <c r="A60" s="287"/>
      <c r="B60" s="287"/>
      <c r="C60" s="287"/>
      <c r="D60" s="228"/>
      <c r="E60" s="228"/>
      <c r="F60" s="228"/>
      <c r="G60" s="228"/>
      <c r="H60" s="228"/>
      <c r="I60" s="228"/>
      <c r="J60" s="228"/>
      <c r="K60" s="228"/>
      <c r="L60" s="228"/>
      <c r="N60" s="183"/>
      <c r="O60" s="170"/>
      <c r="P60" s="170"/>
      <c r="Q60" s="170"/>
      <c r="R60" s="170"/>
      <c r="S60" s="170"/>
      <c r="T60" s="228"/>
      <c r="U60" s="185"/>
      <c r="V60" s="228"/>
      <c r="X60" s="183"/>
      <c r="Y60" s="170"/>
      <c r="Z60" s="170"/>
      <c r="AA60" s="170"/>
      <c r="AB60" s="170"/>
      <c r="AC60" s="170"/>
      <c r="AD60" s="228"/>
      <c r="AE60" s="185"/>
      <c r="AF60" s="228"/>
      <c r="AH60" s="183"/>
      <c r="AI60" s="170"/>
      <c r="AJ60" s="170"/>
      <c r="AK60" s="170"/>
      <c r="AL60" s="170"/>
      <c r="AM60" s="170"/>
      <c r="AN60" s="228"/>
      <c r="AO60" s="185"/>
      <c r="AP60" s="228"/>
      <c r="AR60" s="183"/>
      <c r="AS60" s="170"/>
      <c r="AT60" s="170"/>
      <c r="AU60" s="170"/>
      <c r="AV60" s="170"/>
      <c r="AW60" s="170"/>
      <c r="AX60" s="228"/>
      <c r="AY60" s="185"/>
      <c r="AZ60" s="228"/>
    </row>
    <row r="61" spans="1:52" x14ac:dyDescent="0.2">
      <c r="A61" s="287"/>
      <c r="B61" s="287"/>
      <c r="C61" s="287"/>
      <c r="D61" s="183"/>
      <c r="H61" s="170"/>
      <c r="I61" s="170"/>
      <c r="K61" s="185"/>
      <c r="L61" s="228"/>
      <c r="N61" s="183"/>
      <c r="O61" s="170"/>
      <c r="P61" s="170"/>
      <c r="Q61" s="170"/>
      <c r="R61" s="170"/>
      <c r="S61" s="170"/>
      <c r="T61" s="228"/>
      <c r="U61" s="185"/>
      <c r="V61" s="228"/>
      <c r="X61" s="183"/>
      <c r="Y61" s="170"/>
      <c r="Z61" s="170"/>
      <c r="AA61" s="170"/>
      <c r="AB61" s="170"/>
      <c r="AC61" s="170"/>
      <c r="AD61" s="228"/>
      <c r="AE61" s="185"/>
      <c r="AF61" s="228"/>
      <c r="AH61" s="183"/>
      <c r="AI61" s="170"/>
      <c r="AJ61" s="170"/>
      <c r="AK61" s="170"/>
      <c r="AL61" s="170"/>
      <c r="AM61" s="170"/>
      <c r="AN61" s="228"/>
      <c r="AO61" s="185"/>
      <c r="AP61" s="228"/>
      <c r="AR61" s="183"/>
      <c r="AS61" s="170"/>
      <c r="AT61" s="170"/>
      <c r="AU61" s="170"/>
      <c r="AV61" s="170"/>
      <c r="AW61" s="170"/>
      <c r="AX61" s="228"/>
      <c r="AY61" s="185"/>
      <c r="AZ61" s="228"/>
    </row>
    <row r="62" spans="1:52" x14ac:dyDescent="0.2">
      <c r="D62" s="230"/>
      <c r="H62" s="170"/>
      <c r="I62" s="170"/>
      <c r="K62" s="185"/>
      <c r="L62" s="242"/>
      <c r="N62" s="185"/>
      <c r="O62" s="170"/>
      <c r="P62" s="170"/>
      <c r="Q62" s="170"/>
      <c r="R62" s="170"/>
      <c r="S62" s="170"/>
      <c r="T62" s="228"/>
      <c r="U62" s="185"/>
      <c r="V62" s="228"/>
      <c r="X62" s="185"/>
      <c r="Y62" s="170"/>
      <c r="Z62" s="170"/>
      <c r="AA62" s="170"/>
      <c r="AB62" s="170"/>
      <c r="AC62" s="170"/>
      <c r="AD62" s="228"/>
      <c r="AE62" s="185"/>
      <c r="AF62" s="228"/>
      <c r="AH62" s="185"/>
      <c r="AI62" s="170"/>
      <c r="AJ62" s="170"/>
      <c r="AK62" s="170"/>
      <c r="AL62" s="170"/>
      <c r="AM62" s="170"/>
      <c r="AN62" s="228"/>
      <c r="AO62" s="185"/>
      <c r="AP62" s="228"/>
      <c r="AR62" s="185"/>
      <c r="AS62" s="170"/>
      <c r="AT62" s="170"/>
      <c r="AU62" s="170"/>
      <c r="AV62" s="170"/>
      <c r="AW62" s="170"/>
      <c r="AX62" s="228"/>
      <c r="AY62" s="185"/>
      <c r="AZ62" s="228"/>
    </row>
    <row r="63" spans="1:52" ht="15" customHeight="1" x14ac:dyDescent="0.2">
      <c r="I63" s="230"/>
      <c r="K63" s="185"/>
      <c r="L63" s="242"/>
    </row>
    <row r="64" spans="1:52" ht="15" customHeight="1" x14ac:dyDescent="0.2">
      <c r="D64" s="183"/>
    </row>
    <row r="65" spans="1:12" ht="15" customHeight="1" x14ac:dyDescent="0.2">
      <c r="D65" s="183"/>
    </row>
    <row r="66" spans="1:12" ht="15" customHeight="1" x14ac:dyDescent="0.2">
      <c r="D66" s="183"/>
    </row>
    <row r="67" spans="1:12" ht="15" customHeight="1" x14ac:dyDescent="0.2">
      <c r="D67" s="170"/>
    </row>
    <row r="68" spans="1:12" ht="15" customHeight="1" x14ac:dyDescent="0.2">
      <c r="D68" s="183"/>
      <c r="E68" s="170"/>
      <c r="F68" s="170"/>
      <c r="G68" s="170"/>
      <c r="H68" s="170"/>
      <c r="I68" s="170"/>
      <c r="J68" s="228"/>
      <c r="K68" s="185"/>
      <c r="L68" s="228"/>
    </row>
    <row r="69" spans="1:12" ht="15" customHeight="1" x14ac:dyDescent="0.2">
      <c r="A69" s="289"/>
      <c r="B69" s="289"/>
      <c r="C69" s="289"/>
      <c r="D69" s="183"/>
      <c r="E69" s="170"/>
      <c r="F69" s="170"/>
      <c r="G69" s="170"/>
      <c r="H69" s="170"/>
      <c r="I69" s="170"/>
      <c r="J69" s="228"/>
      <c r="K69" s="185"/>
      <c r="L69" s="228"/>
    </row>
    <row r="70" spans="1:12" ht="15" customHeight="1" x14ac:dyDescent="0.2">
      <c r="A70" s="289"/>
      <c r="B70" s="289"/>
      <c r="C70" s="289"/>
      <c r="D70" s="185"/>
      <c r="E70" s="170"/>
      <c r="F70" s="170"/>
      <c r="G70" s="170"/>
      <c r="H70" s="170"/>
      <c r="I70" s="170"/>
      <c r="J70" s="228"/>
      <c r="K70" s="185"/>
      <c r="L70" s="228"/>
    </row>
    <row r="71" spans="1:12" ht="15" customHeight="1" x14ac:dyDescent="0.2">
      <c r="A71" s="289"/>
      <c r="B71" s="289"/>
      <c r="C71" s="289"/>
    </row>
    <row r="150" spans="1:1" x14ac:dyDescent="0.2">
      <c r="A150" s="131" t="s">
        <v>297</v>
      </c>
    </row>
  </sheetData>
  <sheetProtection algorithmName="SHA-512" hashValue="s5LXT1Xo5fGqn5PYYiuF0xDECiH1Z7+5sWmHFC50AER9MteD+mnQ5uRsSgdmnakqnLGRxEGysBcmuUOWRpUnCg==" saltValue="vwIwbyigabDAfehzDo+6Ww==" spinCount="100000" sheet="1" insertHyperlinks="0"/>
  <mergeCells count="62">
    <mergeCell ref="A1:C1"/>
    <mergeCell ref="A6:C6"/>
    <mergeCell ref="D13:L14"/>
    <mergeCell ref="N13:V14"/>
    <mergeCell ref="X13:AF14"/>
    <mergeCell ref="AR13:AZ14"/>
    <mergeCell ref="A14:C14"/>
    <mergeCell ref="A19:C24"/>
    <mergeCell ref="A25:C26"/>
    <mergeCell ref="D28:L28"/>
    <mergeCell ref="N28:V28"/>
    <mergeCell ref="X28:AF28"/>
    <mergeCell ref="AH28:AP28"/>
    <mergeCell ref="AR28:AZ28"/>
    <mergeCell ref="AH13:AP14"/>
    <mergeCell ref="AR29:AZ29"/>
    <mergeCell ref="D30:E31"/>
    <mergeCell ref="F30:L31"/>
    <mergeCell ref="N30:O31"/>
    <mergeCell ref="P30:V31"/>
    <mergeCell ref="X30:Y31"/>
    <mergeCell ref="AR30:AS31"/>
    <mergeCell ref="AT30:AZ31"/>
    <mergeCell ref="A31:C31"/>
    <mergeCell ref="D29:L29"/>
    <mergeCell ref="N29:V29"/>
    <mergeCell ref="X29:AF29"/>
    <mergeCell ref="AH29:AP29"/>
    <mergeCell ref="Z30:AF31"/>
    <mergeCell ref="AH30:AI31"/>
    <mergeCell ref="AJ30:AP31"/>
    <mergeCell ref="D33:L33"/>
    <mergeCell ref="N33:V33"/>
    <mergeCell ref="X33:AF33"/>
    <mergeCell ref="AH33:AP33"/>
    <mergeCell ref="AR33:AZ33"/>
    <mergeCell ref="D32:L32"/>
    <mergeCell ref="N32:V32"/>
    <mergeCell ref="X32:AF32"/>
    <mergeCell ref="AH32:AP32"/>
    <mergeCell ref="AR32:AZ32"/>
    <mergeCell ref="AX36:AY36"/>
    <mergeCell ref="J34:K34"/>
    <mergeCell ref="T34:U34"/>
    <mergeCell ref="AD34:AE34"/>
    <mergeCell ref="AN34:AO34"/>
    <mergeCell ref="AX34:AY34"/>
    <mergeCell ref="J35:K35"/>
    <mergeCell ref="T35:U35"/>
    <mergeCell ref="AD35:AE35"/>
    <mergeCell ref="AN35:AO35"/>
    <mergeCell ref="AX35:AY35"/>
    <mergeCell ref="A36:C36"/>
    <mergeCell ref="J36:K36"/>
    <mergeCell ref="T36:U36"/>
    <mergeCell ref="AD36:AE36"/>
    <mergeCell ref="AN36:AO36"/>
    <mergeCell ref="J37:K37"/>
    <mergeCell ref="T37:U37"/>
    <mergeCell ref="AD37:AE37"/>
    <mergeCell ref="AN37:AO37"/>
    <mergeCell ref="AX37:AY37"/>
  </mergeCells>
  <conditionalFormatting sqref="A1:XFD42 A47:XFD1048576 A43:I46 K43:S46 U43:XFD46">
    <cfRule type="expression" dxfId="18" priority="11" stopIfTrue="1">
      <formula>CELL("protect",A1)=0</formula>
    </cfRule>
    <cfRule type="beginsWith" dxfId="17" priority="12" operator="beginsWith" text="REJECT">
      <formula>LEFT(A1,LEN("REJECT"))="REJECT"</formula>
    </cfRule>
    <cfRule type="beginsWith" dxfId="16" priority="13" operator="beginsWith" text="EQ">
      <formula>LEFT(A1,LEN("EQ"))="EQ"</formula>
    </cfRule>
    <cfRule type="beginsWith" dxfId="15" priority="14" operator="beginsWith" text="BLANK">
      <formula>LEFT(A1,LEN("BLANK"))="BLANK"</formula>
    </cfRule>
    <cfRule type="beginsWith" dxfId="14" priority="19" operator="beginsWith" text="CHECK">
      <formula>LEFT(A1,LEN("CHECK"))="CHECK"</formula>
    </cfRule>
  </conditionalFormatting>
  <conditionalFormatting sqref="J43:J46">
    <cfRule type="expression" dxfId="9" priority="6" stopIfTrue="1">
      <formula>CELL("protect",J43)=0</formula>
    </cfRule>
    <cfRule type="beginsWith" dxfId="8" priority="7" operator="beginsWith" text="REJECT">
      <formula>LEFT(J43,LEN("REJECT"))="REJECT"</formula>
    </cfRule>
    <cfRule type="beginsWith" dxfId="7" priority="8" operator="beginsWith" text="EQ">
      <formula>LEFT(J43,LEN("EQ"))="EQ"</formula>
    </cfRule>
    <cfRule type="beginsWith" dxfId="6" priority="9" operator="beginsWith" text="BLANK">
      <formula>LEFT(J43,LEN("BLANK"))="BLANK"</formula>
    </cfRule>
    <cfRule type="beginsWith" dxfId="5" priority="10" operator="beginsWith" text="CHECK">
      <formula>LEFT(J43,LEN("CHECK"))="CHECK"</formula>
    </cfRule>
  </conditionalFormatting>
  <conditionalFormatting sqref="T43:T46">
    <cfRule type="expression" dxfId="4" priority="1" stopIfTrue="1">
      <formula>CELL("protect",T43)=0</formula>
    </cfRule>
    <cfRule type="beginsWith" dxfId="3" priority="2" operator="beginsWith" text="REJECT">
      <formula>LEFT(T43,LEN("REJECT"))="REJECT"</formula>
    </cfRule>
    <cfRule type="beginsWith" dxfId="2" priority="3" operator="beginsWith" text="EQ">
      <formula>LEFT(T43,LEN("EQ"))="EQ"</formula>
    </cfRule>
    <cfRule type="beginsWith" dxfId="1" priority="4" operator="beginsWith" text="BLANK">
      <formula>LEFT(T43,LEN("BLANK"))="BLANK"</formula>
    </cfRule>
    <cfRule type="beginsWith" dxfId="0" priority="5" operator="beginsWith" text="CHECK">
      <formula>LEFT(T43,LEN("CHECK"))="CHECK"</formula>
    </cfRule>
  </conditionalFormatting>
  <dataValidations count="3">
    <dataValidation type="list" allowBlank="1" showInputMessage="1" showErrorMessage="1" sqref="I38 S38 AC38 AM38 AW38" xr:uid="{10476CB9-6AC6-4B69-995C-A10FCAAF0E04}">
      <formula1>"Size A, Size B, Size C, Size D"</formula1>
    </dataValidation>
    <dataValidation type="list" allowBlank="1" showInputMessage="1" showErrorMessage="1" sqref="AD38 J38 AN38 T38 AX38" xr:uid="{811B6F99-D711-4871-8280-EC49A50E2B92}">
      <formula1>"Round, Square"</formula1>
    </dataValidation>
    <dataValidation type="list" allowBlank="1" showInputMessage="1" showErrorMessage="1" sqref="J37:K37 T37:U37 AD37:AE37 AN37:AO37 AX37:AY37" xr:uid="{D44530FB-0EF9-4594-BA13-90812B30E336}">
      <formula1>"Steel, 6061-T6, Other Aluminum"</formula1>
    </dataValidation>
  </dataValidations>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61E303-E683-4B3E-A645-96C290DF525B}">
  <sheetPr codeName="Sheet5"/>
  <dimension ref="A1:BA150"/>
  <sheetViews>
    <sheetView zoomScaleNormal="100" workbookViewId="0">
      <selection activeCell="A5" sqref="A5:C5"/>
    </sheetView>
  </sheetViews>
  <sheetFormatPr baseColWidth="10" defaultColWidth="9.1640625" defaultRowHeight="15" x14ac:dyDescent="0.2"/>
  <cols>
    <col min="1" max="16384" width="9.1640625" style="125"/>
  </cols>
  <sheetData>
    <row r="1" spans="1:53" ht="15" customHeight="1" x14ac:dyDescent="0.2">
      <c r="B1" s="287"/>
      <c r="C1" s="287"/>
      <c r="D1" s="38"/>
      <c r="E1" s="38"/>
      <c r="F1" s="38"/>
      <c r="G1" s="38"/>
      <c r="H1" s="38"/>
      <c r="I1" s="38"/>
      <c r="J1" s="38"/>
      <c r="K1" s="38"/>
      <c r="L1" s="38"/>
      <c r="M1" s="38"/>
      <c r="N1" s="271"/>
      <c r="O1" s="272"/>
      <c r="P1" s="273"/>
      <c r="Q1" s="273"/>
      <c r="R1" s="273"/>
      <c r="S1" s="273"/>
      <c r="T1" s="273"/>
      <c r="U1" s="273"/>
      <c r="V1" s="273"/>
      <c r="W1" s="38"/>
      <c r="X1" s="273"/>
      <c r="Y1" s="273"/>
      <c r="Z1" s="273"/>
      <c r="AA1" s="273"/>
      <c r="AB1" s="273"/>
      <c r="AC1" s="273"/>
      <c r="AD1" s="273"/>
      <c r="AE1" s="273"/>
      <c r="AF1" s="273"/>
      <c r="AG1" s="38"/>
      <c r="AH1" s="273"/>
      <c r="AI1" s="273"/>
      <c r="AJ1" s="273"/>
      <c r="AK1" s="273"/>
      <c r="AL1" s="273"/>
      <c r="AM1" s="273"/>
      <c r="AN1" s="273"/>
      <c r="AO1" s="273"/>
      <c r="AP1" s="273"/>
      <c r="AQ1" s="38"/>
      <c r="AR1" s="273"/>
      <c r="AS1" s="273"/>
      <c r="AT1" s="273"/>
      <c r="AU1" s="273"/>
      <c r="AV1" s="273"/>
      <c r="AW1" s="273"/>
      <c r="AX1" s="273"/>
      <c r="AY1" s="273"/>
      <c r="AZ1" s="273"/>
      <c r="BA1" s="38"/>
    </row>
    <row r="2" spans="1:53" ht="15" customHeight="1" x14ac:dyDescent="0.2">
      <c r="A2" s="394" t="str">
        <f>IF(OR(C4="YES",C4="NO"),"EQ","BLANK")</f>
        <v>EQ</v>
      </c>
      <c r="B2" s="394"/>
      <c r="C2" s="394"/>
      <c r="D2" s="10"/>
      <c r="E2" s="10"/>
      <c r="F2" s="10"/>
      <c r="G2" s="10"/>
      <c r="H2" s="10"/>
      <c r="I2" s="10"/>
      <c r="J2" s="10"/>
      <c r="K2" s="10"/>
      <c r="L2" s="10"/>
      <c r="M2" s="38"/>
      <c r="N2" s="275"/>
      <c r="O2" s="276"/>
      <c r="P2" s="277"/>
      <c r="Q2" s="277"/>
      <c r="R2" s="277"/>
      <c r="S2" s="277"/>
      <c r="T2" s="277"/>
      <c r="U2" s="277"/>
      <c r="V2" s="277"/>
      <c r="W2" s="38"/>
      <c r="X2" s="277"/>
      <c r="Y2" s="277"/>
      <c r="Z2" s="277"/>
      <c r="AA2" s="277"/>
      <c r="AB2" s="277"/>
      <c r="AC2" s="277"/>
      <c r="AD2" s="277"/>
      <c r="AE2" s="277"/>
      <c r="AF2" s="277"/>
      <c r="AG2" s="38"/>
      <c r="AH2" s="277"/>
      <c r="AI2" s="277"/>
      <c r="AJ2" s="277"/>
      <c r="AK2" s="277"/>
      <c r="AL2" s="277"/>
      <c r="AM2" s="277"/>
      <c r="AN2" s="277"/>
      <c r="AO2" s="277"/>
      <c r="AP2" s="277"/>
      <c r="AQ2" s="38"/>
      <c r="AR2" s="277"/>
      <c r="AS2" s="277"/>
      <c r="AT2" s="277"/>
      <c r="AU2" s="277"/>
      <c r="AV2" s="277"/>
      <c r="AW2" s="277"/>
      <c r="AX2" s="277"/>
      <c r="AY2" s="277"/>
      <c r="AZ2" s="277"/>
      <c r="BA2" s="38"/>
    </row>
    <row r="3" spans="1:53" ht="15" customHeight="1" x14ac:dyDescent="0.2">
      <c r="A3" s="396" t="s">
        <v>1173</v>
      </c>
      <c r="B3" s="396"/>
      <c r="C3" s="396"/>
      <c r="D3" s="10"/>
      <c r="E3" s="10"/>
      <c r="F3" s="10"/>
      <c r="G3" s="10"/>
      <c r="H3" s="10"/>
      <c r="I3" s="10"/>
      <c r="J3" s="10"/>
      <c r="K3" s="10"/>
      <c r="L3" s="10"/>
      <c r="M3" s="38"/>
      <c r="N3" s="275"/>
      <c r="O3" s="276"/>
      <c r="P3" s="277"/>
      <c r="Q3" s="277"/>
      <c r="R3" s="277"/>
      <c r="S3" s="277"/>
      <c r="T3" s="277"/>
      <c r="U3" s="277"/>
      <c r="V3" s="277"/>
      <c r="W3" s="38"/>
      <c r="X3" s="277"/>
      <c r="Y3" s="277"/>
      <c r="Z3" s="277"/>
      <c r="AA3" s="277"/>
      <c r="AB3" s="277"/>
      <c r="AC3" s="277"/>
      <c r="AD3" s="277"/>
      <c r="AE3" s="277"/>
      <c r="AF3" s="277"/>
      <c r="AG3" s="38"/>
      <c r="AH3" s="277"/>
      <c r="AI3" s="277"/>
      <c r="AJ3" s="277"/>
      <c r="AK3" s="277"/>
      <c r="AL3" s="277"/>
      <c r="AM3" s="277"/>
      <c r="AN3" s="277"/>
      <c r="AO3" s="277"/>
      <c r="AP3" s="277"/>
      <c r="AQ3" s="38"/>
      <c r="AR3" s="277"/>
      <c r="AS3" s="277"/>
      <c r="AT3" s="277"/>
      <c r="AU3" s="277"/>
      <c r="AV3" s="277"/>
      <c r="AW3" s="277"/>
      <c r="AX3" s="277"/>
      <c r="AY3" s="277"/>
      <c r="AZ3" s="277"/>
      <c r="BA3" s="38"/>
    </row>
    <row r="4" spans="1:53" ht="15" customHeight="1" x14ac:dyDescent="0.2">
      <c r="A4" s="242"/>
      <c r="B4" s="257" t="s">
        <v>1116</v>
      </c>
      <c r="C4" s="236" t="str">
        <f>'F.3.1-4 Tube Chassis'!BO133</f>
        <v>No</v>
      </c>
      <c r="D4" s="10"/>
      <c r="E4" s="10"/>
      <c r="F4" s="10"/>
      <c r="G4" s="10"/>
      <c r="H4" s="10"/>
      <c r="I4" s="10"/>
      <c r="J4" s="10"/>
      <c r="K4" s="10"/>
      <c r="L4" s="10"/>
      <c r="M4" s="38"/>
      <c r="N4" s="275"/>
      <c r="O4" s="276"/>
      <c r="P4" s="277"/>
      <c r="Q4" s="277"/>
      <c r="R4" s="277"/>
      <c r="S4" s="277"/>
      <c r="T4" s="277"/>
      <c r="U4" s="277"/>
      <c r="V4" s="277"/>
      <c r="W4" s="38"/>
      <c r="X4" s="277"/>
      <c r="Y4" s="277"/>
      <c r="Z4" s="277"/>
      <c r="AA4" s="277"/>
      <c r="AB4" s="277"/>
      <c r="AC4" s="277"/>
      <c r="AD4" s="277"/>
      <c r="AE4" s="277"/>
      <c r="AF4" s="277"/>
      <c r="AG4" s="38"/>
      <c r="AH4" s="277"/>
      <c r="AI4" s="277"/>
      <c r="AJ4" s="277"/>
      <c r="AK4" s="277"/>
      <c r="AL4" s="277"/>
      <c r="AM4" s="277"/>
      <c r="AN4" s="277"/>
      <c r="AO4" s="277"/>
      <c r="AP4" s="277"/>
      <c r="AQ4" s="38"/>
      <c r="AR4" s="277"/>
      <c r="AS4" s="277"/>
      <c r="AT4" s="277"/>
      <c r="AU4" s="277"/>
      <c r="AV4" s="277"/>
      <c r="AW4" s="277"/>
      <c r="AX4" s="277"/>
      <c r="AY4" s="277"/>
      <c r="AZ4" s="277"/>
      <c r="BA4" s="38"/>
    </row>
    <row r="5" spans="1:53" ht="15" customHeight="1" x14ac:dyDescent="0.2">
      <c r="A5" s="394" t="str">
        <f>IF(C4="YES", "FILL OUT THIS TAB.", IF(C4=0,"","NO ACTION NEEDED."))</f>
        <v>NO ACTION NEEDED.</v>
      </c>
      <c r="B5" s="394"/>
      <c r="C5" s="394"/>
      <c r="D5" s="10"/>
      <c r="E5" s="10"/>
      <c r="F5" s="10"/>
      <c r="G5" s="10"/>
      <c r="H5" s="10"/>
      <c r="I5" s="10"/>
      <c r="J5" s="10"/>
      <c r="K5" s="10"/>
      <c r="L5" s="10"/>
      <c r="M5" s="38"/>
      <c r="N5" s="275"/>
      <c r="O5" s="276"/>
      <c r="P5" s="277"/>
      <c r="Q5" s="277"/>
      <c r="R5" s="277"/>
      <c r="S5" s="277"/>
      <c r="T5" s="277"/>
      <c r="U5" s="277"/>
      <c r="V5" s="277"/>
      <c r="W5" s="38"/>
      <c r="X5" s="277"/>
      <c r="Y5" s="277"/>
      <c r="Z5" s="277"/>
      <c r="AA5" s="277"/>
      <c r="AB5" s="277"/>
      <c r="AC5" s="277"/>
      <c r="AD5" s="277"/>
      <c r="AE5" s="277"/>
      <c r="AF5" s="277"/>
      <c r="AG5" s="38"/>
      <c r="AH5" s="277"/>
      <c r="AI5" s="277"/>
      <c r="AJ5" s="277"/>
      <c r="AK5" s="277"/>
      <c r="AL5" s="277"/>
      <c r="AM5" s="277"/>
      <c r="AN5" s="277"/>
      <c r="AO5" s="277"/>
      <c r="AP5" s="277"/>
      <c r="AQ5" s="38"/>
      <c r="AR5" s="277"/>
      <c r="AS5" s="277"/>
      <c r="AT5" s="277"/>
      <c r="AU5" s="277"/>
      <c r="AV5" s="277"/>
      <c r="AW5" s="277"/>
      <c r="AX5" s="277"/>
      <c r="AY5" s="277"/>
      <c r="AZ5" s="277"/>
      <c r="BA5" s="38"/>
    </row>
    <row r="6" spans="1:53" ht="15" customHeight="1" x14ac:dyDescent="0.2">
      <c r="A6" s="236"/>
      <c r="B6" s="236"/>
      <c r="C6" s="236"/>
      <c r="D6" s="10"/>
      <c r="E6" s="10"/>
      <c r="F6" s="10"/>
      <c r="G6" s="10"/>
      <c r="H6" s="10"/>
      <c r="I6" s="10"/>
      <c r="J6" s="10"/>
      <c r="K6" s="10"/>
      <c r="L6" s="10"/>
      <c r="M6" s="38"/>
      <c r="N6" s="275"/>
      <c r="O6" s="276"/>
      <c r="P6" s="277"/>
      <c r="Q6" s="277"/>
      <c r="R6" s="277"/>
      <c r="S6" s="277"/>
      <c r="T6" s="277"/>
      <c r="U6" s="277"/>
      <c r="V6" s="277"/>
      <c r="W6" s="38"/>
      <c r="X6" s="277"/>
      <c r="Y6" s="277"/>
      <c r="Z6" s="277"/>
      <c r="AA6" s="277"/>
      <c r="AB6" s="277"/>
      <c r="AC6" s="277"/>
      <c r="AD6" s="277"/>
      <c r="AE6" s="277"/>
      <c r="AF6" s="277"/>
      <c r="AG6" s="38"/>
      <c r="AH6" s="277"/>
      <c r="AI6" s="277"/>
      <c r="AJ6" s="277"/>
      <c r="AK6" s="277"/>
      <c r="AL6" s="277"/>
      <c r="AM6" s="277"/>
      <c r="AN6" s="277"/>
      <c r="AO6" s="277"/>
      <c r="AP6" s="277"/>
      <c r="AQ6" s="38"/>
      <c r="AR6" s="277"/>
      <c r="AS6" s="277"/>
      <c r="AT6" s="277"/>
      <c r="AU6" s="277"/>
      <c r="AV6" s="277"/>
      <c r="AW6" s="277"/>
      <c r="AX6" s="277"/>
      <c r="AY6" s="277"/>
      <c r="AZ6" s="277"/>
      <c r="BA6" s="38"/>
    </row>
    <row r="7" spans="1:53" ht="15" customHeight="1" x14ac:dyDescent="0.2">
      <c r="A7" s="232" t="s">
        <v>1174</v>
      </c>
      <c r="B7" s="287"/>
      <c r="C7" s="287"/>
      <c r="D7" s="10"/>
      <c r="E7" s="10"/>
      <c r="F7" s="10"/>
      <c r="G7" s="10"/>
      <c r="H7" s="10"/>
      <c r="I7" s="10"/>
      <c r="J7" s="10"/>
      <c r="K7" s="10"/>
      <c r="L7" s="10"/>
      <c r="M7" s="38"/>
      <c r="N7" s="275"/>
      <c r="O7" s="276"/>
      <c r="P7" s="277"/>
      <c r="Q7" s="277"/>
      <c r="R7" s="277"/>
      <c r="S7" s="277"/>
      <c r="T7" s="277"/>
      <c r="U7" s="277"/>
      <c r="V7" s="277"/>
      <c r="W7" s="38"/>
      <c r="X7" s="277"/>
      <c r="Y7" s="277"/>
      <c r="Z7" s="277"/>
      <c r="AA7" s="277"/>
      <c r="AB7" s="277"/>
      <c r="AC7" s="277"/>
      <c r="AD7" s="277"/>
      <c r="AE7" s="277"/>
      <c r="AF7" s="277"/>
      <c r="AG7" s="38"/>
      <c r="AH7" s="277"/>
      <c r="AI7" s="277"/>
      <c r="AJ7" s="277"/>
      <c r="AK7" s="277"/>
      <c r="AL7" s="277"/>
      <c r="AM7" s="277"/>
      <c r="AN7" s="277"/>
      <c r="AO7" s="277"/>
      <c r="AP7" s="277"/>
      <c r="AQ7" s="38"/>
      <c r="AR7" s="277"/>
      <c r="AS7" s="277"/>
      <c r="AT7" s="277"/>
      <c r="AU7" s="277"/>
      <c r="AV7" s="277"/>
      <c r="AW7" s="277"/>
      <c r="AX7" s="277"/>
      <c r="AY7" s="277"/>
      <c r="AZ7" s="277"/>
      <c r="BA7" s="38"/>
    </row>
    <row r="8" spans="1:53" ht="15" customHeight="1" x14ac:dyDescent="0.2">
      <c r="A8" s="125" t="s">
        <v>1142</v>
      </c>
      <c r="B8" s="287"/>
      <c r="C8" s="287"/>
      <c r="D8" s="10"/>
      <c r="E8" s="10"/>
      <c r="F8" s="10"/>
      <c r="G8" s="10"/>
      <c r="H8" s="10"/>
      <c r="I8" s="10"/>
      <c r="J8" s="10"/>
      <c r="K8" s="10"/>
      <c r="L8" s="10"/>
      <c r="M8" s="38"/>
      <c r="N8" s="275"/>
      <c r="O8" s="276"/>
      <c r="P8" s="277"/>
      <c r="Q8" s="277"/>
      <c r="R8" s="277"/>
      <c r="S8" s="277"/>
      <c r="T8" s="277"/>
      <c r="U8" s="277"/>
      <c r="V8" s="277"/>
      <c r="W8" s="38"/>
      <c r="X8" s="277"/>
      <c r="Y8" s="277"/>
      <c r="Z8" s="277"/>
      <c r="AA8" s="277"/>
      <c r="AB8" s="277"/>
      <c r="AC8" s="277"/>
      <c r="AD8" s="277"/>
      <c r="AE8" s="277"/>
      <c r="AF8" s="277"/>
      <c r="AG8" s="38"/>
      <c r="AH8" s="277"/>
      <c r="AI8" s="277"/>
      <c r="AJ8" s="277"/>
      <c r="AK8" s="277"/>
      <c r="AL8" s="277"/>
      <c r="AM8" s="277"/>
      <c r="AN8" s="277"/>
      <c r="AO8" s="277"/>
      <c r="AP8" s="277"/>
      <c r="AQ8" s="38"/>
      <c r="AR8" s="277"/>
      <c r="AS8" s="277"/>
      <c r="AT8" s="277"/>
      <c r="AU8" s="277"/>
      <c r="AV8" s="277"/>
      <c r="AW8" s="277"/>
      <c r="AX8" s="277"/>
      <c r="AY8" s="277"/>
      <c r="AZ8" s="277"/>
      <c r="BA8" s="38"/>
    </row>
    <row r="9" spans="1:53" ht="15" customHeight="1" x14ac:dyDescent="0.2">
      <c r="A9" s="232" t="s">
        <v>1175</v>
      </c>
      <c r="B9" s="287"/>
      <c r="C9" s="287"/>
      <c r="D9" s="10"/>
      <c r="E9" s="10"/>
      <c r="F9" s="10"/>
      <c r="G9" s="10"/>
      <c r="H9" s="10"/>
      <c r="I9" s="10"/>
      <c r="J9" s="10"/>
      <c r="K9" s="10"/>
      <c r="L9" s="10"/>
      <c r="M9" s="38"/>
      <c r="N9" s="275"/>
      <c r="O9" s="276"/>
      <c r="P9" s="277"/>
      <c r="Q9" s="277"/>
      <c r="R9" s="277"/>
      <c r="S9" s="277"/>
      <c r="T9" s="277"/>
      <c r="U9" s="277"/>
      <c r="V9" s="277"/>
      <c r="W9" s="38"/>
      <c r="X9" s="277"/>
      <c r="Y9" s="277"/>
      <c r="Z9" s="277"/>
      <c r="AA9" s="277"/>
      <c r="AB9" s="277"/>
      <c r="AC9" s="277"/>
      <c r="AD9" s="277"/>
      <c r="AE9" s="277"/>
      <c r="AF9" s="277"/>
      <c r="AG9" s="38"/>
      <c r="AH9" s="277"/>
      <c r="AI9" s="277"/>
      <c r="AJ9" s="277"/>
      <c r="AK9" s="277"/>
      <c r="AL9" s="277"/>
      <c r="AM9" s="277"/>
      <c r="AN9" s="277"/>
      <c r="AO9" s="277"/>
      <c r="AP9" s="277"/>
      <c r="AQ9" s="38"/>
      <c r="AR9" s="277"/>
      <c r="AS9" s="277"/>
      <c r="AT9" s="277"/>
      <c r="AU9" s="277"/>
      <c r="AV9" s="277"/>
      <c r="AW9" s="277"/>
      <c r="AX9" s="277"/>
      <c r="AY9" s="277"/>
      <c r="AZ9" s="277"/>
      <c r="BA9" s="38"/>
    </row>
    <row r="10" spans="1:53" ht="15" customHeight="1" x14ac:dyDescent="0.2">
      <c r="A10" s="232" t="s">
        <v>1176</v>
      </c>
      <c r="B10" s="287"/>
      <c r="C10" s="287"/>
      <c r="D10" s="10"/>
      <c r="E10" s="10"/>
      <c r="F10" s="10"/>
      <c r="G10" s="10"/>
      <c r="H10" s="10"/>
      <c r="I10" s="10"/>
      <c r="J10" s="10"/>
      <c r="K10" s="10"/>
      <c r="L10" s="10"/>
      <c r="M10" s="38"/>
      <c r="N10" s="275"/>
      <c r="O10" s="276"/>
      <c r="P10" s="277"/>
      <c r="Q10" s="277"/>
      <c r="R10" s="277"/>
      <c r="S10" s="277"/>
      <c r="T10" s="277"/>
      <c r="U10" s="277"/>
      <c r="V10" s="277"/>
      <c r="W10" s="38"/>
      <c r="X10" s="277"/>
      <c r="Y10" s="277"/>
      <c r="Z10" s="277"/>
      <c r="AA10" s="277"/>
      <c r="AB10" s="277"/>
      <c r="AC10" s="277"/>
      <c r="AD10" s="277"/>
      <c r="AE10" s="277"/>
      <c r="AF10" s="277"/>
      <c r="AG10" s="38"/>
      <c r="AH10" s="277"/>
      <c r="AI10" s="277"/>
      <c r="AJ10" s="277"/>
      <c r="AK10" s="277"/>
      <c r="AL10" s="277"/>
      <c r="AM10" s="277"/>
      <c r="AN10" s="277"/>
      <c r="AO10" s="277"/>
      <c r="AP10" s="277"/>
      <c r="AQ10" s="38"/>
      <c r="AR10" s="277"/>
      <c r="AS10" s="277"/>
      <c r="AT10" s="277"/>
      <c r="AU10" s="277"/>
      <c r="AV10" s="277"/>
      <c r="AW10" s="277"/>
      <c r="AX10" s="277"/>
      <c r="AY10" s="277"/>
      <c r="AZ10" s="277"/>
      <c r="BA10" s="38"/>
    </row>
    <row r="11" spans="1:53" ht="15" customHeight="1" x14ac:dyDescent="0.2">
      <c r="A11" s="232" t="s">
        <v>1177</v>
      </c>
      <c r="B11" s="287"/>
      <c r="C11" s="287"/>
      <c r="D11" s="10"/>
      <c r="E11" s="10"/>
      <c r="F11" s="10"/>
      <c r="G11" s="10"/>
      <c r="H11" s="10"/>
      <c r="I11" s="10"/>
      <c r="J11" s="10"/>
      <c r="K11" s="10"/>
      <c r="L11" s="10"/>
      <c r="M11" s="38"/>
      <c r="N11" s="275"/>
      <c r="O11" s="276"/>
      <c r="P11" s="277"/>
      <c r="Q11" s="277"/>
      <c r="R11" s="277"/>
      <c r="S11" s="277"/>
      <c r="T11" s="277"/>
      <c r="U11" s="277"/>
      <c r="V11" s="277"/>
      <c r="W11" s="38"/>
      <c r="X11" s="277"/>
      <c r="Y11" s="277"/>
      <c r="Z11" s="277"/>
      <c r="AA11" s="277"/>
      <c r="AB11" s="277"/>
      <c r="AC11" s="277"/>
      <c r="AD11" s="277"/>
      <c r="AE11" s="277"/>
      <c r="AF11" s="277"/>
      <c r="AG11" s="38"/>
      <c r="AH11" s="277"/>
      <c r="AI11" s="277"/>
      <c r="AJ11" s="277"/>
      <c r="AK11" s="277"/>
      <c r="AL11" s="277"/>
      <c r="AM11" s="277"/>
      <c r="AN11" s="277"/>
      <c r="AO11" s="277"/>
      <c r="AP11" s="277"/>
      <c r="AQ11" s="38"/>
      <c r="AR11" s="277"/>
      <c r="AS11" s="277"/>
      <c r="AT11" s="277"/>
      <c r="AU11" s="277"/>
      <c r="AV11" s="277"/>
      <c r="AW11" s="277"/>
      <c r="AX11" s="277"/>
      <c r="AY11" s="277"/>
      <c r="AZ11" s="277"/>
      <c r="BA11" s="38"/>
    </row>
    <row r="12" spans="1:53" ht="15" customHeight="1" x14ac:dyDescent="0.2">
      <c r="A12" s="232"/>
      <c r="B12" s="287"/>
      <c r="C12" s="287"/>
      <c r="D12" s="10"/>
      <c r="E12" s="10"/>
      <c r="F12" s="10"/>
      <c r="G12" s="10"/>
      <c r="H12" s="10"/>
      <c r="I12" s="10"/>
      <c r="J12" s="10"/>
      <c r="K12" s="10"/>
      <c r="L12" s="10"/>
      <c r="M12" s="38"/>
      <c r="N12" s="275"/>
      <c r="O12" s="276"/>
      <c r="P12" s="277"/>
      <c r="Q12" s="277"/>
      <c r="R12" s="277"/>
      <c r="S12" s="277"/>
      <c r="T12" s="277"/>
      <c r="U12" s="277"/>
      <c r="V12" s="277"/>
      <c r="W12" s="38"/>
      <c r="X12" s="277"/>
      <c r="Y12" s="277"/>
      <c r="Z12" s="277"/>
      <c r="AA12" s="277"/>
      <c r="AB12" s="277"/>
      <c r="AC12" s="277"/>
      <c r="AD12" s="277"/>
      <c r="AE12" s="277"/>
      <c r="AF12" s="277"/>
      <c r="AG12" s="38"/>
      <c r="AH12" s="277"/>
      <c r="AI12" s="277"/>
      <c r="AJ12" s="277"/>
      <c r="AK12" s="277"/>
      <c r="AL12" s="277"/>
      <c r="AM12" s="277"/>
      <c r="AN12" s="277"/>
      <c r="AO12" s="277"/>
      <c r="AP12" s="277"/>
      <c r="AQ12" s="38"/>
      <c r="AR12" s="277"/>
      <c r="AS12" s="277"/>
      <c r="AT12" s="277"/>
      <c r="AU12" s="277"/>
      <c r="AV12" s="277"/>
      <c r="AW12" s="277"/>
      <c r="AX12" s="277"/>
      <c r="AY12" s="277"/>
      <c r="AZ12" s="277"/>
      <c r="BA12" s="38"/>
    </row>
    <row r="13" spans="1:53" ht="15" customHeight="1" x14ac:dyDescent="0.2">
      <c r="A13" s="232" t="s">
        <v>1178</v>
      </c>
      <c r="B13" s="287"/>
      <c r="C13" s="287"/>
      <c r="D13" s="294" t="s">
        <v>1179</v>
      </c>
      <c r="E13" s="294"/>
      <c r="F13" s="294"/>
      <c r="G13" s="294"/>
      <c r="H13" s="294"/>
      <c r="I13" s="294"/>
      <c r="J13" s="294"/>
      <c r="K13" s="294"/>
      <c r="L13" s="294"/>
      <c r="M13" s="38"/>
      <c r="N13" s="294" t="s">
        <v>1179</v>
      </c>
      <c r="O13" s="294"/>
      <c r="P13" s="294"/>
      <c r="Q13" s="294"/>
      <c r="R13" s="294"/>
      <c r="S13" s="294"/>
      <c r="T13" s="294"/>
      <c r="U13" s="294"/>
      <c r="V13" s="294"/>
      <c r="W13" s="38"/>
      <c r="X13" s="294" t="s">
        <v>1179</v>
      </c>
      <c r="Y13" s="294"/>
      <c r="Z13" s="294"/>
      <c r="AA13" s="294"/>
      <c r="AB13" s="294"/>
      <c r="AC13" s="294"/>
      <c r="AD13" s="294"/>
      <c r="AE13" s="294"/>
      <c r="AF13" s="294"/>
      <c r="AG13" s="38"/>
      <c r="AH13" s="294" t="s">
        <v>1179</v>
      </c>
      <c r="AI13" s="294"/>
      <c r="AJ13" s="294"/>
      <c r="AK13" s="294"/>
      <c r="AL13" s="294"/>
      <c r="AM13" s="294"/>
      <c r="AN13" s="294"/>
      <c r="AO13" s="294"/>
      <c r="AP13" s="294"/>
      <c r="AQ13" s="38"/>
      <c r="AR13" s="294" t="s">
        <v>1179</v>
      </c>
      <c r="AS13" s="294"/>
      <c r="AT13" s="294"/>
      <c r="AU13" s="294"/>
      <c r="AV13" s="294"/>
      <c r="AW13" s="294"/>
      <c r="AX13" s="294"/>
      <c r="AY13" s="294"/>
      <c r="AZ13" s="294"/>
      <c r="BA13" s="38"/>
    </row>
    <row r="14" spans="1:53" ht="15" customHeight="1" x14ac:dyDescent="0.2">
      <c r="A14" s="232" t="s">
        <v>1180</v>
      </c>
      <c r="B14" s="287"/>
      <c r="C14" s="287"/>
      <c r="D14" s="294"/>
      <c r="E14" s="294"/>
      <c r="F14" s="294"/>
      <c r="G14" s="294"/>
      <c r="H14" s="294"/>
      <c r="I14" s="294"/>
      <c r="J14" s="294"/>
      <c r="K14" s="294"/>
      <c r="L14" s="294"/>
      <c r="M14" s="38"/>
      <c r="N14" s="294"/>
      <c r="O14" s="294"/>
      <c r="P14" s="294"/>
      <c r="Q14" s="294"/>
      <c r="R14" s="294"/>
      <c r="S14" s="294"/>
      <c r="T14" s="294"/>
      <c r="U14" s="294"/>
      <c r="V14" s="294"/>
      <c r="W14" s="38"/>
      <c r="X14" s="294"/>
      <c r="Y14" s="294"/>
      <c r="Z14" s="294"/>
      <c r="AA14" s="294"/>
      <c r="AB14" s="294"/>
      <c r="AC14" s="294"/>
      <c r="AD14" s="294"/>
      <c r="AE14" s="294"/>
      <c r="AF14" s="294"/>
      <c r="AG14" s="38"/>
      <c r="AH14" s="294"/>
      <c r="AI14" s="294"/>
      <c r="AJ14" s="294"/>
      <c r="AK14" s="294"/>
      <c r="AL14" s="294"/>
      <c r="AM14" s="294"/>
      <c r="AN14" s="294"/>
      <c r="AO14" s="294"/>
      <c r="AP14" s="294"/>
      <c r="AQ14" s="38"/>
      <c r="AR14" s="294"/>
      <c r="AS14" s="294"/>
      <c r="AT14" s="294"/>
      <c r="AU14" s="294"/>
      <c r="AV14" s="294"/>
      <c r="AW14" s="294"/>
      <c r="AX14" s="294"/>
      <c r="AY14" s="294"/>
      <c r="AZ14" s="294"/>
      <c r="BA14" s="38"/>
    </row>
    <row r="15" spans="1:53" ht="15" customHeight="1" x14ac:dyDescent="0.2">
      <c r="A15" s="125" t="s">
        <v>1181</v>
      </c>
      <c r="B15" s="287"/>
      <c r="C15" s="287"/>
      <c r="D15" s="10"/>
      <c r="E15" s="10"/>
      <c r="F15" s="10"/>
      <c r="G15" s="10"/>
      <c r="H15" s="10"/>
      <c r="I15" s="10"/>
      <c r="J15" s="10"/>
      <c r="K15" s="10"/>
      <c r="L15" s="10"/>
      <c r="M15" s="38"/>
      <c r="N15" s="275"/>
      <c r="O15" s="276"/>
      <c r="P15" s="277"/>
      <c r="Q15" s="277"/>
      <c r="R15" s="277"/>
      <c r="S15" s="277"/>
      <c r="T15" s="277"/>
      <c r="U15" s="277"/>
      <c r="V15" s="277"/>
      <c r="W15" s="38"/>
      <c r="X15" s="294"/>
      <c r="Y15" s="294"/>
      <c r="Z15" s="294"/>
      <c r="AA15" s="294"/>
      <c r="AB15" s="294"/>
      <c r="AC15" s="294"/>
      <c r="AD15" s="294"/>
      <c r="AE15" s="294"/>
      <c r="AF15" s="294"/>
      <c r="AG15" s="38"/>
      <c r="AH15" s="278"/>
      <c r="AI15" s="278"/>
      <c r="AJ15" s="278"/>
      <c r="AK15" s="278"/>
      <c r="AL15" s="278"/>
      <c r="AM15" s="278"/>
      <c r="AN15" s="278"/>
      <c r="AO15" s="278"/>
      <c r="AP15" s="278"/>
      <c r="AQ15" s="38"/>
      <c r="AR15" s="277"/>
      <c r="AS15" s="277"/>
      <c r="AT15" s="277"/>
      <c r="AU15" s="277"/>
      <c r="AV15" s="277"/>
      <c r="AW15" s="277"/>
      <c r="AX15" s="277"/>
      <c r="AY15" s="277"/>
      <c r="AZ15" s="277"/>
      <c r="BA15" s="38"/>
    </row>
    <row r="16" spans="1:53" ht="15" customHeight="1" x14ac:dyDescent="0.2">
      <c r="A16" s="287"/>
      <c r="B16" s="287"/>
      <c r="C16" s="287"/>
      <c r="D16" s="10"/>
      <c r="E16" s="10"/>
      <c r="F16" s="10"/>
      <c r="G16" s="10"/>
      <c r="H16" s="10"/>
      <c r="I16" s="10"/>
      <c r="J16" s="10"/>
      <c r="K16" s="10"/>
      <c r="L16" s="10"/>
      <c r="M16" s="38"/>
      <c r="N16" s="275"/>
      <c r="O16" s="276"/>
      <c r="P16" s="277"/>
      <c r="Q16" s="277"/>
      <c r="R16" s="277"/>
      <c r="S16" s="277"/>
      <c r="T16" s="277"/>
      <c r="U16" s="277"/>
      <c r="V16" s="277"/>
      <c r="W16" s="38"/>
      <c r="X16" s="294"/>
      <c r="Y16" s="294"/>
      <c r="Z16" s="294"/>
      <c r="AA16" s="294"/>
      <c r="AB16" s="294"/>
      <c r="AC16" s="294"/>
      <c r="AD16" s="294"/>
      <c r="AE16" s="294"/>
      <c r="AF16" s="294"/>
      <c r="AG16" s="38"/>
      <c r="AH16" s="278"/>
      <c r="AI16" s="278"/>
      <c r="AJ16" s="278"/>
      <c r="AK16" s="278"/>
      <c r="AL16" s="278"/>
      <c r="AM16" s="278"/>
      <c r="AN16" s="278"/>
      <c r="AO16" s="278"/>
      <c r="AP16" s="278"/>
      <c r="AQ16" s="38"/>
      <c r="AR16" s="277"/>
      <c r="AS16" s="277"/>
      <c r="AT16" s="277"/>
      <c r="AU16" s="277"/>
      <c r="AV16" s="277"/>
      <c r="AW16" s="277"/>
      <c r="AX16" s="277"/>
      <c r="AY16" s="277"/>
      <c r="AZ16" s="277"/>
      <c r="BA16" s="38"/>
    </row>
    <row r="17" spans="1:53" ht="15" customHeight="1" x14ac:dyDescent="0.2">
      <c r="A17" s="232" t="s">
        <v>1182</v>
      </c>
      <c r="B17" s="287"/>
      <c r="C17" s="287"/>
      <c r="D17" s="10"/>
      <c r="E17" s="10"/>
      <c r="F17" s="10"/>
      <c r="G17" s="10"/>
      <c r="H17" s="10"/>
      <c r="I17" s="10"/>
      <c r="J17" s="10"/>
      <c r="K17" s="10"/>
      <c r="L17" s="10"/>
      <c r="M17" s="38"/>
      <c r="N17" s="275"/>
      <c r="O17" s="276"/>
      <c r="P17" s="277"/>
      <c r="Q17" s="277"/>
      <c r="R17" s="277"/>
      <c r="S17" s="277"/>
      <c r="T17" s="277"/>
      <c r="U17" s="277"/>
      <c r="V17" s="277"/>
      <c r="W17" s="38"/>
      <c r="X17" s="277"/>
      <c r="Y17" s="277"/>
      <c r="Z17" s="277"/>
      <c r="AA17" s="277"/>
      <c r="AB17" s="277"/>
      <c r="AC17" s="277"/>
      <c r="AD17" s="277"/>
      <c r="AE17" s="277"/>
      <c r="AF17" s="277"/>
      <c r="AG17" s="38"/>
      <c r="AH17" s="277"/>
      <c r="AI17" s="277"/>
      <c r="AJ17" s="277"/>
      <c r="AK17" s="277"/>
      <c r="AL17" s="277"/>
      <c r="AM17" s="277"/>
      <c r="AN17" s="277"/>
      <c r="AO17" s="277"/>
      <c r="AP17" s="277"/>
      <c r="AQ17" s="38"/>
      <c r="AR17" s="277"/>
      <c r="AS17" s="277"/>
      <c r="AT17" s="277"/>
      <c r="AU17" s="277"/>
      <c r="AV17" s="277"/>
      <c r="AW17" s="277"/>
      <c r="AX17" s="277"/>
      <c r="AY17" s="277"/>
      <c r="AZ17" s="277"/>
      <c r="BA17" s="38"/>
    </row>
    <row r="18" spans="1:53" ht="15" customHeight="1" x14ac:dyDescent="0.2">
      <c r="A18" s="232" t="s">
        <v>1183</v>
      </c>
      <c r="B18" s="287"/>
      <c r="C18" s="287"/>
      <c r="D18" s="10"/>
      <c r="E18" s="10"/>
      <c r="F18" s="10"/>
      <c r="G18" s="10"/>
      <c r="H18" s="10"/>
      <c r="I18" s="10"/>
      <c r="J18" s="10"/>
      <c r="K18" s="10"/>
      <c r="L18" s="10"/>
      <c r="M18" s="38"/>
      <c r="N18" s="275"/>
      <c r="O18" s="276"/>
      <c r="P18" s="277"/>
      <c r="Q18" s="277"/>
      <c r="R18" s="277"/>
      <c r="S18" s="277"/>
      <c r="T18" s="277"/>
      <c r="U18" s="277"/>
      <c r="V18" s="277"/>
      <c r="W18" s="38"/>
      <c r="X18" s="277"/>
      <c r="Y18" s="277"/>
      <c r="Z18" s="277"/>
      <c r="AA18" s="277"/>
      <c r="AB18" s="277"/>
      <c r="AC18" s="277"/>
      <c r="AD18" s="277"/>
      <c r="AE18" s="277"/>
      <c r="AF18" s="277"/>
      <c r="AG18" s="38"/>
      <c r="AH18" s="277"/>
      <c r="AI18" s="277"/>
      <c r="AJ18" s="277"/>
      <c r="AK18" s="277"/>
      <c r="AL18" s="277"/>
      <c r="AM18" s="277"/>
      <c r="AN18" s="277"/>
      <c r="AO18" s="277"/>
      <c r="AP18" s="277"/>
      <c r="AQ18" s="38"/>
      <c r="AR18" s="277"/>
      <c r="AS18" s="277"/>
      <c r="AT18" s="277"/>
      <c r="AU18" s="277"/>
      <c r="AV18" s="277"/>
      <c r="AW18" s="277"/>
      <c r="AX18" s="277"/>
      <c r="AY18" s="277"/>
      <c r="AZ18" s="277"/>
      <c r="BA18" s="38"/>
    </row>
    <row r="19" spans="1:53" ht="15" customHeight="1" x14ac:dyDescent="0.2">
      <c r="A19" s="232" t="s">
        <v>1170</v>
      </c>
      <c r="B19" s="287"/>
      <c r="C19" s="287"/>
      <c r="D19" s="10"/>
      <c r="E19" s="10"/>
      <c r="F19" s="10"/>
      <c r="G19" s="10"/>
      <c r="H19" s="10"/>
      <c r="I19" s="10"/>
      <c r="J19" s="10"/>
      <c r="K19" s="10"/>
      <c r="L19" s="10"/>
      <c r="M19" s="38"/>
      <c r="N19" s="275"/>
      <c r="O19" s="276"/>
      <c r="P19" s="277"/>
      <c r="Q19" s="277"/>
      <c r="R19" s="277"/>
      <c r="S19" s="277"/>
      <c r="T19" s="277"/>
      <c r="U19" s="277"/>
      <c r="V19" s="277"/>
      <c r="W19" s="38"/>
      <c r="X19" s="277"/>
      <c r="Y19" s="277"/>
      <c r="Z19" s="277"/>
      <c r="AA19" s="277"/>
      <c r="AB19" s="277"/>
      <c r="AC19" s="277"/>
      <c r="AD19" s="277"/>
      <c r="AE19" s="277"/>
      <c r="AF19" s="277"/>
      <c r="AG19" s="38"/>
      <c r="AH19" s="277"/>
      <c r="AI19" s="277"/>
      <c r="AJ19" s="277"/>
      <c r="AK19" s="277"/>
      <c r="AL19" s="277"/>
      <c r="AM19" s="277"/>
      <c r="AN19" s="277"/>
      <c r="AO19" s="277"/>
      <c r="AP19" s="277"/>
      <c r="AQ19" s="38"/>
      <c r="AR19" s="277"/>
      <c r="AS19" s="277"/>
      <c r="AT19" s="277"/>
      <c r="AU19" s="277"/>
      <c r="AV19" s="277"/>
      <c r="AW19" s="277"/>
      <c r="AX19" s="277"/>
      <c r="AY19" s="277"/>
      <c r="AZ19" s="277"/>
      <c r="BA19" s="38"/>
    </row>
    <row r="20" spans="1:53" ht="15" customHeight="1" x14ac:dyDescent="0.2">
      <c r="D20" s="10"/>
      <c r="E20" s="10"/>
      <c r="F20" s="10"/>
      <c r="G20" s="10"/>
      <c r="H20" s="10"/>
      <c r="I20" s="10"/>
      <c r="J20" s="10"/>
      <c r="K20" s="10"/>
      <c r="L20" s="10"/>
      <c r="M20" s="38"/>
      <c r="N20" s="275"/>
      <c r="O20" s="276"/>
      <c r="P20" s="277"/>
      <c r="Q20" s="277"/>
      <c r="R20" s="277"/>
      <c r="S20" s="277"/>
      <c r="T20" s="277"/>
      <c r="U20" s="277"/>
      <c r="V20" s="277"/>
      <c r="W20" s="38"/>
      <c r="X20" s="277"/>
      <c r="Y20" s="277"/>
      <c r="Z20" s="277"/>
      <c r="AA20" s="277"/>
      <c r="AB20" s="277"/>
      <c r="AC20" s="277"/>
      <c r="AD20" s="277"/>
      <c r="AE20" s="277"/>
      <c r="AF20" s="277"/>
      <c r="AG20" s="38"/>
      <c r="AH20" s="277"/>
      <c r="AI20" s="277"/>
      <c r="AJ20" s="277"/>
      <c r="AK20" s="277"/>
      <c r="AL20" s="277"/>
      <c r="AM20" s="277"/>
      <c r="AN20" s="277"/>
      <c r="AO20" s="277"/>
      <c r="AP20" s="277"/>
      <c r="AQ20" s="38"/>
      <c r="AR20" s="277"/>
      <c r="AS20" s="277"/>
      <c r="AT20" s="277"/>
      <c r="AU20" s="277"/>
      <c r="AV20" s="277"/>
      <c r="AW20" s="277"/>
      <c r="AX20" s="277"/>
      <c r="AY20" s="277"/>
      <c r="AZ20" s="277"/>
      <c r="BA20" s="38"/>
    </row>
    <row r="21" spans="1:53" ht="15" customHeight="1" x14ac:dyDescent="0.2">
      <c r="A21" s="125" t="s">
        <v>1184</v>
      </c>
      <c r="D21" s="10"/>
      <c r="E21" s="10"/>
      <c r="F21" s="10"/>
      <c r="G21" s="10"/>
      <c r="H21" s="10"/>
      <c r="I21" s="10"/>
      <c r="J21" s="10"/>
      <c r="K21" s="10"/>
      <c r="L21" s="10"/>
      <c r="M21" s="38"/>
      <c r="N21" s="275"/>
      <c r="O21" s="276"/>
      <c r="P21" s="277"/>
      <c r="Q21" s="277"/>
      <c r="R21" s="277"/>
      <c r="S21" s="277"/>
      <c r="T21" s="277"/>
      <c r="U21" s="277"/>
      <c r="V21" s="277"/>
      <c r="W21" s="38"/>
      <c r="X21" s="277"/>
      <c r="Y21" s="277"/>
      <c r="Z21" s="277"/>
      <c r="AA21" s="277"/>
      <c r="AB21" s="277"/>
      <c r="AC21" s="277"/>
      <c r="AD21" s="277"/>
      <c r="AE21" s="277"/>
      <c r="AF21" s="277"/>
      <c r="AG21" s="38"/>
      <c r="AH21" s="277"/>
      <c r="AI21" s="277"/>
      <c r="AJ21" s="277"/>
      <c r="AK21" s="277"/>
      <c r="AL21" s="277"/>
      <c r="AM21" s="277"/>
      <c r="AN21" s="277"/>
      <c r="AO21" s="277"/>
      <c r="AP21" s="277"/>
      <c r="AQ21" s="38"/>
      <c r="AR21" s="277"/>
      <c r="AS21" s="277"/>
      <c r="AT21" s="277"/>
      <c r="AU21" s="277"/>
      <c r="AV21" s="277"/>
      <c r="AW21" s="277"/>
      <c r="AX21" s="277"/>
      <c r="AY21" s="277"/>
      <c r="AZ21" s="277"/>
      <c r="BA21" s="38"/>
    </row>
    <row r="22" spans="1:53" ht="15" customHeight="1" x14ac:dyDescent="0.2">
      <c r="A22" s="125" t="s">
        <v>1185</v>
      </c>
      <c r="D22" s="277"/>
      <c r="E22" s="277"/>
      <c r="F22" s="277"/>
      <c r="G22" s="277"/>
      <c r="H22" s="277"/>
      <c r="I22" s="277"/>
      <c r="J22" s="277"/>
      <c r="K22" s="277"/>
      <c r="L22" s="277"/>
      <c r="M22" s="273"/>
      <c r="N22" s="275"/>
      <c r="O22" s="279"/>
      <c r="P22" s="277"/>
      <c r="Q22" s="277"/>
      <c r="R22" s="277"/>
      <c r="S22" s="277"/>
      <c r="T22" s="277"/>
      <c r="U22" s="277"/>
      <c r="V22" s="277"/>
      <c r="W22" s="273"/>
      <c r="X22" s="277"/>
      <c r="Y22" s="277"/>
      <c r="Z22" s="277"/>
      <c r="AA22" s="277"/>
      <c r="AB22" s="277"/>
      <c r="AC22" s="277"/>
      <c r="AD22" s="277"/>
      <c r="AE22" s="277"/>
      <c r="AF22" s="277"/>
      <c r="AG22" s="273"/>
      <c r="AH22" s="277"/>
      <c r="AI22" s="277"/>
      <c r="AJ22" s="277"/>
      <c r="AK22" s="277"/>
      <c r="AL22" s="277"/>
      <c r="AM22" s="277"/>
      <c r="AN22" s="277"/>
      <c r="AO22" s="277"/>
      <c r="AP22" s="277"/>
      <c r="AQ22" s="273"/>
      <c r="AR22" s="277"/>
      <c r="AS22" s="277"/>
      <c r="AT22" s="277"/>
      <c r="AU22" s="277"/>
      <c r="AV22" s="277"/>
      <c r="AW22" s="277"/>
      <c r="AX22" s="277"/>
      <c r="AY22" s="277"/>
      <c r="AZ22" s="277"/>
      <c r="BA22" s="273"/>
    </row>
    <row r="23" spans="1:53" ht="15" customHeight="1" x14ac:dyDescent="0.2">
      <c r="A23" s="125" t="s">
        <v>1186</v>
      </c>
      <c r="D23" s="277"/>
      <c r="E23" s="277"/>
      <c r="F23" s="277"/>
      <c r="G23" s="277"/>
      <c r="H23" s="277"/>
      <c r="I23" s="277"/>
      <c r="J23" s="277"/>
      <c r="K23" s="277"/>
      <c r="L23" s="277"/>
      <c r="M23" s="273"/>
      <c r="N23" s="275"/>
      <c r="O23" s="279"/>
      <c r="P23" s="277"/>
      <c r="Q23" s="277"/>
      <c r="R23" s="277"/>
      <c r="S23" s="277"/>
      <c r="T23" s="277"/>
      <c r="U23" s="277"/>
      <c r="V23" s="277"/>
      <c r="W23" s="273"/>
      <c r="X23" s="277"/>
      <c r="Y23" s="277"/>
      <c r="Z23" s="277"/>
      <c r="AA23" s="277"/>
      <c r="AB23" s="277"/>
      <c r="AC23" s="277"/>
      <c r="AD23" s="277"/>
      <c r="AE23" s="277"/>
      <c r="AF23" s="277"/>
      <c r="AG23" s="273"/>
      <c r="AH23" s="277"/>
      <c r="AI23" s="277"/>
      <c r="AJ23" s="277"/>
      <c r="AK23" s="277"/>
      <c r="AL23" s="277"/>
      <c r="AM23" s="277"/>
      <c r="AN23" s="277"/>
      <c r="AO23" s="277"/>
      <c r="AP23" s="277"/>
      <c r="AQ23" s="273"/>
      <c r="AR23" s="277"/>
      <c r="AS23" s="277"/>
      <c r="AT23" s="277"/>
      <c r="AU23" s="277"/>
      <c r="AV23" s="277"/>
      <c r="AW23" s="277"/>
      <c r="AX23" s="277"/>
      <c r="AY23" s="277"/>
      <c r="AZ23" s="277"/>
      <c r="BA23" s="273"/>
    </row>
    <row r="24" spans="1:53" ht="15" customHeight="1" x14ac:dyDescent="0.2">
      <c r="D24" s="277"/>
      <c r="E24" s="277"/>
      <c r="F24" s="277"/>
      <c r="G24" s="277"/>
      <c r="H24" s="277"/>
      <c r="I24" s="277"/>
      <c r="J24" s="277"/>
      <c r="K24" s="277"/>
      <c r="L24" s="277"/>
      <c r="M24" s="280"/>
      <c r="N24" s="281"/>
      <c r="O24" s="282"/>
      <c r="P24" s="282"/>
      <c r="Q24" s="281"/>
      <c r="R24" s="277"/>
      <c r="S24" s="277"/>
      <c r="T24" s="277"/>
      <c r="U24" s="277"/>
      <c r="V24" s="277"/>
      <c r="W24" s="280"/>
      <c r="X24" s="277"/>
      <c r="Y24" s="277"/>
      <c r="Z24" s="277"/>
      <c r="AA24" s="277"/>
      <c r="AB24" s="277"/>
      <c r="AC24" s="277"/>
      <c r="AD24" s="277"/>
      <c r="AE24" s="277"/>
      <c r="AF24" s="277"/>
      <c r="AG24" s="280"/>
      <c r="AH24" s="277"/>
      <c r="AI24" s="277"/>
      <c r="AJ24" s="277"/>
      <c r="AK24" s="277"/>
      <c r="AL24" s="277"/>
      <c r="AM24" s="277"/>
      <c r="AN24" s="277"/>
      <c r="AO24" s="277"/>
      <c r="AP24" s="277"/>
      <c r="AQ24" s="280"/>
      <c r="AR24" s="277"/>
      <c r="AS24" s="277"/>
      <c r="AT24" s="277"/>
      <c r="AU24" s="277"/>
      <c r="AV24" s="277"/>
      <c r="AW24" s="277"/>
      <c r="AX24" s="277"/>
      <c r="AY24" s="277"/>
      <c r="AZ24" s="277"/>
      <c r="BA24" s="280"/>
    </row>
    <row r="25" spans="1:53" ht="15" customHeight="1" x14ac:dyDescent="0.2">
      <c r="A25" s="353" t="str">
        <f>'F.3.1-4 Tube Chassis'!$A$25</f>
        <v>Inch</v>
      </c>
      <c r="B25" s="353"/>
      <c r="C25" s="353"/>
      <c r="D25" s="277"/>
      <c r="E25" s="277"/>
      <c r="F25" s="277"/>
      <c r="G25" s="277"/>
      <c r="H25" s="277"/>
      <c r="I25" s="277"/>
      <c r="J25" s="277"/>
      <c r="K25" s="277"/>
      <c r="L25" s="277"/>
      <c r="M25" s="280"/>
      <c r="N25" s="281"/>
      <c r="O25" s="282"/>
      <c r="P25" s="282"/>
      <c r="Q25" s="281"/>
      <c r="R25" s="277"/>
      <c r="S25" s="277"/>
      <c r="T25" s="277"/>
      <c r="U25" s="277"/>
      <c r="V25" s="277"/>
      <c r="W25" s="280"/>
      <c r="X25" s="277"/>
      <c r="Y25" s="277"/>
      <c r="Z25" s="277"/>
      <c r="AA25" s="277"/>
      <c r="AB25" s="277"/>
      <c r="AC25" s="277"/>
      <c r="AD25" s="277"/>
      <c r="AE25" s="277"/>
      <c r="AF25" s="277"/>
      <c r="AG25" s="280"/>
      <c r="AH25" s="277"/>
      <c r="AI25" s="277"/>
      <c r="AJ25" s="277"/>
      <c r="AK25" s="277"/>
      <c r="AL25" s="277"/>
      <c r="AM25" s="277"/>
      <c r="AN25" s="277"/>
      <c r="AO25" s="277"/>
      <c r="AP25" s="277"/>
      <c r="AQ25" s="280"/>
      <c r="AR25" s="277"/>
      <c r="AS25" s="277"/>
      <c r="AT25" s="277"/>
      <c r="AU25" s="277"/>
      <c r="AV25" s="277"/>
      <c r="AW25" s="277"/>
      <c r="AX25" s="277"/>
      <c r="AY25" s="277"/>
      <c r="AZ25" s="277"/>
      <c r="BA25" s="280"/>
    </row>
    <row r="26" spans="1:53" ht="15" customHeight="1" x14ac:dyDescent="0.2">
      <c r="A26" s="353"/>
      <c r="B26" s="353"/>
      <c r="C26" s="353"/>
      <c r="D26" s="277"/>
      <c r="E26" s="277"/>
      <c r="F26" s="277"/>
      <c r="G26" s="277"/>
      <c r="H26" s="277"/>
      <c r="I26" s="277"/>
      <c r="J26" s="277"/>
      <c r="K26" s="277"/>
      <c r="L26" s="277"/>
      <c r="M26" s="280"/>
      <c r="N26" s="281"/>
      <c r="O26" s="282"/>
      <c r="P26" s="282"/>
      <c r="Q26" s="281"/>
      <c r="R26" s="277"/>
      <c r="S26" s="277"/>
      <c r="T26" s="277"/>
      <c r="U26" s="277"/>
      <c r="V26" s="277"/>
      <c r="W26" s="280"/>
      <c r="X26" s="277"/>
      <c r="Y26" s="277"/>
      <c r="Z26" s="277"/>
      <c r="AA26" s="277"/>
      <c r="AB26" s="277"/>
      <c r="AC26" s="277"/>
      <c r="AD26" s="277"/>
      <c r="AE26" s="277"/>
      <c r="AF26" s="277"/>
      <c r="AG26" s="280"/>
      <c r="AH26" s="277"/>
      <c r="AI26" s="277"/>
      <c r="AJ26" s="277"/>
      <c r="AK26" s="277"/>
      <c r="AL26" s="277"/>
      <c r="AM26" s="277"/>
      <c r="AN26" s="277"/>
      <c r="AO26" s="277"/>
      <c r="AP26" s="277"/>
      <c r="AQ26" s="280"/>
      <c r="AR26" s="277"/>
      <c r="AS26" s="277"/>
      <c r="AT26" s="277"/>
      <c r="AU26" s="277"/>
      <c r="AV26" s="277"/>
      <c r="AW26" s="277"/>
      <c r="AX26" s="277"/>
      <c r="AY26" s="277"/>
      <c r="AZ26" s="277"/>
      <c r="BA26" s="280"/>
    </row>
    <row r="27" spans="1:53" ht="15" customHeight="1" x14ac:dyDescent="0.2">
      <c r="A27" s="395" t="str">
        <f>IF(OR(A2="BLANK",COUNTIF(D30:AS31,"BLANK")),"BLANK",IF(COUNTIF(D30:AS31,"REJECT"),"REJECT",IF(COUNTIF(D30:AS31,"CHECK"),"CHECK",IF(AND(NOT(COUNTIF(D30:AS31,"EQ")),C4="No"),"N/A","EQ"))))</f>
        <v>N/A</v>
      </c>
      <c r="B27" s="395"/>
      <c r="C27" s="395"/>
      <c r="D27" s="277"/>
      <c r="E27" s="277"/>
      <c r="F27" s="277"/>
      <c r="G27" s="277"/>
      <c r="H27" s="277"/>
      <c r="I27" s="277"/>
      <c r="J27" s="277"/>
      <c r="K27" s="277"/>
      <c r="L27" s="277"/>
      <c r="M27" s="273"/>
      <c r="N27" s="275"/>
      <c r="O27" s="279"/>
      <c r="P27" s="277"/>
      <c r="Q27" s="277"/>
      <c r="R27" s="277"/>
      <c r="S27" s="277"/>
      <c r="T27" s="277"/>
      <c r="U27" s="277"/>
      <c r="V27" s="277"/>
      <c r="W27" s="273"/>
      <c r="X27" s="277"/>
      <c r="Y27" s="277"/>
      <c r="Z27" s="277"/>
      <c r="AA27" s="277"/>
      <c r="AB27" s="277"/>
      <c r="AC27" s="277"/>
      <c r="AD27" s="277"/>
      <c r="AE27" s="277"/>
      <c r="AF27" s="277"/>
      <c r="AG27" s="273"/>
      <c r="AH27" s="277"/>
      <c r="AI27" s="277"/>
      <c r="AJ27" s="277"/>
      <c r="AK27" s="277"/>
      <c r="AL27" s="277"/>
      <c r="AM27" s="277"/>
      <c r="AN27" s="277"/>
      <c r="AO27" s="277"/>
      <c r="AP27" s="277"/>
      <c r="AQ27" s="273"/>
      <c r="AR27" s="277"/>
      <c r="AS27" s="277"/>
      <c r="AT27" s="277"/>
      <c r="AU27" s="277"/>
      <c r="AV27" s="277"/>
      <c r="AW27" s="277"/>
      <c r="AX27" s="277"/>
      <c r="AY27" s="277"/>
      <c r="AZ27" s="277"/>
      <c r="BA27" s="273"/>
    </row>
    <row r="28" spans="1:53" ht="15" customHeight="1" x14ac:dyDescent="0.2">
      <c r="A28" s="395"/>
      <c r="B28" s="395"/>
      <c r="C28" s="395"/>
      <c r="D28" s="290"/>
      <c r="E28" s="290"/>
      <c r="F28" s="290"/>
      <c r="G28" s="290"/>
      <c r="H28" s="227" t="s">
        <v>1187</v>
      </c>
      <c r="I28" s="290"/>
      <c r="J28" s="290"/>
      <c r="K28" s="290"/>
      <c r="L28" s="290"/>
      <c r="M28" s="273"/>
      <c r="N28" s="291"/>
      <c r="O28" s="292"/>
      <c r="P28" s="290"/>
      <c r="Q28" s="290"/>
      <c r="R28" s="227" t="s">
        <v>1187</v>
      </c>
      <c r="S28" s="290"/>
      <c r="T28" s="290"/>
      <c r="U28" s="290"/>
      <c r="V28" s="290"/>
      <c r="W28" s="273"/>
      <c r="X28" s="290"/>
      <c r="Y28" s="290"/>
      <c r="Z28" s="290"/>
      <c r="AA28" s="290"/>
      <c r="AB28" s="227" t="s">
        <v>1187</v>
      </c>
      <c r="AC28" s="290"/>
      <c r="AD28" s="290"/>
      <c r="AE28" s="290"/>
      <c r="AF28" s="290"/>
      <c r="AG28" s="273"/>
      <c r="AH28" s="290"/>
      <c r="AI28" s="290"/>
      <c r="AJ28" s="290"/>
      <c r="AK28" s="290"/>
      <c r="AL28" s="227" t="s">
        <v>1187</v>
      </c>
      <c r="AM28" s="290"/>
      <c r="AN28" s="290"/>
      <c r="AO28" s="290"/>
      <c r="AP28" s="290"/>
      <c r="AQ28" s="273"/>
      <c r="AR28" s="290"/>
      <c r="AS28" s="290"/>
      <c r="AT28" s="290"/>
      <c r="AU28" s="290"/>
      <c r="AV28" s="227" t="s">
        <v>1187</v>
      </c>
      <c r="AW28" s="290"/>
      <c r="AX28" s="290"/>
      <c r="AY28" s="290"/>
      <c r="AZ28" s="290"/>
      <c r="BA28" s="273"/>
    </row>
    <row r="29" spans="1:53" ht="15" customHeight="1" x14ac:dyDescent="0.2">
      <c r="A29" s="395"/>
      <c r="B29" s="395"/>
      <c r="C29" s="395"/>
      <c r="D29" s="392" t="s">
        <v>853</v>
      </c>
      <c r="E29" s="392"/>
      <c r="F29" s="392"/>
      <c r="G29" s="392"/>
      <c r="H29" s="392"/>
      <c r="I29" s="392"/>
      <c r="J29" s="392"/>
      <c r="K29" s="392"/>
      <c r="L29" s="392"/>
      <c r="M29" s="273"/>
      <c r="N29" s="392" t="s">
        <v>853</v>
      </c>
      <c r="O29" s="392"/>
      <c r="P29" s="392"/>
      <c r="Q29" s="392"/>
      <c r="R29" s="392"/>
      <c r="S29" s="392"/>
      <c r="T29" s="392"/>
      <c r="U29" s="392"/>
      <c r="V29" s="392"/>
      <c r="W29" s="273"/>
      <c r="X29" s="392" t="s">
        <v>853</v>
      </c>
      <c r="Y29" s="392"/>
      <c r="Z29" s="392"/>
      <c r="AA29" s="392"/>
      <c r="AB29" s="392"/>
      <c r="AC29" s="392"/>
      <c r="AD29" s="392"/>
      <c r="AE29" s="392"/>
      <c r="AF29" s="392"/>
      <c r="AG29" s="273"/>
      <c r="AH29" s="392" t="s">
        <v>853</v>
      </c>
      <c r="AI29" s="392"/>
      <c r="AJ29" s="392"/>
      <c r="AK29" s="392"/>
      <c r="AL29" s="392"/>
      <c r="AM29" s="392"/>
      <c r="AN29" s="392"/>
      <c r="AO29" s="392"/>
      <c r="AP29" s="392"/>
      <c r="AQ29" s="273"/>
      <c r="AR29" s="392" t="s">
        <v>853</v>
      </c>
      <c r="AS29" s="392"/>
      <c r="AT29" s="392"/>
      <c r="AU29" s="392"/>
      <c r="AV29" s="392"/>
      <c r="AW29" s="392"/>
      <c r="AX29" s="392"/>
      <c r="AY29" s="392"/>
      <c r="AZ29" s="392"/>
      <c r="BA29" s="273"/>
    </row>
    <row r="30" spans="1:53" ht="15" customHeight="1" x14ac:dyDescent="0.2">
      <c r="A30" s="395"/>
      <c r="B30" s="395"/>
      <c r="C30" s="395"/>
      <c r="D30" s="393" t="str">
        <f>IF(COUNTIF(D33:M53,"BLANK"),"BLANK",IF(COUNTIF(D33:M53,"REJECT"),"REJECT",IF(COUNTIF(D33:M53,"CHECK"),"CHECK",IF(L41="N/A","N/A","EQ"))))</f>
        <v>N/A</v>
      </c>
      <c r="E30" s="393"/>
      <c r="F30" s="393" t="s">
        <v>1188</v>
      </c>
      <c r="G30" s="393"/>
      <c r="H30" s="393"/>
      <c r="I30" s="393"/>
      <c r="J30" s="393"/>
      <c r="K30" s="393"/>
      <c r="L30" s="393"/>
      <c r="N30" s="393" t="str">
        <f>IF(COUNTIF(N33:W53,"BLANK"),"BLANK",IF(COUNTIF(N33:W53,"REJECT"),"REJECT",IF(COUNTIF(N33:W53,"CHECK"),"CHECK",IF(V41="N/A","N/A","EQ"))))</f>
        <v>N/A</v>
      </c>
      <c r="O30" s="393"/>
      <c r="P30" s="393" t="s">
        <v>1188</v>
      </c>
      <c r="Q30" s="393"/>
      <c r="R30" s="393"/>
      <c r="S30" s="393"/>
      <c r="T30" s="393"/>
      <c r="U30" s="393"/>
      <c r="V30" s="393"/>
      <c r="X30" s="393" t="str">
        <f>IF(COUNTIF(X33:AG53,"BLANK"),"BLANK",IF(COUNTIF(X33:AG53,"REJECT"),"REJECT",IF(COUNTIF(X33:AG53,"CHECK"),"CHECK",IF(AF41="N/A","N/A","EQ"))))</f>
        <v>N/A</v>
      </c>
      <c r="Y30" s="393"/>
      <c r="Z30" s="393" t="s">
        <v>1188</v>
      </c>
      <c r="AA30" s="393"/>
      <c r="AB30" s="393"/>
      <c r="AC30" s="393"/>
      <c r="AD30" s="393"/>
      <c r="AE30" s="393"/>
      <c r="AF30" s="393"/>
      <c r="AH30" s="393" t="str">
        <f>IF(COUNTIF(AH33:AQ53,"BLANK"),"BLANK",IF(COUNTIF(AH33:AQ53,"REJECT"),"REJECT",IF(COUNTIF(AH33:AQ53,"CHECK"),"CHECK",IF(AP41="N/A","N/A","EQ"))))</f>
        <v>N/A</v>
      </c>
      <c r="AI30" s="393"/>
      <c r="AJ30" s="393" t="s">
        <v>1188</v>
      </c>
      <c r="AK30" s="393"/>
      <c r="AL30" s="393"/>
      <c r="AM30" s="393"/>
      <c r="AN30" s="393"/>
      <c r="AO30" s="393"/>
      <c r="AP30" s="393"/>
      <c r="AR30" s="393" t="str">
        <f>IF(COUNTIF(AR33:BA53,"BLANK"),"BLANK",IF(COUNTIF(AR33:BA53,"REJECT"),"REJECT",IF(COUNTIF(AR33:BA53,"CHECK"),"CHECK",IF(AZ41="N/A","N/A","EQ"))))</f>
        <v>N/A</v>
      </c>
      <c r="AS30" s="393"/>
      <c r="AT30" s="393" t="s">
        <v>1188</v>
      </c>
      <c r="AU30" s="393"/>
      <c r="AV30" s="393"/>
      <c r="AW30" s="393"/>
      <c r="AX30" s="393"/>
      <c r="AY30" s="393"/>
      <c r="AZ30" s="393"/>
    </row>
    <row r="31" spans="1:53" ht="15" customHeight="1" x14ac:dyDescent="0.2">
      <c r="A31" s="395"/>
      <c r="B31" s="395"/>
      <c r="C31" s="395"/>
      <c r="D31" s="393"/>
      <c r="E31" s="393"/>
      <c r="F31" s="393"/>
      <c r="G31" s="393"/>
      <c r="H31" s="393"/>
      <c r="I31" s="393"/>
      <c r="J31" s="393"/>
      <c r="K31" s="393"/>
      <c r="L31" s="393"/>
      <c r="N31" s="393"/>
      <c r="O31" s="393"/>
      <c r="P31" s="393"/>
      <c r="Q31" s="393"/>
      <c r="R31" s="393"/>
      <c r="S31" s="393"/>
      <c r="T31" s="393"/>
      <c r="U31" s="393"/>
      <c r="V31" s="393"/>
      <c r="X31" s="393"/>
      <c r="Y31" s="393"/>
      <c r="Z31" s="393"/>
      <c r="AA31" s="393"/>
      <c r="AB31" s="393"/>
      <c r="AC31" s="393"/>
      <c r="AD31" s="393"/>
      <c r="AE31" s="393"/>
      <c r="AF31" s="393"/>
      <c r="AH31" s="393"/>
      <c r="AI31" s="393"/>
      <c r="AJ31" s="393"/>
      <c r="AK31" s="393"/>
      <c r="AL31" s="393"/>
      <c r="AM31" s="393"/>
      <c r="AN31" s="393"/>
      <c r="AO31" s="393"/>
      <c r="AP31" s="393"/>
      <c r="AR31" s="393"/>
      <c r="AS31" s="393"/>
      <c r="AT31" s="393"/>
      <c r="AU31" s="393"/>
      <c r="AV31" s="393"/>
      <c r="AW31" s="393"/>
      <c r="AX31" s="393"/>
      <c r="AY31" s="393"/>
      <c r="AZ31" s="393"/>
    </row>
    <row r="32" spans="1:53" ht="15" customHeight="1" x14ac:dyDescent="0.2">
      <c r="A32" s="395"/>
      <c r="B32" s="395"/>
      <c r="C32" s="395"/>
      <c r="D32" s="185"/>
      <c r="E32" s="185"/>
      <c r="F32" s="185"/>
      <c r="G32" s="185"/>
      <c r="H32" s="185"/>
      <c r="I32" s="185"/>
      <c r="J32" s="185"/>
      <c r="K32" s="185"/>
      <c r="L32" s="185"/>
      <c r="N32" s="185"/>
      <c r="O32" s="185"/>
      <c r="P32" s="185"/>
      <c r="Q32" s="185"/>
      <c r="R32" s="185"/>
      <c r="S32" s="185"/>
      <c r="T32" s="185"/>
      <c r="U32" s="185"/>
      <c r="V32" s="185"/>
      <c r="X32" s="185"/>
      <c r="Y32" s="185"/>
      <c r="Z32" s="185"/>
      <c r="AA32" s="185"/>
      <c r="AB32" s="185"/>
      <c r="AC32" s="185"/>
      <c r="AD32" s="185"/>
      <c r="AE32" s="185"/>
      <c r="AF32" s="185"/>
      <c r="AH32" s="185"/>
      <c r="AI32" s="185"/>
      <c r="AJ32" s="185"/>
      <c r="AK32" s="185"/>
      <c r="AL32" s="185"/>
      <c r="AM32" s="185"/>
      <c r="AN32" s="185"/>
      <c r="AO32" s="185"/>
      <c r="AP32" s="185"/>
      <c r="AR32" s="185"/>
      <c r="AS32" s="185"/>
      <c r="AT32" s="185"/>
      <c r="AU32" s="185"/>
      <c r="AV32" s="185"/>
      <c r="AW32" s="185"/>
      <c r="AX32" s="185"/>
      <c r="AY32" s="185"/>
      <c r="AZ32" s="185"/>
    </row>
    <row r="33" spans="1:52" ht="15" customHeight="1" thickBot="1" x14ac:dyDescent="0.25">
      <c r="A33" s="395"/>
      <c r="B33" s="395"/>
      <c r="C33" s="395"/>
      <c r="D33" s="377" t="str">
        <f>IF(COUNTIF(L34,"BLANK"),"BLANK",IF(COUNTIF(L34,"REJECT"),"REJECT",IF(COUNTIF(L34,"CHECK"),"CHECK","EQ")))</f>
        <v>EQ</v>
      </c>
      <c r="E33" s="377"/>
      <c r="F33" s="377"/>
      <c r="G33" s="377"/>
      <c r="H33" s="377"/>
      <c r="I33" s="377"/>
      <c r="J33" s="377"/>
      <c r="K33" s="377"/>
      <c r="L33" s="377"/>
      <c r="N33" s="377" t="str">
        <f>IF(COUNTIF(V34,"BLANK"),"BLANK",IF(COUNTIF(V34,"REJECT"),"REJECT",IF(COUNTIF(V34,"CHECK"),"CHECK","EQ")))</f>
        <v>EQ</v>
      </c>
      <c r="O33" s="377"/>
      <c r="P33" s="377"/>
      <c r="Q33" s="377"/>
      <c r="R33" s="377"/>
      <c r="S33" s="377"/>
      <c r="T33" s="377"/>
      <c r="U33" s="377"/>
      <c r="V33" s="377"/>
      <c r="X33" s="377" t="str">
        <f>IF(COUNTIF(AF34,"BLANK"),"BLANK",IF(COUNTIF(AF34,"REJECT"),"REJECT",IF(COUNTIF(AF34,"CHECK"),"CHECK","EQ")))</f>
        <v>EQ</v>
      </c>
      <c r="Y33" s="377"/>
      <c r="Z33" s="377"/>
      <c r="AA33" s="377"/>
      <c r="AB33" s="377"/>
      <c r="AC33" s="377"/>
      <c r="AD33" s="377"/>
      <c r="AE33" s="377"/>
      <c r="AF33" s="377"/>
      <c r="AH33" s="377" t="str">
        <f>IF(COUNTIF(AP34,"BLANK"),"BLANK",IF(COUNTIF(AP34,"REJECT"),"REJECT",IF(COUNTIF(AP34,"CHECK"),"CHECK","EQ")))</f>
        <v>EQ</v>
      </c>
      <c r="AI33" s="377"/>
      <c r="AJ33" s="377"/>
      <c r="AK33" s="377"/>
      <c r="AL33" s="377"/>
      <c r="AM33" s="377"/>
      <c r="AN33" s="377"/>
      <c r="AO33" s="377"/>
      <c r="AP33" s="377"/>
      <c r="AR33" s="377" t="str">
        <f>IF(COUNTIF(AZ34,"BLANK"),"BLANK",IF(COUNTIF(AZ34,"REJECT"),"REJECT",IF(COUNTIF(AZ34,"CHECK"),"CHECK","EQ")))</f>
        <v>EQ</v>
      </c>
      <c r="AS33" s="377"/>
      <c r="AT33" s="377"/>
      <c r="AU33" s="377"/>
      <c r="AV33" s="377"/>
      <c r="AW33" s="377"/>
      <c r="AX33" s="377"/>
      <c r="AY33" s="377"/>
      <c r="AZ33" s="377"/>
    </row>
    <row r="34" spans="1:52" ht="15" customHeight="1" thickBot="1" x14ac:dyDescent="0.25">
      <c r="A34" s="395"/>
      <c r="B34" s="395"/>
      <c r="C34" s="395"/>
      <c r="D34" s="183" t="s">
        <v>1189</v>
      </c>
      <c r="F34" s="170"/>
      <c r="G34" s="170"/>
      <c r="H34" s="170"/>
      <c r="I34" s="170" t="s">
        <v>1190</v>
      </c>
      <c r="J34" s="370"/>
      <c r="K34" s="386"/>
      <c r="L34" s="228" t="str">
        <f>IF(AND(NOT(A5="FILL OUT THIS TAB."),J34="",J41=""),"N/A",IF(J34="","BLANK","EQ"))</f>
        <v>N/A</v>
      </c>
      <c r="N34" s="183" t="s">
        <v>1189</v>
      </c>
      <c r="P34" s="170"/>
      <c r="Q34" s="170"/>
      <c r="R34" s="170"/>
      <c r="S34" s="170" t="s">
        <v>1190</v>
      </c>
      <c r="T34" s="370"/>
      <c r="U34" s="386"/>
      <c r="V34" s="228" t="str">
        <f>IF(AND(NOT(K5="FILL OUT THIS TAB."),T34="",T41=""),"N/A",IF(T34="","BLANK","EQ"))</f>
        <v>N/A</v>
      </c>
      <c r="X34" s="183" t="s">
        <v>1189</v>
      </c>
      <c r="Z34" s="170"/>
      <c r="AA34" s="170"/>
      <c r="AB34" s="170"/>
      <c r="AC34" s="170" t="s">
        <v>1190</v>
      </c>
      <c r="AD34" s="370"/>
      <c r="AE34" s="386"/>
      <c r="AF34" s="228" t="str">
        <f>IF(AND(NOT(U5="FILL OUT THIS TAB."),AD34="",AD41=""),"N/A",IF(AD34="","BLANK","EQ"))</f>
        <v>N/A</v>
      </c>
      <c r="AH34" s="183" t="s">
        <v>1189</v>
      </c>
      <c r="AJ34" s="170"/>
      <c r="AK34" s="170"/>
      <c r="AL34" s="170"/>
      <c r="AM34" s="170" t="s">
        <v>1190</v>
      </c>
      <c r="AN34" s="370"/>
      <c r="AO34" s="386"/>
      <c r="AP34" s="228" t="str">
        <f>IF(AND(NOT(AE5="FILL OUT THIS TAB."),AN34="",AN41=""),"N/A",IF(AN34="","BLANK","EQ"))</f>
        <v>N/A</v>
      </c>
      <c r="AR34" s="183" t="s">
        <v>1189</v>
      </c>
      <c r="AT34" s="170"/>
      <c r="AU34" s="170"/>
      <c r="AV34" s="170"/>
      <c r="AW34" s="170" t="s">
        <v>1190</v>
      </c>
      <c r="AX34" s="370"/>
      <c r="AY34" s="386"/>
      <c r="AZ34" s="228" t="str">
        <f>IF(AND(NOT(AO5="FILL OUT THIS TAB."),AX34="",AX41=""),"N/A",IF(AX34="","BLANK","EQ"))</f>
        <v>N/A</v>
      </c>
    </row>
    <row r="35" spans="1:52" ht="15" customHeight="1" x14ac:dyDescent="0.2">
      <c r="A35" s="395"/>
      <c r="B35" s="395"/>
      <c r="C35" s="395"/>
      <c r="D35" s="183"/>
      <c r="E35" s="170"/>
      <c r="F35" s="170"/>
      <c r="G35" s="170"/>
      <c r="H35" s="170"/>
      <c r="I35" s="170"/>
      <c r="J35" s="228"/>
      <c r="K35" s="228"/>
      <c r="L35" s="228"/>
      <c r="N35" s="183"/>
      <c r="O35" s="170"/>
      <c r="P35" s="170"/>
      <c r="Q35" s="170"/>
      <c r="R35" s="170"/>
      <c r="S35" s="170"/>
      <c r="T35" s="228"/>
      <c r="U35" s="228"/>
      <c r="V35" s="228"/>
      <c r="X35" s="183"/>
      <c r="Y35" s="170"/>
      <c r="Z35" s="170"/>
      <c r="AA35" s="170"/>
      <c r="AB35" s="170"/>
      <c r="AC35" s="170"/>
      <c r="AD35" s="228"/>
      <c r="AE35" s="228"/>
      <c r="AF35" s="228"/>
      <c r="AH35" s="183"/>
      <c r="AI35" s="170"/>
      <c r="AJ35" s="170"/>
      <c r="AK35" s="170"/>
      <c r="AL35" s="170"/>
      <c r="AM35" s="170"/>
      <c r="AN35" s="228"/>
      <c r="AO35" s="228"/>
      <c r="AP35" s="228"/>
      <c r="AR35" s="183"/>
      <c r="AS35" s="170"/>
      <c r="AT35" s="170"/>
      <c r="AU35" s="170"/>
      <c r="AV35" s="170"/>
      <c r="AW35" s="170"/>
      <c r="AX35" s="228"/>
      <c r="AY35" s="228"/>
      <c r="AZ35" s="228"/>
    </row>
    <row r="36" spans="1:52" ht="15" customHeight="1" x14ac:dyDescent="0.2">
      <c r="A36" s="293"/>
      <c r="B36" s="293"/>
      <c r="C36" s="293"/>
      <c r="D36" s="183" t="s">
        <v>1191</v>
      </c>
      <c r="E36" s="185" t="s">
        <v>1192</v>
      </c>
      <c r="F36" s="170"/>
      <c r="G36" s="170"/>
      <c r="H36" s="170"/>
      <c r="I36" s="170"/>
      <c r="J36" s="228"/>
      <c r="K36" s="228"/>
      <c r="L36" s="228"/>
      <c r="N36" s="183" t="s">
        <v>1191</v>
      </c>
      <c r="O36" s="185" t="s">
        <v>1192</v>
      </c>
      <c r="P36" s="170"/>
      <c r="Q36" s="170"/>
      <c r="R36" s="170"/>
      <c r="S36" s="170"/>
      <c r="T36" s="228"/>
      <c r="U36" s="228"/>
      <c r="V36" s="228"/>
      <c r="X36" s="183" t="s">
        <v>1191</v>
      </c>
      <c r="Y36" s="185" t="s">
        <v>1192</v>
      </c>
      <c r="Z36" s="170"/>
      <c r="AA36" s="170"/>
      <c r="AB36" s="170"/>
      <c r="AC36" s="170"/>
      <c r="AD36" s="228"/>
      <c r="AE36" s="228"/>
      <c r="AF36" s="228"/>
      <c r="AH36" s="183" t="s">
        <v>1191</v>
      </c>
      <c r="AI36" s="185" t="s">
        <v>1192</v>
      </c>
      <c r="AJ36" s="170"/>
      <c r="AK36" s="170"/>
      <c r="AL36" s="170"/>
      <c r="AM36" s="170"/>
      <c r="AN36" s="228"/>
      <c r="AO36" s="228"/>
      <c r="AP36" s="228"/>
      <c r="AR36" s="183" t="s">
        <v>1191</v>
      </c>
      <c r="AS36" s="185" t="s">
        <v>1192</v>
      </c>
      <c r="AT36" s="170"/>
      <c r="AU36" s="170"/>
      <c r="AV36" s="170"/>
      <c r="AW36" s="170"/>
      <c r="AX36" s="228"/>
      <c r="AY36" s="228"/>
      <c r="AZ36" s="228"/>
    </row>
    <row r="37" spans="1:52" ht="15" customHeight="1" x14ac:dyDescent="0.2">
      <c r="A37" s="131" t="s">
        <v>531</v>
      </c>
      <c r="D37" s="183"/>
      <c r="E37" s="185" t="s">
        <v>1193</v>
      </c>
      <c r="F37" s="170"/>
      <c r="G37" s="170"/>
      <c r="H37" s="170"/>
      <c r="I37" s="170"/>
      <c r="J37" s="228"/>
      <c r="K37" s="228"/>
      <c r="L37" s="228"/>
      <c r="N37" s="183"/>
      <c r="O37" s="185" t="s">
        <v>1193</v>
      </c>
      <c r="P37" s="170"/>
      <c r="Q37" s="170"/>
      <c r="R37" s="170"/>
      <c r="S37" s="170"/>
      <c r="T37" s="228"/>
      <c r="U37" s="228"/>
      <c r="V37" s="228"/>
      <c r="X37" s="183"/>
      <c r="Y37" s="185" t="s">
        <v>1193</v>
      </c>
      <c r="Z37" s="170"/>
      <c r="AA37" s="170"/>
      <c r="AB37" s="170"/>
      <c r="AC37" s="170"/>
      <c r="AD37" s="228"/>
      <c r="AE37" s="228"/>
      <c r="AF37" s="228"/>
      <c r="AH37" s="183"/>
      <c r="AI37" s="185" t="s">
        <v>1193</v>
      </c>
      <c r="AJ37" s="170"/>
      <c r="AK37" s="170"/>
      <c r="AL37" s="170"/>
      <c r="AM37" s="170"/>
      <c r="AN37" s="228"/>
      <c r="AO37" s="228"/>
      <c r="AP37" s="228"/>
      <c r="AR37" s="183"/>
      <c r="AS37" s="185" t="s">
        <v>1193</v>
      </c>
      <c r="AT37" s="170"/>
      <c r="AU37" s="170"/>
      <c r="AV37" s="170"/>
      <c r="AW37" s="170"/>
      <c r="AX37" s="228"/>
      <c r="AY37" s="228"/>
      <c r="AZ37" s="228"/>
    </row>
    <row r="38" spans="1:52" ht="15" customHeight="1" x14ac:dyDescent="0.2">
      <c r="A38" s="131" t="s">
        <v>535</v>
      </c>
      <c r="D38" s="236" t="s">
        <v>1194</v>
      </c>
      <c r="E38" s="125" t="s">
        <v>1195</v>
      </c>
      <c r="N38" s="236" t="s">
        <v>1194</v>
      </c>
      <c r="O38" s="125" t="s">
        <v>1195</v>
      </c>
      <c r="X38" s="236" t="s">
        <v>1194</v>
      </c>
      <c r="Y38" s="125" t="s">
        <v>1195</v>
      </c>
      <c r="AH38" s="236" t="s">
        <v>1194</v>
      </c>
      <c r="AI38" s="125" t="s">
        <v>1195</v>
      </c>
      <c r="AR38" s="236" t="s">
        <v>1194</v>
      </c>
      <c r="AS38" s="125" t="s">
        <v>1195</v>
      </c>
    </row>
    <row r="39" spans="1:52" ht="15" customHeight="1" x14ac:dyDescent="0.2">
      <c r="D39" s="183"/>
      <c r="E39" s="170"/>
      <c r="F39" s="170"/>
      <c r="G39" s="170"/>
      <c r="H39" s="170"/>
      <c r="I39" s="170"/>
      <c r="J39" s="228"/>
      <c r="K39" s="228"/>
      <c r="L39" s="228"/>
      <c r="N39" s="183"/>
      <c r="O39" s="170"/>
      <c r="P39" s="170"/>
      <c r="Q39" s="170"/>
      <c r="R39" s="170"/>
      <c r="S39" s="170"/>
      <c r="T39" s="228"/>
      <c r="U39" s="228"/>
      <c r="V39" s="228"/>
      <c r="X39" s="183"/>
      <c r="Y39" s="170"/>
      <c r="Z39" s="170"/>
      <c r="AA39" s="170"/>
      <c r="AB39" s="170"/>
      <c r="AC39" s="170"/>
      <c r="AD39" s="228"/>
      <c r="AE39" s="228"/>
      <c r="AF39" s="228"/>
      <c r="AH39" s="183"/>
      <c r="AI39" s="170"/>
      <c r="AJ39" s="170"/>
      <c r="AK39" s="170"/>
      <c r="AL39" s="170"/>
      <c r="AM39" s="170"/>
      <c r="AN39" s="228"/>
      <c r="AO39" s="228"/>
      <c r="AP39" s="228"/>
      <c r="AR39" s="183"/>
      <c r="AS39" s="170"/>
      <c r="AT39" s="170"/>
      <c r="AU39" s="170"/>
      <c r="AV39" s="170"/>
      <c r="AW39" s="170"/>
      <c r="AX39" s="228"/>
      <c r="AY39" s="228"/>
      <c r="AZ39" s="228"/>
    </row>
    <row r="40" spans="1:52" ht="15" customHeight="1" x14ac:dyDescent="0.2">
      <c r="D40" s="377" t="str">
        <f>IF(COUNTIF(L41:L42,"BLANK"),"BLANK",IF(COUNTIF(L41:L42,"REJECT"),"REJECT",IF(COUNTIF(L41:L42,"CHECK"),"CHECK","EQ")))</f>
        <v>EQ</v>
      </c>
      <c r="E40" s="377"/>
      <c r="F40" s="377"/>
      <c r="G40" s="377"/>
      <c r="H40" s="377"/>
      <c r="I40" s="377"/>
      <c r="J40" s="377"/>
      <c r="K40" s="377"/>
      <c r="L40" s="377"/>
      <c r="N40" s="377" t="str">
        <f>IF(COUNTIF(V41:V42,"BLANK"),"BLANK",IF(COUNTIF(V41:V42,"REJECT"),"REJECT",IF(COUNTIF(V41:V42,"CHECK"),"CHECK","EQ")))</f>
        <v>EQ</v>
      </c>
      <c r="O40" s="377"/>
      <c r="P40" s="377"/>
      <c r="Q40" s="377"/>
      <c r="R40" s="377"/>
      <c r="S40" s="377"/>
      <c r="T40" s="377"/>
      <c r="U40" s="377"/>
      <c r="V40" s="377"/>
      <c r="X40" s="377" t="str">
        <f>IF(COUNTIF(AF41:AF42,"BLANK"),"BLANK",IF(COUNTIF(AF41:AF42,"REJECT"),"REJECT",IF(COUNTIF(AF41:AF42,"CHECK"),"CHECK","EQ")))</f>
        <v>EQ</v>
      </c>
      <c r="Y40" s="377"/>
      <c r="Z40" s="377"/>
      <c r="AA40" s="377"/>
      <c r="AB40" s="377"/>
      <c r="AC40" s="377"/>
      <c r="AD40" s="377"/>
      <c r="AE40" s="377"/>
      <c r="AF40" s="377"/>
      <c r="AH40" s="377" t="str">
        <f>IF(COUNTIF(AP41:AP42,"BLANK"),"BLANK",IF(COUNTIF(AP41:AP42,"REJECT"),"REJECT",IF(COUNTIF(AP41:AP42,"CHECK"),"CHECK","EQ")))</f>
        <v>EQ</v>
      </c>
      <c r="AI40" s="377"/>
      <c r="AJ40" s="377"/>
      <c r="AK40" s="377"/>
      <c r="AL40" s="377"/>
      <c r="AM40" s="377"/>
      <c r="AN40" s="377"/>
      <c r="AO40" s="377"/>
      <c r="AP40" s="377"/>
      <c r="AR40" s="377" t="str">
        <f>IF(COUNTIF(AZ41:AZ42,"BLANK"),"BLANK",IF(COUNTIF(AZ41:AZ42,"REJECT"),"REJECT",IF(COUNTIF(AZ41:AZ42,"CHECK"),"CHECK","EQ")))</f>
        <v>EQ</v>
      </c>
      <c r="AS40" s="377"/>
      <c r="AT40" s="377"/>
      <c r="AU40" s="377"/>
      <c r="AV40" s="377"/>
      <c r="AW40" s="377"/>
      <c r="AX40" s="377"/>
      <c r="AY40" s="377"/>
      <c r="AZ40" s="377"/>
    </row>
    <row r="41" spans="1:52" ht="15" customHeight="1" x14ac:dyDescent="0.2">
      <c r="D41" s="183" t="str">
        <f>IF(J$34="Sleeved Butt Joint","F.5.12.6.a","F.5.12.3.a")</f>
        <v>F.5.12.3.a</v>
      </c>
      <c r="F41" s="170"/>
      <c r="G41" s="170"/>
      <c r="H41" s="170"/>
      <c r="I41" s="170" t="str">
        <f>IF(J$34="Sleeved Butt Joint","Min Butt Joint to Sleeve End &gt;=37.5mm (1.5in):","Lug thickness &gt;= 4.5mm (0.177in) steel:")</f>
        <v>Lug thickness &gt;= 4.5mm (0.177in) steel:</v>
      </c>
      <c r="J41" s="288"/>
      <c r="K41" s="185" t="str">
        <f>IF($A$25="mm","mm","in")</f>
        <v>in</v>
      </c>
      <c r="L41" s="228" t="str">
        <f>IF(AND(J$34="",J41=""),"N/A",IF(J41="","BLANK",IF(J$34="Sleeved Butt Joint",IF($A$25="mm",IF(J41&gt;=37.5,"EQ","REJECT"),IF(J41&gt;=1.5,"EQ","REJECT")),IF($A$25="mm",IF(J41&gt;=4.5,"EQ","REJECT"),IF(J41&gt;=0.177,"EQ","REJECT")))))</f>
        <v>N/A</v>
      </c>
      <c r="N41" s="183" t="str">
        <f>IF(T$34="Sleeved Butt Joint","F.5.12.6.a","F.5.12.3.a")</f>
        <v>F.5.12.3.a</v>
      </c>
      <c r="P41" s="170"/>
      <c r="Q41" s="170"/>
      <c r="R41" s="170"/>
      <c r="S41" s="170" t="str">
        <f>IF(T$34="Sleeved Butt Joint","Min Butt Joint to Sleeve End &gt;=37.5mm (1.5in):","Lug thickness &gt;= 4.5mm (0.177in) steel:")</f>
        <v>Lug thickness &gt;= 4.5mm (0.177in) steel:</v>
      </c>
      <c r="T41" s="288"/>
      <c r="U41" s="185" t="str">
        <f>IF($A$25="mm","mm","in")</f>
        <v>in</v>
      </c>
      <c r="V41" s="228" t="str">
        <f>IF(AND(T$34="",T41=""),"N/A",IF(T41="","BLANK",IF(T$34="Sleeved Butt Joint",IF($A$25="mm",IF(T41&gt;=37.5,"EQ","REJECT"),IF(T41&gt;=1.5,"EQ","REJECT")),IF($A$25="mm",IF(T41&gt;=4.5,"EQ","REJECT"),IF(T41&gt;=0.177,"EQ","REJECT")))))</f>
        <v>N/A</v>
      </c>
      <c r="X41" s="183" t="str">
        <f>IF(AD$34="Sleeved Butt Joint","F.5.12.6.a","F.5.12.3.a")</f>
        <v>F.5.12.3.a</v>
      </c>
      <c r="Z41" s="170"/>
      <c r="AA41" s="170"/>
      <c r="AB41" s="170"/>
      <c r="AC41" s="170" t="str">
        <f>IF(AD$34="Sleeved Butt Joint","Min Butt Joint to Sleeve End &gt;=37.5mm (1.5in):","Lug thickness &gt;= 4.5mm (0.177in) steel:")</f>
        <v>Lug thickness &gt;= 4.5mm (0.177in) steel:</v>
      </c>
      <c r="AD41" s="288"/>
      <c r="AE41" s="185" t="str">
        <f>IF($A$25="mm","mm","in")</f>
        <v>in</v>
      </c>
      <c r="AF41" s="228" t="str">
        <f>IF(AND(AD$34="",AD41=""),"N/A",IF(AD41="","BLANK",IF(AD$34="Sleeved Butt Joint",IF($A$25="mm",IF(AD41&gt;=37.5,"EQ","REJECT"),IF(AD41&gt;=1.5,"EQ","REJECT")),IF($A$25="mm",IF(AD41&gt;=4.5,"EQ","REJECT"),IF(AD41&gt;=0.177,"EQ","REJECT")))))</f>
        <v>N/A</v>
      </c>
      <c r="AH41" s="183" t="str">
        <f>IF(AN$34="Sleeved Butt Joint","F.5.12.6.a","F.5.12.3.a")</f>
        <v>F.5.12.3.a</v>
      </c>
      <c r="AJ41" s="170"/>
      <c r="AK41" s="170"/>
      <c r="AL41" s="170"/>
      <c r="AM41" s="170" t="str">
        <f>IF(AN$34="Sleeved Butt Joint","Min Butt Joint to Sleeve End &gt;=37.5mm (1.5in):","Lug thickness &gt;= 4.5mm (0.177in) steel:")</f>
        <v>Lug thickness &gt;= 4.5mm (0.177in) steel:</v>
      </c>
      <c r="AN41" s="288"/>
      <c r="AO41" s="185" t="str">
        <f>IF($A$25="mm","mm","in")</f>
        <v>in</v>
      </c>
      <c r="AP41" s="228" t="str">
        <f>IF(AND(AN$34="",AN41=""),"N/A",IF(AN41="","BLANK",IF(AN$34="Sleeved Butt Joint",IF($A$25="mm",IF(AN41&gt;=37.5,"EQ","REJECT"),IF(AN41&gt;=1.5,"EQ","REJECT")),IF($A$25="mm",IF(AN41&gt;=4.5,"EQ","REJECT"),IF(AN41&gt;=0.177,"EQ","REJECT")))))</f>
        <v>N/A</v>
      </c>
      <c r="AR41" s="183" t="str">
        <f>IF(AX$34="Sleeved Butt Joint","F.5.12.6.a","F.5.12.3.a")</f>
        <v>F.5.12.3.a</v>
      </c>
      <c r="AT41" s="170"/>
      <c r="AU41" s="170"/>
      <c r="AV41" s="170"/>
      <c r="AW41" s="170" t="str">
        <f>IF(AX$34="Sleeved Butt Joint","Min Butt Joint to Sleeve End &gt;=37.5mm (1.5in):","Lug thickness &gt;= 4.5mm (0.177in) steel:")</f>
        <v>Lug thickness &gt;= 4.5mm (0.177in) steel:</v>
      </c>
      <c r="AX41" s="288"/>
      <c r="AY41" s="185" t="str">
        <f>IF($A$25="mm","mm","in")</f>
        <v>in</v>
      </c>
      <c r="AZ41" s="228" t="str">
        <f>IF(AND(AX$34="",AX41=""),"N/A",IF(AX41="","BLANK",IF(AX$34="Sleeved Butt Joint",IF($A$25="mm",IF(AX41&gt;=37.5,"EQ","REJECT"),IF(AX41&gt;=1.5,"EQ","REJECT")),IF($A$25="mm",IF(AX41&gt;=4.5,"EQ","REJECT"),IF(AX41&gt;=0.177,"EQ","REJECT")))))</f>
        <v>N/A</v>
      </c>
    </row>
    <row r="42" spans="1:52" ht="15" customHeight="1" x14ac:dyDescent="0.2">
      <c r="D42" s="183" t="str">
        <f>IF(J$34="Sleeved Butt Joint","F.5.12.6.c","F.5.12.3.b")</f>
        <v>F.5.12.3.b</v>
      </c>
      <c r="F42" s="170"/>
      <c r="G42" s="170"/>
      <c r="H42" s="170"/>
      <c r="I42" s="170" t="str">
        <f>IF(J$34="Sleeved Butt Joint","Steel Sleeve Wall Thickness &gt;= 2mm (0.079in):","Perpendicular dimension &gt;=25mm (1in):")</f>
        <v>Perpendicular dimension &gt;=25mm (1in):</v>
      </c>
      <c r="J42" s="199"/>
      <c r="K42" s="185" t="str">
        <f>IF($A$25="mm","mm","in")</f>
        <v>in</v>
      </c>
      <c r="L42" s="228" t="str">
        <f>IF(AND(J$34="",J42=""),"N/A",IF(J42="","BLANK",IF(J$34="Sleeved Butt Joint",IF($A$25="mm",IF(J42&gt;=2,"EQ","REJECT"),IF(J42&gt;=0.079,"EQ","REJECT")),IF($A$25="mm",IF(J42&gt;=25,"EQ","REJECT"),IF(J42&gt;=1,"EQ","REJECT")))))</f>
        <v>N/A</v>
      </c>
      <c r="N42" s="183" t="str">
        <f>IF(T$34="Sleeved Butt Joint","F.5.12.6.c","F.5.12.3.b")</f>
        <v>F.5.12.3.b</v>
      </c>
      <c r="P42" s="170"/>
      <c r="Q42" s="170"/>
      <c r="R42" s="170"/>
      <c r="S42" s="170" t="str">
        <f>IF(T$34="Sleeved Butt Joint","Steel Sleeve Wall Thickness &gt;= 2mm (0.079in):","Perpendicular dimension &gt;=25mm (1in):")</f>
        <v>Perpendicular dimension &gt;=25mm (1in):</v>
      </c>
      <c r="T42" s="199"/>
      <c r="U42" s="185" t="str">
        <f>IF($A$25="mm","mm","in")</f>
        <v>in</v>
      </c>
      <c r="V42" s="228" t="str">
        <f>IF(AND(T$34="",T42=""),"N/A",IF(T42="","BLANK",IF(T$34="Sleeved Butt Joint",IF($A$25="mm",IF(T42&gt;=2,"EQ","REJECT"),IF(T42&gt;=0.079,"EQ","REJECT")),IF($A$25="mm",IF(T42&gt;=25,"EQ","REJECT"),IF(T42&gt;=1,"EQ","REJECT")))))</f>
        <v>N/A</v>
      </c>
      <c r="X42" s="183" t="str">
        <f>IF(AD$34="Sleeved Butt Joint","F.5.12.6.c","F.5.12.3.b")</f>
        <v>F.5.12.3.b</v>
      </c>
      <c r="Z42" s="170"/>
      <c r="AA42" s="170"/>
      <c r="AB42" s="170"/>
      <c r="AC42" s="170" t="str">
        <f>IF(AD$34="Sleeved Butt Joint","Steel Sleeve Wall Thickness &gt;= 2mm (0.079in):","Perpendicular dimension &gt;=25mm (1in):")</f>
        <v>Perpendicular dimension &gt;=25mm (1in):</v>
      </c>
      <c r="AD42" s="199"/>
      <c r="AE42" s="185" t="str">
        <f>IF($A$25="mm","mm","in")</f>
        <v>in</v>
      </c>
      <c r="AF42" s="228" t="str">
        <f>IF(AND(AD$34="",AD42=""),"N/A",IF(AD42="","BLANK",IF(AD$34="Sleeved Butt Joint",IF($A$25="mm",IF(AD42&gt;=2,"EQ","REJECT"),IF(AD42&gt;=0.079,"EQ","REJECT")),IF($A$25="mm",IF(AD42&gt;=25,"EQ","REJECT"),IF(AD42&gt;=1,"EQ","REJECT")))))</f>
        <v>N/A</v>
      </c>
      <c r="AH42" s="183" t="str">
        <f>IF(AN$34="Sleeved Butt Joint","F.5.12.6.c","F.5.12.3.b")</f>
        <v>F.5.12.3.b</v>
      </c>
      <c r="AJ42" s="170"/>
      <c r="AK42" s="170"/>
      <c r="AL42" s="170"/>
      <c r="AM42" s="170" t="str">
        <f>IF(AN$34="Sleeved Butt Joint","Steel Sleeve Wall Thickness &gt;= 2mm (0.079in):","Perpendicular dimension &gt;=25mm (1in):")</f>
        <v>Perpendicular dimension &gt;=25mm (1in):</v>
      </c>
      <c r="AN42" s="199"/>
      <c r="AO42" s="185" t="str">
        <f>IF($A$25="mm","mm","in")</f>
        <v>in</v>
      </c>
      <c r="AP42" s="228" t="str">
        <f>IF(AND(AN$34="",AN42=""),"N/A",IF(AN42="","BLANK",IF(AN$34="Sleeved Butt Joint",IF($A$25="mm",IF(AN42&gt;=2,"EQ","REJECT"),IF(AN42&gt;=0.079,"EQ","REJECT")),IF($A$25="mm",IF(AN42&gt;=25,"EQ","REJECT"),IF(AN42&gt;=1,"EQ","REJECT")))))</f>
        <v>N/A</v>
      </c>
      <c r="AR42" s="183" t="str">
        <f>IF(AX$34="Sleeved Butt Joint","F.5.12.6.c","F.5.12.3.b")</f>
        <v>F.5.12.3.b</v>
      </c>
      <c r="AT42" s="170"/>
      <c r="AU42" s="170"/>
      <c r="AV42" s="170"/>
      <c r="AW42" s="170" t="str">
        <f>IF(AX$34="Sleeved Butt Joint","Steel Sleeve Wall Thickness &gt;= 2mm (0.079in):","Perpendicular dimension &gt;=25mm (1in):")</f>
        <v>Perpendicular dimension &gt;=25mm (1in):</v>
      </c>
      <c r="AX42" s="199"/>
      <c r="AY42" s="185" t="str">
        <f>IF($A$25="mm","mm","in")</f>
        <v>in</v>
      </c>
      <c r="AZ42" s="228" t="str">
        <f>IF(AND(AX$34="",AX42=""),"N/A",IF(AX42="","BLANK",IF(AX$34="Sleeved Butt Joint",IF($A$25="mm",IF(AX42&gt;=2,"EQ","REJECT"),IF(AX42&gt;=0.079,"EQ","REJECT")),IF($A$25="mm",IF(AX42&gt;=25,"EQ","REJECT"),IF(AX42&gt;=1,"EQ","REJECT")))))</f>
        <v>N/A</v>
      </c>
    </row>
    <row r="43" spans="1:52" x14ac:dyDescent="0.2">
      <c r="D43" s="183"/>
      <c r="F43" s="170"/>
      <c r="G43" s="170"/>
      <c r="H43" s="170"/>
      <c r="I43" s="170"/>
      <c r="J43" s="228"/>
      <c r="K43" s="185"/>
      <c r="L43" s="228"/>
      <c r="N43" s="183"/>
      <c r="P43" s="170"/>
      <c r="Q43" s="170"/>
      <c r="R43" s="170"/>
      <c r="S43" s="170"/>
      <c r="T43" s="228"/>
      <c r="U43" s="185"/>
      <c r="V43" s="228"/>
      <c r="X43" s="183"/>
      <c r="Z43" s="170"/>
      <c r="AA43" s="170"/>
      <c r="AB43" s="170"/>
      <c r="AC43" s="170"/>
      <c r="AD43" s="228"/>
      <c r="AE43" s="185"/>
      <c r="AF43" s="228"/>
      <c r="AH43" s="183"/>
      <c r="AJ43" s="170"/>
      <c r="AK43" s="170"/>
      <c r="AL43" s="170"/>
      <c r="AM43" s="170"/>
      <c r="AN43" s="228"/>
      <c r="AO43" s="185"/>
      <c r="AP43" s="228"/>
      <c r="AR43" s="183"/>
      <c r="AT43" s="170"/>
      <c r="AU43" s="170"/>
      <c r="AV43" s="170"/>
      <c r="AW43" s="170"/>
      <c r="AX43" s="228"/>
      <c r="AY43" s="185"/>
      <c r="AZ43" s="228"/>
    </row>
    <row r="44" spans="1:52" x14ac:dyDescent="0.2">
      <c r="D44" s="236" t="s">
        <v>1196</v>
      </c>
      <c r="E44" s="125" t="s">
        <v>1197</v>
      </c>
      <c r="N44" s="236" t="s">
        <v>1196</v>
      </c>
      <c r="O44" s="125" t="s">
        <v>1197</v>
      </c>
      <c r="X44" s="236" t="s">
        <v>1196</v>
      </c>
      <c r="Y44" s="125" t="s">
        <v>1197</v>
      </c>
      <c r="AH44" s="236" t="s">
        <v>1196</v>
      </c>
      <c r="AI44" s="125" t="s">
        <v>1197</v>
      </c>
      <c r="AR44" s="236" t="s">
        <v>1196</v>
      </c>
      <c r="AS44" s="125" t="s">
        <v>1197</v>
      </c>
    </row>
    <row r="45" spans="1:52" x14ac:dyDescent="0.2">
      <c r="D45" s="236" t="s">
        <v>1198</v>
      </c>
      <c r="E45" s="125" t="s">
        <v>1199</v>
      </c>
      <c r="N45" s="236" t="s">
        <v>1198</v>
      </c>
      <c r="O45" s="125" t="s">
        <v>1199</v>
      </c>
      <c r="X45" s="236" t="s">
        <v>1198</v>
      </c>
      <c r="Y45" s="125" t="s">
        <v>1199</v>
      </c>
      <c r="AH45" s="236" t="s">
        <v>1198</v>
      </c>
      <c r="AI45" s="125" t="s">
        <v>1199</v>
      </c>
      <c r="AR45" s="236" t="s">
        <v>1198</v>
      </c>
      <c r="AS45" s="125" t="s">
        <v>1199</v>
      </c>
    </row>
    <row r="46" spans="1:52" x14ac:dyDescent="0.2">
      <c r="D46" s="236" t="s">
        <v>1200</v>
      </c>
      <c r="E46" s="125" t="s">
        <v>1201</v>
      </c>
      <c r="N46" s="236" t="s">
        <v>1200</v>
      </c>
      <c r="O46" s="125" t="s">
        <v>1201</v>
      </c>
      <c r="X46" s="236" t="s">
        <v>1200</v>
      </c>
      <c r="Y46" s="125" t="s">
        <v>1201</v>
      </c>
      <c r="AH46" s="236" t="s">
        <v>1200</v>
      </c>
      <c r="AI46" s="125" t="s">
        <v>1201</v>
      </c>
      <c r="AR46" s="236" t="s">
        <v>1200</v>
      </c>
      <c r="AS46" s="125" t="s">
        <v>1201</v>
      </c>
    </row>
    <row r="47" spans="1:52" x14ac:dyDescent="0.2">
      <c r="D47" s="125" t="s">
        <v>1202</v>
      </c>
      <c r="N47" s="125" t="s">
        <v>1202</v>
      </c>
      <c r="X47" s="125" t="s">
        <v>1202</v>
      </c>
      <c r="AH47" s="125" t="s">
        <v>1202</v>
      </c>
      <c r="AR47" s="125" t="s">
        <v>1202</v>
      </c>
    </row>
    <row r="49" spans="1:52" x14ac:dyDescent="0.2">
      <c r="D49" s="377" t="str">
        <f>IF(COUNTIF(L50:L53,"BLANK"),"BLANK",IF(COUNTIF(L50:L53,"REJECT"),"REJECT",IF(COUNTIF(L50:L53,"CHECK"),"CHECK","EQ")))</f>
        <v>EQ</v>
      </c>
      <c r="E49" s="377"/>
      <c r="F49" s="377"/>
      <c r="G49" s="377"/>
      <c r="H49" s="377"/>
      <c r="I49" s="377"/>
      <c r="J49" s="377"/>
      <c r="K49" s="377"/>
      <c r="L49" s="377"/>
      <c r="N49" s="377" t="str">
        <f>IF(COUNTIF(V50:V53,"BLANK"),"BLANK",IF(COUNTIF(V50:V53,"REJECT"),"REJECT",IF(COUNTIF(V50:V53,"CHECK"),"CHECK","EQ")))</f>
        <v>EQ</v>
      </c>
      <c r="O49" s="377"/>
      <c r="P49" s="377"/>
      <c r="Q49" s="377"/>
      <c r="R49" s="377"/>
      <c r="S49" s="377"/>
      <c r="T49" s="377"/>
      <c r="U49" s="377"/>
      <c r="V49" s="377"/>
      <c r="X49" s="377" t="str">
        <f>IF(COUNTIF(AF50:AF53,"BLANK"),"BLANK",IF(COUNTIF(AF50:AF53,"REJECT"),"REJECT",IF(COUNTIF(AF50:AF53,"CHECK"),"CHECK","EQ")))</f>
        <v>EQ</v>
      </c>
      <c r="Y49" s="377"/>
      <c r="Z49" s="377"/>
      <c r="AA49" s="377"/>
      <c r="AB49" s="377"/>
      <c r="AC49" s="377"/>
      <c r="AD49" s="377"/>
      <c r="AE49" s="377"/>
      <c r="AF49" s="377"/>
      <c r="AH49" s="377" t="str">
        <f>IF(COUNTIF(AP50:AP53,"BLANK"),"BLANK",IF(COUNTIF(AP50:AP53,"REJECT"),"REJECT",IF(COUNTIF(AP50:AP53,"CHECK"),"CHECK","EQ")))</f>
        <v>EQ</v>
      </c>
      <c r="AI49" s="377"/>
      <c r="AJ49" s="377"/>
      <c r="AK49" s="377"/>
      <c r="AL49" s="377"/>
      <c r="AM49" s="377"/>
      <c r="AN49" s="377"/>
      <c r="AO49" s="377"/>
      <c r="AP49" s="377"/>
      <c r="AR49" s="377" t="str">
        <f>IF(COUNTIF(AZ50:AZ53,"BLANK"),"BLANK",IF(COUNTIF(AZ50:AZ53,"REJECT"),"REJECT",IF(COUNTIF(AZ50:AZ53,"CHECK"),"CHECK","EQ")))</f>
        <v>EQ</v>
      </c>
      <c r="AS49" s="377"/>
      <c r="AT49" s="377"/>
      <c r="AU49" s="377"/>
      <c r="AV49" s="377"/>
      <c r="AW49" s="377"/>
      <c r="AX49" s="377"/>
      <c r="AY49" s="377"/>
      <c r="AZ49" s="377"/>
    </row>
    <row r="50" spans="1:52" x14ac:dyDescent="0.2">
      <c r="D50" s="183" t="s">
        <v>1200</v>
      </c>
      <c r="F50" s="170"/>
      <c r="G50" s="170"/>
      <c r="H50" s="170"/>
      <c r="I50" s="170" t="s">
        <v>1203</v>
      </c>
      <c r="J50" s="288"/>
      <c r="K50" s="185" t="str">
        <f>IF($A$25="mm","mm","in")</f>
        <v>in</v>
      </c>
      <c r="L50" s="228" t="str">
        <f>IF(AND(J$34="",J50=""),"N/A",IF(J50="","BLANK",IF(J$34="Sleeved Butt Joint",IF($A$25="mm",IF(J50&gt;=6,"EQ","REJECT"),IF(J50&gt;=0.25,"EQ","REJECT")),IF($A$25="mm",IF(J50&gt;=10,"EQ","REJECT"),IF(J50&gt;=0.375,"EQ","REJECT")))))</f>
        <v>N/A</v>
      </c>
      <c r="N50" s="183" t="s">
        <v>1200</v>
      </c>
      <c r="P50" s="170"/>
      <c r="Q50" s="170"/>
      <c r="R50" s="170"/>
      <c r="S50" s="170" t="s">
        <v>1203</v>
      </c>
      <c r="T50" s="288"/>
      <c r="U50" s="185" t="str">
        <f>IF($A$25="mm","mm","in")</f>
        <v>in</v>
      </c>
      <c r="V50" s="228" t="str">
        <f>IF(AND(T$34="",T50=""),"N/A",IF(T50="","BLANK",IF(T$34="Sleeved Butt Joint",IF($A$25="mm",IF(T50&gt;=6,"EQ","REJECT"),IF(T50&gt;=0.25,"EQ","REJECT")),IF($A$25="mm",IF(T50&gt;=10,"EQ","REJECT"),IF(T50&gt;=0.375,"EQ","REJECT")))))</f>
        <v>N/A</v>
      </c>
      <c r="X50" s="183" t="s">
        <v>1200</v>
      </c>
      <c r="Z50" s="170"/>
      <c r="AA50" s="170"/>
      <c r="AB50" s="170"/>
      <c r="AC50" s="170" t="s">
        <v>1203</v>
      </c>
      <c r="AD50" s="288"/>
      <c r="AE50" s="185" t="str">
        <f>IF($A$25="mm","mm","in")</f>
        <v>in</v>
      </c>
      <c r="AF50" s="228" t="str">
        <f>IF(AND(AD$34="",AD50=""),"N/A",IF(AD50="","BLANK",IF(AD$34="Sleeved Butt Joint",IF($A$25="mm",IF(AD50&gt;=6,"EQ","REJECT"),IF(AD50&gt;=0.25,"EQ","REJECT")),IF($A$25="mm",IF(AD50&gt;=10,"EQ","REJECT"),IF(AD50&gt;=0.375,"EQ","REJECT")))))</f>
        <v>N/A</v>
      </c>
      <c r="AH50" s="183" t="s">
        <v>1200</v>
      </c>
      <c r="AJ50" s="170"/>
      <c r="AK50" s="170"/>
      <c r="AL50" s="170"/>
      <c r="AM50" s="170" t="s">
        <v>1203</v>
      </c>
      <c r="AN50" s="288"/>
      <c r="AO50" s="185" t="str">
        <f>IF($A$25="mm","mm","in")</f>
        <v>in</v>
      </c>
      <c r="AP50" s="228" t="str">
        <f>IF(AND(AN$34="",AN50=""),"N/A",IF(AN50="","BLANK",IF(AN$34="Sleeved Butt Joint",IF($A$25="mm",IF(AN50&gt;=6,"EQ","REJECT"),IF(AN50&gt;=0.25,"EQ","REJECT")),IF($A$25="mm",IF(AN50&gt;=10,"EQ","REJECT"),IF(AN50&gt;=0.375,"EQ","REJECT")))))</f>
        <v>N/A</v>
      </c>
      <c r="AR50" s="183" t="s">
        <v>1200</v>
      </c>
      <c r="AT50" s="170"/>
      <c r="AU50" s="170"/>
      <c r="AV50" s="170"/>
      <c r="AW50" s="170" t="s">
        <v>1203</v>
      </c>
      <c r="AX50" s="288"/>
      <c r="AY50" s="185" t="str">
        <f>IF($A$25="mm","mm","in")</f>
        <v>in</v>
      </c>
      <c r="AZ50" s="228" t="str">
        <f>IF(AND(AX$34="",AX50=""),"N/A",IF(AX50="","BLANK",IF(AX$34="Sleeved Butt Joint",IF($A$25="mm",IF(AX50&gt;=6,"EQ","REJECT"),IF(AX50&gt;=0.25,"EQ","REJECT")),IF($A$25="mm",IF(AX50&gt;=10,"EQ","REJECT"),IF(AX50&gt;=0.375,"EQ","REJECT")))))</f>
        <v>N/A</v>
      </c>
    </row>
    <row r="51" spans="1:52" x14ac:dyDescent="0.2">
      <c r="D51" s="183"/>
      <c r="F51" s="170"/>
      <c r="G51" s="170"/>
      <c r="H51" s="170"/>
      <c r="I51" s="170" t="str">
        <f>IF(J$34="Sleeved Butt Joint","Distance to outside sleeve edge:","Distance to tube edge:")</f>
        <v>Distance to tube edge:</v>
      </c>
      <c r="J51" s="288"/>
      <c r="K51" s="185" t="str">
        <f>IF($A$25="mm","mm","in")</f>
        <v>in</v>
      </c>
      <c r="L51" s="228" t="str">
        <f>IF(AND(J$34="",J51=""),"N/A",IF(J51="","BLANK",IF(J$34="Sleeved Butt Joint",IF($A$25="mm",IF(J51&gt;=9,"EQ","REJECT"),IF(J51&gt;=0.375,"EQ","REJECT")),IF($A$25="mm",IF(J51&gt;=15,"EQ","REJECT"),IF(J51&gt;=0.5625,"EQ","REJECT")))))</f>
        <v>N/A</v>
      </c>
      <c r="N51" s="183"/>
      <c r="P51" s="170"/>
      <c r="Q51" s="170"/>
      <c r="R51" s="170"/>
      <c r="S51" s="170" t="str">
        <f>IF(T$34="Sleeved Butt Joint","Distance to outside sleeve edge:","Distance to tube edge:")</f>
        <v>Distance to tube edge:</v>
      </c>
      <c r="T51" s="288"/>
      <c r="U51" s="185" t="str">
        <f>IF($A$25="mm","mm","in")</f>
        <v>in</v>
      </c>
      <c r="V51" s="228" t="str">
        <f>IF(AND(T$34="",T51=""),"N/A",IF(T51="","BLANK",IF(T$34="Sleeved Butt Joint",IF($A$25="mm",IF(T51&gt;=9,"EQ","REJECT"),IF(T51&gt;=0.375,"EQ","REJECT")),IF($A$25="mm",IF(T51&gt;=15,"EQ","REJECT"),IF(T51&gt;=0.5625,"EQ","REJECT")))))</f>
        <v>N/A</v>
      </c>
      <c r="X51" s="183"/>
      <c r="Z51" s="170"/>
      <c r="AA51" s="170"/>
      <c r="AB51" s="170"/>
      <c r="AC51" s="170" t="str">
        <f>IF(AD$34="Sleeved Butt Joint","Distance to outside sleeve edge:","Distance to tube edge:")</f>
        <v>Distance to tube edge:</v>
      </c>
      <c r="AD51" s="288"/>
      <c r="AE51" s="185" t="str">
        <f>IF($A$25="mm","mm","in")</f>
        <v>in</v>
      </c>
      <c r="AF51" s="228" t="str">
        <f>IF(AND(AD$34="",AD51=""),"N/A",IF(AD51="","BLANK",IF(AD$34="Sleeved Butt Joint",IF($A$25="mm",IF(AD51&gt;=9,"EQ","REJECT"),IF(AD51&gt;=0.375,"EQ","REJECT")),IF($A$25="mm",IF(AD51&gt;=15,"EQ","REJECT"),IF(AD51&gt;=0.5625,"EQ","REJECT")))))</f>
        <v>N/A</v>
      </c>
      <c r="AH51" s="183"/>
      <c r="AJ51" s="170"/>
      <c r="AK51" s="170"/>
      <c r="AL51" s="170"/>
      <c r="AM51" s="170" t="str">
        <f>IF(AN$34="Sleeved Butt Joint","Distance to outside sleeve edge:","Distance to tube edge:")</f>
        <v>Distance to tube edge:</v>
      </c>
      <c r="AN51" s="288"/>
      <c r="AO51" s="185" t="str">
        <f>IF($A$25="mm","mm","in")</f>
        <v>in</v>
      </c>
      <c r="AP51" s="228" t="str">
        <f>IF(AND(AN$34="",AN51=""),"N/A",IF(AN51="","BLANK",IF(AN$34="Sleeved Butt Joint",IF($A$25="mm",IF(AN51&gt;=9,"EQ","REJECT"),IF(AN51&gt;=0.375,"EQ","REJECT")),IF($A$25="mm",IF(AN51&gt;=15,"EQ","REJECT"),IF(AN51&gt;=0.5625,"EQ","REJECT")))))</f>
        <v>N/A</v>
      </c>
      <c r="AR51" s="183"/>
      <c r="AT51" s="170"/>
      <c r="AU51" s="170"/>
      <c r="AV51" s="170"/>
      <c r="AW51" s="170" t="str">
        <f>IF(AX$34="Sleeved Butt Joint","Distance to outside sleeve edge:","Distance to tube edge:")</f>
        <v>Distance to tube edge:</v>
      </c>
      <c r="AX51" s="288"/>
      <c r="AY51" s="185" t="str">
        <f>IF($A$25="mm","mm","in")</f>
        <v>in</v>
      </c>
      <c r="AZ51" s="228" t="str">
        <f>IF(AND(AX$34="",AX51=""),"N/A",IF(AX51="","BLANK",IF(AX$34="Sleeved Butt Joint",IF($A$25="mm",IF(AX51&gt;=9,"EQ","REJECT"),IF(AX51&gt;=0.375,"EQ","REJECT")),IF($A$25="mm",IF(AX51&gt;=15,"EQ","REJECT"),IF(AX51&gt;=0.5625,"EQ","REJECT")))))</f>
        <v>N/A</v>
      </c>
    </row>
    <row r="52" spans="1:52" x14ac:dyDescent="0.2">
      <c r="D52" s="183"/>
      <c r="F52" s="170"/>
      <c r="G52" s="170"/>
      <c r="H52" s="170"/>
      <c r="I52" s="170" t="str">
        <f>IF(J$34="Sleeved Butt Joint","Distance to inside tube edge:","Distance to tab edge:")</f>
        <v>Distance to tab edge:</v>
      </c>
      <c r="J52" s="199"/>
      <c r="K52" s="185" t="str">
        <f>IF($A$25="mm","mm","in")</f>
        <v>in</v>
      </c>
      <c r="L52" s="228" t="str">
        <f>IF(AND(J$34="",J52=""),"N/A",IF(J52="","BLANK",IF(J$34="Sleeved Butt Joint",IF($A$25="mm",IF(J52&gt;=9,"EQ","REJECT"),IF(J52&gt;=0.375,"EQ","REJECT")),IF($A$25="mm",IF(J52&gt;=15,"EQ","REJECT"),IF(J52&gt;=0.5625,"EQ","REJECT")))))</f>
        <v>N/A</v>
      </c>
      <c r="N52" s="183"/>
      <c r="P52" s="170"/>
      <c r="Q52" s="170"/>
      <c r="R52" s="170"/>
      <c r="S52" s="170" t="str">
        <f>IF(T$34="Sleeved Butt Joint","Distance to inside tube edge:","Distance to tab edge:")</f>
        <v>Distance to tab edge:</v>
      </c>
      <c r="T52" s="199"/>
      <c r="U52" s="185" t="str">
        <f>IF($A$25="mm","mm","in")</f>
        <v>in</v>
      </c>
      <c r="V52" s="228" t="str">
        <f>IF(AND(T$34="",T52=""),"N/A",IF(T52="","BLANK",IF(T$34="Sleeved Butt Joint",IF($A$25="mm",IF(T52&gt;=9,"EQ","REJECT"),IF(T52&gt;=0.375,"EQ","REJECT")),IF($A$25="mm",IF(T52&gt;=15,"EQ","REJECT"),IF(T52&gt;=0.5625,"EQ","REJECT")))))</f>
        <v>N/A</v>
      </c>
      <c r="X52" s="183"/>
      <c r="Z52" s="170"/>
      <c r="AA52" s="170"/>
      <c r="AB52" s="170"/>
      <c r="AC52" s="170" t="str">
        <f>IF(AD$34="Sleeved Butt Joint","Distance to inside tube edge:","Distance to tab edge:")</f>
        <v>Distance to tab edge:</v>
      </c>
      <c r="AD52" s="199"/>
      <c r="AE52" s="185" t="str">
        <f>IF($A$25="mm","mm","in")</f>
        <v>in</v>
      </c>
      <c r="AF52" s="228" t="str">
        <f>IF(AND(AD$34="",AD52=""),"N/A",IF(AD52="","BLANK",IF(AD$34="Sleeved Butt Joint",IF($A$25="mm",IF(AD52&gt;=9,"EQ","REJECT"),IF(AD52&gt;=0.375,"EQ","REJECT")),IF($A$25="mm",IF(AD52&gt;=15,"EQ","REJECT"),IF(AD52&gt;=0.5625,"EQ","REJECT")))))</f>
        <v>N/A</v>
      </c>
      <c r="AH52" s="183"/>
      <c r="AJ52" s="170"/>
      <c r="AK52" s="170"/>
      <c r="AL52" s="170"/>
      <c r="AM52" s="170" t="str">
        <f>IF(AN$34="Sleeved Butt Joint","Distance to inside tube edge:","Distance to tab edge:")</f>
        <v>Distance to tab edge:</v>
      </c>
      <c r="AN52" s="199"/>
      <c r="AO52" s="185" t="str">
        <f>IF($A$25="mm","mm","in")</f>
        <v>in</v>
      </c>
      <c r="AP52" s="228" t="str">
        <f>IF(AND(AN$34="",AN52=""),"N/A",IF(AN52="","BLANK",IF(AN$34="Sleeved Butt Joint",IF($A$25="mm",IF(AN52&gt;=9,"EQ","REJECT"),IF(AN52&gt;=0.375,"EQ","REJECT")),IF($A$25="mm",IF(AN52&gt;=15,"EQ","REJECT"),IF(AN52&gt;=0.5625,"EQ","REJECT")))))</f>
        <v>N/A</v>
      </c>
      <c r="AR52" s="183"/>
      <c r="AT52" s="170"/>
      <c r="AU52" s="170"/>
      <c r="AV52" s="170"/>
      <c r="AW52" s="170" t="str">
        <f>IF(AX$34="Sleeved Butt Joint","Distance to inside tube edge:","Distance to tab edge:")</f>
        <v>Distance to tab edge:</v>
      </c>
      <c r="AX52" s="199"/>
      <c r="AY52" s="185" t="str">
        <f>IF($A$25="mm","mm","in")</f>
        <v>in</v>
      </c>
      <c r="AZ52" s="228" t="str">
        <f>IF(AND(AX$34="",AX52=""),"N/A",IF(AX52="","BLANK",IF(AX$34="Sleeved Butt Joint",IF($A$25="mm",IF(AX52&gt;=9,"EQ","REJECT"),IF(AX52&gt;=0.375,"EQ","REJECT")),IF($A$25="mm",IF(AX52&gt;=15,"EQ","REJECT"),IF(AX52&gt;=0.5625,"EQ","REJECT")))))</f>
        <v>N/A</v>
      </c>
    </row>
    <row r="53" spans="1:52" x14ac:dyDescent="0.2">
      <c r="D53" s="185"/>
      <c r="F53" s="170"/>
      <c r="G53" s="170"/>
      <c r="H53" s="170"/>
      <c r="I53" s="170" t="s">
        <v>1204</v>
      </c>
      <c r="J53" s="228" t="str">
        <f>IF(OR(J50="",J51="",J52=""),"",MIN(J51,J52)/J50)</f>
        <v/>
      </c>
      <c r="K53" s="185"/>
      <c r="L53" s="228" t="str">
        <f>IF(J34="","N/A",IF(AND(NOT(J53=""),J53&gt;=1.5),"EQ",IF(OR(J50="",J51="",J52=""),"BLANK","REJECT")))</f>
        <v>N/A</v>
      </c>
      <c r="N53" s="185"/>
      <c r="P53" s="170"/>
      <c r="Q53" s="170"/>
      <c r="R53" s="170"/>
      <c r="S53" s="170" t="s">
        <v>1204</v>
      </c>
      <c r="T53" s="228" t="str">
        <f>IF(OR(T50="",T51="",T52=""),"",MIN(T51,T52)/T50)</f>
        <v/>
      </c>
      <c r="U53" s="185"/>
      <c r="V53" s="228" t="str">
        <f>IF(T34="","N/A",IF(AND(NOT(T53=""),T53&gt;=1.5),"EQ",IF(OR(T50="",T51="",T52=""),"BLANK","REJECT")))</f>
        <v>N/A</v>
      </c>
      <c r="X53" s="185"/>
      <c r="Z53" s="170"/>
      <c r="AA53" s="170"/>
      <c r="AB53" s="170"/>
      <c r="AC53" s="170" t="s">
        <v>1204</v>
      </c>
      <c r="AD53" s="228" t="str">
        <f>IF(OR(AD50="",AD51="",AD52=""),"",MIN(AD51,AD52)/AD50)</f>
        <v/>
      </c>
      <c r="AE53" s="185"/>
      <c r="AF53" s="228" t="str">
        <f>IF(AD34="","N/A",IF(AND(NOT(AD53=""),AD53&gt;=1.5),"EQ",IF(OR(AD50="",AD51="",AD52=""),"BLANK","REJECT")))</f>
        <v>N/A</v>
      </c>
      <c r="AH53" s="185"/>
      <c r="AJ53" s="170"/>
      <c r="AK53" s="170"/>
      <c r="AL53" s="170"/>
      <c r="AM53" s="170" t="s">
        <v>1204</v>
      </c>
      <c r="AN53" s="228" t="str">
        <f>IF(OR(AN50="",AN51="",AN52=""),"",MIN(AN51,AN52)/AN50)</f>
        <v/>
      </c>
      <c r="AO53" s="185"/>
      <c r="AP53" s="228" t="str">
        <f>IF(AN34="","N/A",IF(AND(NOT(AN53=""),AN53&gt;=1.5),"EQ",IF(OR(AN50="",AN51="",AN52=""),"BLANK","REJECT")))</f>
        <v>N/A</v>
      </c>
      <c r="AR53" s="185"/>
      <c r="AT53" s="170"/>
      <c r="AU53" s="170"/>
      <c r="AV53" s="170"/>
      <c r="AW53" s="170" t="s">
        <v>1204</v>
      </c>
      <c r="AX53" s="228" t="str">
        <f>IF(OR(AX50="",AX51="",AX52=""),"",MIN(AX51,AX52)/AX50)</f>
        <v/>
      </c>
      <c r="AY53" s="185"/>
      <c r="AZ53" s="228" t="str">
        <f>IF(AX34="","N/A",IF(AND(NOT(AX53=""),AX53&gt;=1.5),"EQ",IF(OR(AX50="",AX51="",AX52=""),"BLANK","REJECT")))</f>
        <v>N/A</v>
      </c>
    </row>
    <row r="57" spans="1:52" x14ac:dyDescent="0.2">
      <c r="A57" s="287"/>
      <c r="B57" s="287"/>
      <c r="C57" s="287"/>
    </row>
    <row r="150" spans="1:1" x14ac:dyDescent="0.2">
      <c r="A150" s="131" t="s">
        <v>298</v>
      </c>
    </row>
  </sheetData>
  <sheetProtection algorithmName="SHA-512" hashValue="Uq8hUMow78hnCz+i3PfXfFEk7mzRdj9DREwGrCaK6wn04lUqrun1/vyjNSp9FhgKdifzgcnwbhT6mWAVDyEVXg==" saltValue="mn+bu1ufNvkpKviZfav00g==" spinCount="100000" sheet="1" insertHyperlinks="0"/>
  <mergeCells count="46">
    <mergeCell ref="A2:C2"/>
    <mergeCell ref="A3:C3"/>
    <mergeCell ref="A5:C5"/>
    <mergeCell ref="D13:L14"/>
    <mergeCell ref="N13:V14"/>
    <mergeCell ref="AH13:AP14"/>
    <mergeCell ref="AR13:AZ14"/>
    <mergeCell ref="X15:AF16"/>
    <mergeCell ref="A25:C26"/>
    <mergeCell ref="A27:C35"/>
    <mergeCell ref="D29:L29"/>
    <mergeCell ref="N29:V29"/>
    <mergeCell ref="X29:AF29"/>
    <mergeCell ref="AH29:AP29"/>
    <mergeCell ref="AR29:AZ29"/>
    <mergeCell ref="X13:AF14"/>
    <mergeCell ref="AH30:AI31"/>
    <mergeCell ref="AJ30:AP31"/>
    <mergeCell ref="AR30:AS31"/>
    <mergeCell ref="AT30:AZ31"/>
    <mergeCell ref="D33:L33"/>
    <mergeCell ref="N33:V33"/>
    <mergeCell ref="X33:AF33"/>
    <mergeCell ref="AH33:AP33"/>
    <mergeCell ref="AR33:AZ33"/>
    <mergeCell ref="D30:E31"/>
    <mergeCell ref="F30:L31"/>
    <mergeCell ref="N30:O31"/>
    <mergeCell ref="P30:V31"/>
    <mergeCell ref="X30:Y31"/>
    <mergeCell ref="Z30:AF31"/>
    <mergeCell ref="D40:L40"/>
    <mergeCell ref="N40:V40"/>
    <mergeCell ref="X40:AF40"/>
    <mergeCell ref="AH40:AP40"/>
    <mergeCell ref="AR40:AZ40"/>
    <mergeCell ref="J34:K34"/>
    <mergeCell ref="T34:U34"/>
    <mergeCell ref="AD34:AE34"/>
    <mergeCell ref="AN34:AO34"/>
    <mergeCell ref="AX34:AY34"/>
    <mergeCell ref="D49:L49"/>
    <mergeCell ref="N49:V49"/>
    <mergeCell ref="X49:AF49"/>
    <mergeCell ref="AH49:AP49"/>
    <mergeCell ref="AR49:AZ49"/>
  </mergeCells>
  <conditionalFormatting sqref="A1:XFD1048576">
    <cfRule type="expression" dxfId="13" priority="1" stopIfTrue="1">
      <formula>CELL("protect",A1)=0</formula>
    </cfRule>
    <cfRule type="beginsWith" dxfId="12" priority="2" operator="beginsWith" text="REJECT">
      <formula>LEFT(A1,LEN("REJECT"))="REJECT"</formula>
    </cfRule>
    <cfRule type="beginsWith" dxfId="11" priority="3" operator="beginsWith" text="EQ">
      <formula>LEFT(A1,LEN("EQ"))="EQ"</formula>
    </cfRule>
    <cfRule type="beginsWith" dxfId="10" priority="4" operator="beginsWith" text="BLANK">
      <formula>LEFT(A1,LEN("BLANK"))="BLANK"</formula>
    </cfRule>
  </conditionalFormatting>
  <dataValidations count="2">
    <dataValidation type="list" allowBlank="1" showInputMessage="1" showErrorMessage="1" sqref="J34:K34 T34:U34 AD34:AE34 AN34:AO34 AX34:AY34" xr:uid="{2B3894C4-CD0C-48C5-8F7A-B264BD390E9E}">
      <formula1>"Double Lug Joint, Sleeved Butt Joint"</formula1>
    </dataValidation>
    <dataValidation type="list" allowBlank="1" showInputMessage="1" showErrorMessage="1" sqref="J40:K40 AN40:AO40 T40:U40 AD40:AE40 AX40:AY40" xr:uid="{4102199E-DDDE-41E9-B6EE-C7EAB789FC19}">
      <formula1>"Select drop down:, No rear wing., All at nodes., Away from MHB."</formula1>
    </dataValidation>
  </dataValidation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F.3.1-4 Tube Chassis</vt:lpstr>
      <vt:lpstr>F.10-11 EV Accumulator</vt:lpstr>
      <vt:lpstr>F.8 Front Protection</vt:lpstr>
      <vt:lpstr>F.3.4.3 Welded Inserts</vt:lpstr>
      <vt:lpstr>F.5.12 Bolted Members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skitter</dc:creator>
  <cp:lastModifiedBy>Clark Zhang</cp:lastModifiedBy>
  <cp:lastPrinted>2018-07-31T14:49:31Z</cp:lastPrinted>
  <dcterms:created xsi:type="dcterms:W3CDTF">2018-07-25T19:50:44Z</dcterms:created>
  <dcterms:modified xsi:type="dcterms:W3CDTF">2024-12-31T23:15:36Z</dcterms:modified>
</cp:coreProperties>
</file>